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B2766A46-DCCC-4640-BEDB-9EF6968928C0}" xr6:coauthVersionLast="47" xr6:coauthVersionMax="47" xr10:uidLastSave="{00000000-0000-0000-0000-000000000000}"/>
  <bookViews>
    <workbookView xWindow="28800" yWindow="0" windowWidth="25800" windowHeight="2100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4" state="hidden" r:id="rId38"/>
    <sheet name="calc_data" sheetId="93" state="hidden" r:id="rId39"/>
    <sheet name="delinquency" sheetId="95" state="hidden" r:id="rId40"/>
    <sheet name="default" sheetId="96" state="hidden" r:id="rId41"/>
    <sheet name="portfolio" sheetId="97" state="hidden" r:id="rId42"/>
    <sheet name="rating" sheetId="98" state="hidden" r:id="rId43"/>
  </sheets>
  <definedNames>
    <definedName name="Assets_20">Daten!$B:$D</definedName>
    <definedName name="calc_data">calc_data!$A$1:$E$244</definedName>
    <definedName name="calcdata_20">calc_data!$B:$E</definedName>
    <definedName name="Counterparties">'21. Counterparties'!$B$2</definedName>
    <definedName name="daten">Daten!$A$1:$D$340</definedName>
    <definedName name="default">default!$A$1:$K$88</definedName>
    <definedName name="defaults_20">default!$B:$K</definedName>
    <definedName name="delinquencies_20">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portfolio!$A$1:$G$56</definedName>
    <definedName name="portfolio_p.p._20">portfolio!$B:$G</definedName>
    <definedName name="rating">rating!$A$1:$S$20</definedName>
    <definedName name="rating_c20">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3" i="78"/>
  <c r="I57" i="78"/>
  <c r="H57" i="78"/>
  <c r="G57" i="78"/>
  <c r="F57" i="78"/>
  <c r="E57" i="78"/>
  <c r="D57" i="78"/>
  <c r="I52" i="78"/>
  <c r="H52" i="78"/>
  <c r="G52" i="78"/>
  <c r="F52" i="78"/>
  <c r="E52" i="78"/>
  <c r="D52" i="78"/>
  <c r="I47" i="78"/>
  <c r="H47" i="78"/>
  <c r="G47" i="78"/>
  <c r="F47" i="78"/>
  <c r="E47" i="78"/>
  <c r="D47" i="78"/>
  <c r="I41" i="78"/>
  <c r="H41" i="78"/>
  <c r="G41" i="78"/>
  <c r="F41" i="78"/>
  <c r="E41" i="78"/>
  <c r="D41" i="78"/>
  <c r="I35" i="78"/>
  <c r="H35" i="78"/>
  <c r="G35" i="78"/>
  <c r="F35" i="78"/>
  <c r="E35" i="78"/>
  <c r="D35"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5" i="83"/>
  <c r="D65" i="83"/>
  <c r="S64" i="83"/>
  <c r="Q64" i="83"/>
  <c r="D64" i="83" s="1"/>
  <c r="O64" i="83"/>
  <c r="M64" i="83"/>
  <c r="K64" i="83"/>
  <c r="I64" i="83"/>
  <c r="G64" i="83"/>
  <c r="E64" i="83"/>
  <c r="S63" i="83"/>
  <c r="Q63" i="83"/>
  <c r="O63" i="83"/>
  <c r="M63" i="83"/>
  <c r="K63" i="83"/>
  <c r="I63" i="83"/>
  <c r="G63" i="83"/>
  <c r="E63" i="83"/>
  <c r="D63" i="83"/>
  <c r="S62" i="83"/>
  <c r="Q62" i="83"/>
  <c r="O62" i="83"/>
  <c r="M62" i="83"/>
  <c r="K62" i="83"/>
  <c r="I62" i="83"/>
  <c r="G62" i="83"/>
  <c r="E62" i="83"/>
  <c r="D62" i="83" s="1"/>
  <c r="S61" i="83"/>
  <c r="Q61" i="83"/>
  <c r="O61" i="83"/>
  <c r="M61" i="83"/>
  <c r="K61" i="83"/>
  <c r="I61" i="83"/>
  <c r="G61" i="83"/>
  <c r="E61" i="83"/>
  <c r="S60" i="83"/>
  <c r="Q60" i="83"/>
  <c r="O60" i="83"/>
  <c r="M60" i="83"/>
  <c r="K60" i="83"/>
  <c r="I60" i="83"/>
  <c r="G60" i="83"/>
  <c r="E60" i="83"/>
  <c r="S59" i="83"/>
  <c r="Q59" i="83"/>
  <c r="O59" i="83"/>
  <c r="M59" i="83"/>
  <c r="K59" i="83"/>
  <c r="I59" i="83"/>
  <c r="G59" i="83"/>
  <c r="D59" i="83" s="1"/>
  <c r="E59"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E31" i="83"/>
  <c r="M30" i="83"/>
  <c r="E30" i="83"/>
  <c r="D58" i="83" s="1"/>
  <c r="M29" i="83"/>
  <c r="E29"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D19" i="69"/>
  <c r="H18" i="69"/>
  <c r="D18" i="69"/>
  <c r="H17" i="69"/>
  <c r="F17" i="69"/>
  <c r="D17" i="69"/>
  <c r="H16" i="69"/>
  <c r="F16" i="69"/>
  <c r="D16" i="69"/>
  <c r="H15" i="69"/>
  <c r="D15" i="69"/>
  <c r="H14" i="69"/>
  <c r="F14" i="69" s="1"/>
  <c r="D14" i="69"/>
  <c r="D21" i="69" s="1"/>
  <c r="E20" i="69" s="1"/>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F29" i="50"/>
  <c r="E29" i="50"/>
  <c r="G28" i="50"/>
  <c r="E28" i="50"/>
  <c r="G27" i="50"/>
  <c r="E27" i="50"/>
  <c r="G26" i="50"/>
  <c r="E26" i="50"/>
  <c r="G25" i="50"/>
  <c r="E25" i="50"/>
  <c r="G24" i="50"/>
  <c r="E24" i="50"/>
  <c r="G23" i="50"/>
  <c r="F23" i="50"/>
  <c r="E23" i="50"/>
  <c r="G22" i="50"/>
  <c r="E22" i="50"/>
  <c r="G21" i="50"/>
  <c r="F21" i="50"/>
  <c r="E21" i="50"/>
  <c r="G20" i="50"/>
  <c r="E20" i="50"/>
  <c r="G19" i="50"/>
  <c r="F19" i="50"/>
  <c r="E19" i="50"/>
  <c r="G18" i="50"/>
  <c r="E18" i="50"/>
  <c r="G17" i="50"/>
  <c r="E17" i="50"/>
  <c r="G16" i="50"/>
  <c r="E16" i="50"/>
  <c r="G15" i="50"/>
  <c r="E15" i="50"/>
  <c r="G14" i="50"/>
  <c r="E14" i="50"/>
  <c r="E30" i="50" s="1"/>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E22" i="46"/>
  <c r="G21" i="46"/>
  <c r="E21" i="46"/>
  <c r="G15" i="46"/>
  <c r="E15" i="46"/>
  <c r="H14" i="46"/>
  <c r="H16" i="46" s="1"/>
  <c r="G14" i="46"/>
  <c r="G16" i="46" s="1"/>
  <c r="H15" i="46" s="1"/>
  <c r="E14" i="46"/>
  <c r="G7" i="46"/>
  <c r="E7" i="46"/>
  <c r="D7" i="46"/>
  <c r="I6" i="46"/>
  <c r="G6" i="46"/>
  <c r="E6" i="46"/>
  <c r="D6" i="46"/>
  <c r="D5" i="46"/>
  <c r="D4" i="46"/>
  <c r="D3" i="46"/>
  <c r="B3" i="46"/>
  <c r="D2" i="46"/>
  <c r="B2" i="46"/>
  <c r="G15" i="44"/>
  <c r="E15" i="44"/>
  <c r="G14" i="44"/>
  <c r="E14" i="44"/>
  <c r="G7" i="44"/>
  <c r="E7" i="44"/>
  <c r="D7" i="44"/>
  <c r="I6" i="44"/>
  <c r="G6" i="44"/>
  <c r="E6" i="44"/>
  <c r="D6" i="44"/>
  <c r="D5" i="44"/>
  <c r="D4" i="44"/>
  <c r="D3" i="44"/>
  <c r="B3" i="44"/>
  <c r="D2" i="44"/>
  <c r="B2" i="44"/>
  <c r="G15" i="43"/>
  <c r="E15" i="43"/>
  <c r="G14" i="43"/>
  <c r="E14" i="43"/>
  <c r="E16" i="43" s="1"/>
  <c r="F15"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5" i="41"/>
  <c r="H14" i="41"/>
  <c r="F14" i="41"/>
  <c r="G14" i="41" s="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P47" i="84"/>
  <c r="P46" i="84"/>
  <c r="N46" i="84"/>
  <c r="L46" i="84"/>
  <c r="J46" i="84"/>
  <c r="H46" i="84"/>
  <c r="F46" i="84"/>
  <c r="D46" i="84"/>
  <c r="P45" i="84"/>
  <c r="N45" i="84"/>
  <c r="L45" i="84"/>
  <c r="J45" i="84"/>
  <c r="H45" i="84"/>
  <c r="F45" i="84"/>
  <c r="D45" i="84"/>
  <c r="L43" i="84"/>
  <c r="P42" i="84"/>
  <c r="P41" i="84"/>
  <c r="P44" i="84" s="1"/>
  <c r="C40" i="84"/>
  <c r="C38" i="84"/>
  <c r="N33" i="84"/>
  <c r="N35" i="84" s="1"/>
  <c r="N32" i="84"/>
  <c r="N43" i="84" s="1"/>
  <c r="H32" i="84"/>
  <c r="H43" i="84" s="1"/>
  <c r="P31" i="84"/>
  <c r="P32" i="84" s="1"/>
  <c r="P43" i="84" s="1"/>
  <c r="N31" i="84"/>
  <c r="L31" i="84"/>
  <c r="L32" i="84" s="1"/>
  <c r="J31" i="84"/>
  <c r="H31" i="84"/>
  <c r="F31" i="84"/>
  <c r="D31" i="84"/>
  <c r="C30" i="84"/>
  <c r="C29" i="84"/>
  <c r="P27" i="84"/>
  <c r="N27" i="84"/>
  <c r="N41" i="84" s="1"/>
  <c r="N44" i="84" s="1"/>
  <c r="L27" i="84"/>
  <c r="J27" i="84"/>
  <c r="H27" i="84"/>
  <c r="H33" i="84" s="1"/>
  <c r="F27" i="84"/>
  <c r="D27" i="84"/>
  <c r="P24" i="84"/>
  <c r="N24" i="84"/>
  <c r="L24" i="84"/>
  <c r="L47" i="84" s="1"/>
  <c r="J24" i="84"/>
  <c r="J32" i="84" s="1"/>
  <c r="J43" i="84" s="1"/>
  <c r="H24" i="84"/>
  <c r="D24" i="84"/>
  <c r="D32" i="84" s="1"/>
  <c r="D43" i="84" s="1"/>
  <c r="N23" i="84"/>
  <c r="L23" i="84"/>
  <c r="J23" i="84"/>
  <c r="H23" i="84"/>
  <c r="F23" i="84"/>
  <c r="F24" i="84" s="1"/>
  <c r="C22" i="84"/>
  <c r="N21" i="84"/>
  <c r="L21" i="84"/>
  <c r="J21" i="84"/>
  <c r="H21" i="84"/>
  <c r="F21" i="84"/>
  <c r="D21" i="84"/>
  <c r="P17" i="84"/>
  <c r="N51" i="84" s="1"/>
  <c r="N17" i="84"/>
  <c r="L17" i="84"/>
  <c r="J17" i="84"/>
  <c r="H17" i="84"/>
  <c r="G7" i="84"/>
  <c r="D7" i="84"/>
  <c r="I6" i="84"/>
  <c r="G6" i="84"/>
  <c r="D6" i="84"/>
  <c r="D5" i="84"/>
  <c r="D4" i="84"/>
  <c r="D3" i="84"/>
  <c r="B3" i="84"/>
  <c r="D2" i="84"/>
  <c r="B2" i="84"/>
  <c r="G7" i="85"/>
  <c r="D7" i="85"/>
  <c r="I6" i="85"/>
  <c r="G6" i="85"/>
  <c r="D6" i="85"/>
  <c r="D5" i="85"/>
  <c r="D4" i="85"/>
  <c r="D3" i="85"/>
  <c r="B3" i="85"/>
  <c r="D2" i="85"/>
  <c r="B2" i="85"/>
  <c r="G7" i="91"/>
  <c r="D7" i="91"/>
  <c r="I6" i="91"/>
  <c r="G6" i="91"/>
  <c r="D6" i="91"/>
  <c r="D5" i="91"/>
  <c r="D4" i="91"/>
  <c r="D3" i="91"/>
  <c r="B3" i="91"/>
  <c r="D2" i="91"/>
  <c r="B2" i="91"/>
  <c r="F74" i="87"/>
  <c r="F39" i="85" s="1"/>
  <c r="H39" i="85" s="1"/>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G7" i="87"/>
  <c r="D7" i="87"/>
  <c r="I6" i="87"/>
  <c r="G6" i="87"/>
  <c r="D6" i="87"/>
  <c r="D5" i="87"/>
  <c r="D4" i="87"/>
  <c r="D3" i="87"/>
  <c r="B3" i="87"/>
  <c r="D2" i="87"/>
  <c r="B2" i="87"/>
  <c r="G7" i="86"/>
  <c r="D7" i="86"/>
  <c r="I6" i="86"/>
  <c r="G6" i="86"/>
  <c r="D6" i="86"/>
  <c r="D5" i="86"/>
  <c r="D4" i="86"/>
  <c r="D3" i="86"/>
  <c r="B3" i="86"/>
  <c r="D2" i="86"/>
  <c r="B2" i="86"/>
  <c r="D43" i="57"/>
  <c r="D42" i="57"/>
  <c r="D41" i="57"/>
  <c r="D38" i="57"/>
  <c r="D37" i="57"/>
  <c r="F36" i="57"/>
  <c r="D34" i="57"/>
  <c r="D33" i="57"/>
  <c r="D32" i="57"/>
  <c r="D29" i="57"/>
  <c r="D28" i="57"/>
  <c r="F27" i="57"/>
  <c r="D25" i="57"/>
  <c r="D24" i="57"/>
  <c r="D23" i="57"/>
  <c r="D20" i="57"/>
  <c r="D19" i="57"/>
  <c r="D21" i="57" s="1"/>
  <c r="G7" i="57"/>
  <c r="E7" i="57"/>
  <c r="D7" i="57"/>
  <c r="I6" i="57"/>
  <c r="G6" i="57"/>
  <c r="F6" i="57"/>
  <c r="E6" i="57"/>
  <c r="D6" i="57"/>
  <c r="D5" i="57"/>
  <c r="D4" i="57"/>
  <c r="D3" i="57"/>
  <c r="B3" i="57"/>
  <c r="D2" i="57"/>
  <c r="B2" i="57"/>
  <c r="G7" i="92"/>
  <c r="E7" i="92"/>
  <c r="D7" i="92"/>
  <c r="I6" i="92"/>
  <c r="G6" i="92"/>
  <c r="E6" i="92"/>
  <c r="D6" i="92"/>
  <c r="D5" i="92"/>
  <c r="D4" i="92"/>
  <c r="D3" i="92"/>
  <c r="B3"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D5" i="70"/>
  <c r="D4" i="70"/>
  <c r="D3" i="70"/>
  <c r="B3" i="70"/>
  <c r="F2" i="70"/>
  <c r="D2" i="70"/>
  <c r="B2" i="70"/>
  <c r="F6" i="56"/>
  <c r="F6" i="92" s="1"/>
  <c r="F4" i="56"/>
  <c r="F3" i="56"/>
  <c r="F5" i="56" s="1"/>
  <c r="F2" i="56"/>
  <c r="F5" i="69" l="1"/>
  <c r="F5" i="83"/>
  <c r="F5" i="50"/>
  <c r="F5" i="89"/>
  <c r="F5" i="71"/>
  <c r="H5" i="72"/>
  <c r="F5" i="79"/>
  <c r="G5" i="78"/>
  <c r="F5" i="90"/>
  <c r="F5" i="65"/>
  <c r="H5" i="82"/>
  <c r="F5" i="43"/>
  <c r="F5" i="48"/>
  <c r="F5" i="47"/>
  <c r="F5" i="46"/>
  <c r="F5" i="44"/>
  <c r="F5" i="66"/>
  <c r="F5" i="64"/>
  <c r="F5" i="63"/>
  <c r="F5" i="61"/>
  <c r="F5" i="40"/>
  <c r="F5" i="67"/>
  <c r="F5" i="49"/>
  <c r="F5" i="42"/>
  <c r="F5" i="37"/>
  <c r="F5" i="85"/>
  <c r="F5" i="41"/>
  <c r="F5" i="84"/>
  <c r="F5" i="62"/>
  <c r="F5" i="87"/>
  <c r="F5" i="91"/>
  <c r="F5" i="92"/>
  <c r="F5" i="57"/>
  <c r="F5" i="86"/>
  <c r="F5" i="70"/>
  <c r="F4" i="67"/>
  <c r="F4" i="49"/>
  <c r="H4" i="82"/>
  <c r="F4" i="66"/>
  <c r="F4" i="48"/>
  <c r="F4" i="69"/>
  <c r="F4" i="83"/>
  <c r="F4" i="50"/>
  <c r="F4" i="89"/>
  <c r="F4" i="71"/>
  <c r="F4" i="43"/>
  <c r="F4" i="41"/>
  <c r="H4" i="72"/>
  <c r="F4" i="79"/>
  <c r="G4" i="78"/>
  <c r="F4" i="90"/>
  <c r="F4" i="42"/>
  <c r="F4" i="47"/>
  <c r="F4" i="46"/>
  <c r="F4" i="44"/>
  <c r="F4" i="62"/>
  <c r="F4" i="63"/>
  <c r="F4" i="65"/>
  <c r="F4" i="64"/>
  <c r="F4" i="40"/>
  <c r="F4" i="61"/>
  <c r="F4" i="37"/>
  <c r="F4" i="84"/>
  <c r="F4" i="85"/>
  <c r="F4" i="86"/>
  <c r="F4" i="91"/>
  <c r="F4" i="57"/>
  <c r="F4" i="92"/>
  <c r="F4" i="87"/>
  <c r="F3" i="65"/>
  <c r="F3" i="64"/>
  <c r="F3" i="67"/>
  <c r="F3" i="49"/>
  <c r="H3" i="82"/>
  <c r="F3" i="66"/>
  <c r="F3" i="48"/>
  <c r="F3" i="69"/>
  <c r="F3" i="47"/>
  <c r="F3" i="44"/>
  <c r="F3" i="63"/>
  <c r="F3" i="62"/>
  <c r="F3" i="83"/>
  <c r="F3" i="50"/>
  <c r="H3" i="72"/>
  <c r="F3" i="89"/>
  <c r="F3" i="41"/>
  <c r="G3" i="78"/>
  <c r="F3" i="43"/>
  <c r="F3" i="42"/>
  <c r="F3" i="71"/>
  <c r="F3" i="61"/>
  <c r="F3" i="84"/>
  <c r="F3" i="46"/>
  <c r="F3" i="79"/>
  <c r="F3" i="90"/>
  <c r="F3" i="37"/>
  <c r="F3" i="85"/>
  <c r="F3" i="40"/>
  <c r="F3" i="91"/>
  <c r="F3" i="87"/>
  <c r="F3" i="57"/>
  <c r="F22" i="49"/>
  <c r="H6" i="56"/>
  <c r="F3" i="70"/>
  <c r="F6" i="70"/>
  <c r="F6" i="86"/>
  <c r="H7" i="56"/>
  <c r="F4" i="70"/>
  <c r="F3" i="92"/>
  <c r="F6" i="89"/>
  <c r="F6" i="90"/>
  <c r="H6" i="72"/>
  <c r="F6" i="79"/>
  <c r="G6" i="78"/>
  <c r="F6" i="65"/>
  <c r="F6" i="67"/>
  <c r="F6" i="49"/>
  <c r="F6" i="66"/>
  <c r="F6" i="48"/>
  <c r="F6" i="40"/>
  <c r="H6" i="82"/>
  <c r="F6" i="69"/>
  <c r="F6" i="71"/>
  <c r="F6" i="64"/>
  <c r="F6" i="63"/>
  <c r="F6" i="61"/>
  <c r="F6" i="83"/>
  <c r="F6" i="50"/>
  <c r="F6" i="41"/>
  <c r="F6" i="42"/>
  <c r="F6" i="43"/>
  <c r="F6" i="46"/>
  <c r="F6" i="62"/>
  <c r="F6" i="37"/>
  <c r="F6" i="44"/>
  <c r="F6" i="84"/>
  <c r="F6" i="47"/>
  <c r="F6" i="91"/>
  <c r="F6" i="85"/>
  <c r="F6" i="87"/>
  <c r="F7" i="56"/>
  <c r="F2" i="83"/>
  <c r="F2" i="50"/>
  <c r="F2" i="89"/>
  <c r="F2" i="71"/>
  <c r="H2" i="72"/>
  <c r="F2" i="79"/>
  <c r="G2" i="78"/>
  <c r="F2" i="90"/>
  <c r="F2" i="65"/>
  <c r="F2" i="64"/>
  <c r="F2" i="61"/>
  <c r="F2" i="67"/>
  <c r="F2" i="49"/>
  <c r="F2" i="48"/>
  <c r="F2" i="66"/>
  <c r="F2" i="46"/>
  <c r="F2" i="62"/>
  <c r="F2" i="41"/>
  <c r="F2" i="42"/>
  <c r="F2" i="85"/>
  <c r="F2" i="69"/>
  <c r="F2" i="44"/>
  <c r="H2" i="82"/>
  <c r="F2" i="40"/>
  <c r="F2" i="63"/>
  <c r="F2" i="43"/>
  <c r="F2" i="84"/>
  <c r="F2" i="47"/>
  <c r="F2" i="37"/>
  <c r="F2" i="91"/>
  <c r="F2" i="87"/>
  <c r="F2" i="86"/>
  <c r="F2" i="57"/>
  <c r="F2" i="92"/>
  <c r="F3" i="86"/>
  <c r="F22" i="87"/>
  <c r="J41" i="84"/>
  <c r="J44" i="84" s="1"/>
  <c r="J33" i="84"/>
  <c r="L51" i="84"/>
  <c r="J51" i="84"/>
  <c r="F47" i="84"/>
  <c r="D33" i="84"/>
  <c r="C27" i="84"/>
  <c r="D41" i="84"/>
  <c r="D44" i="84" s="1"/>
  <c r="H51" i="84"/>
  <c r="H35" i="84"/>
  <c r="F19" i="40"/>
  <c r="L41" i="84"/>
  <c r="L44" i="84" s="1"/>
  <c r="H41" i="84"/>
  <c r="H44" i="84" s="1"/>
  <c r="D47" i="84"/>
  <c r="H21" i="37"/>
  <c r="F39" i="40"/>
  <c r="F51" i="84"/>
  <c r="L33" i="84"/>
  <c r="H47" i="84"/>
  <c r="H18" i="37"/>
  <c r="F32" i="40"/>
  <c r="F51" i="40"/>
  <c r="G31" i="42"/>
  <c r="H22" i="42" s="1"/>
  <c r="J47" i="84"/>
  <c r="H43" i="37"/>
  <c r="F25" i="40"/>
  <c r="H40" i="40"/>
  <c r="F41" i="84"/>
  <c r="H19" i="37"/>
  <c r="H33" i="37"/>
  <c r="H50" i="37"/>
  <c r="F61" i="37"/>
  <c r="G65" i="37"/>
  <c r="H52" i="37" s="1"/>
  <c r="H27" i="49"/>
  <c r="F17" i="84"/>
  <c r="D51" i="84" s="1"/>
  <c r="D17" i="84"/>
  <c r="F32" i="84"/>
  <c r="F43" i="84" s="1"/>
  <c r="N47" i="84"/>
  <c r="H26" i="37"/>
  <c r="F15" i="40"/>
  <c r="E55" i="40"/>
  <c r="F40" i="40" s="1"/>
  <c r="H15" i="37"/>
  <c r="H42" i="37"/>
  <c r="G55" i="40"/>
  <c r="F43" i="40"/>
  <c r="F15" i="42"/>
  <c r="E31" i="42"/>
  <c r="F27" i="42" s="1"/>
  <c r="H22" i="49"/>
  <c r="F14" i="44"/>
  <c r="F16" i="44" s="1"/>
  <c r="E16" i="44"/>
  <c r="F15" i="44" s="1"/>
  <c r="F18" i="48"/>
  <c r="H15" i="49"/>
  <c r="P33" i="84"/>
  <c r="H34" i="37"/>
  <c r="H37" i="37"/>
  <c r="F16" i="40"/>
  <c r="F23" i="40"/>
  <c r="H44" i="40"/>
  <c r="F48" i="40"/>
  <c r="E16" i="41"/>
  <c r="H15" i="41"/>
  <c r="F15" i="41"/>
  <c r="F21" i="46"/>
  <c r="E23" i="46"/>
  <c r="E65" i="37"/>
  <c r="H40" i="37"/>
  <c r="H46" i="37"/>
  <c r="H49" i="37"/>
  <c r="H16" i="40"/>
  <c r="F27" i="40"/>
  <c r="F18" i="69"/>
  <c r="I18" i="69"/>
  <c r="H21" i="69"/>
  <c r="H24" i="37"/>
  <c r="F63" i="37"/>
  <c r="F17" i="40"/>
  <c r="H20" i="40"/>
  <c r="F31" i="40"/>
  <c r="F49" i="40"/>
  <c r="E16" i="46"/>
  <c r="F15" i="46" s="1"/>
  <c r="F22" i="46"/>
  <c r="E16" i="69"/>
  <c r="E19" i="69"/>
  <c r="F20" i="37"/>
  <c r="H41" i="37"/>
  <c r="H47" i="37"/>
  <c r="H63" i="37"/>
  <c r="H24" i="40"/>
  <c r="H38" i="40"/>
  <c r="H24" i="48"/>
  <c r="F33" i="84"/>
  <c r="H52" i="84" s="1"/>
  <c r="F53" i="37"/>
  <c r="H60" i="37"/>
  <c r="F14" i="40"/>
  <c r="F22" i="40"/>
  <c r="F30" i="40"/>
  <c r="F38" i="40"/>
  <c r="F46" i="40"/>
  <c r="G16" i="43"/>
  <c r="H15" i="43" s="1"/>
  <c r="G16" i="44"/>
  <c r="H14" i="44" s="1"/>
  <c r="F14" i="48"/>
  <c r="E42" i="48"/>
  <c r="F21" i="48" s="1"/>
  <c r="I16" i="69"/>
  <c r="F20" i="40"/>
  <c r="F28" i="40"/>
  <c r="F36" i="40"/>
  <c r="F44" i="40"/>
  <c r="F37" i="48"/>
  <c r="F20" i="49"/>
  <c r="H15" i="44"/>
  <c r="F19" i="48"/>
  <c r="H24" i="49"/>
  <c r="E15" i="69"/>
  <c r="H64" i="37"/>
  <c r="F18" i="40"/>
  <c r="F26" i="40"/>
  <c r="F34" i="40"/>
  <c r="F42" i="40"/>
  <c r="E28" i="47"/>
  <c r="F21" i="49"/>
  <c r="F25" i="49"/>
  <c r="F27" i="37"/>
  <c r="F43" i="37"/>
  <c r="F18" i="49"/>
  <c r="G28" i="47"/>
  <c r="F31" i="48"/>
  <c r="F19" i="49"/>
  <c r="H25" i="49"/>
  <c r="F28" i="50"/>
  <c r="F26" i="50"/>
  <c r="F24" i="50"/>
  <c r="F22" i="50"/>
  <c r="F20" i="50"/>
  <c r="F18" i="50"/>
  <c r="F16" i="50"/>
  <c r="F14" i="50"/>
  <c r="F17" i="50"/>
  <c r="H23" i="50"/>
  <c r="F21" i="69"/>
  <c r="G14" i="69" s="1"/>
  <c r="E17" i="69"/>
  <c r="D60" i="83"/>
  <c r="D61" i="83"/>
  <c r="F14" i="43"/>
  <c r="F16" i="43" s="1"/>
  <c r="F25" i="48"/>
  <c r="H19" i="49"/>
  <c r="F26" i="49"/>
  <c r="G30" i="50"/>
  <c r="H29" i="50" s="1"/>
  <c r="H17" i="50"/>
  <c r="F27" i="50"/>
  <c r="H62" i="37"/>
  <c r="G23" i="46"/>
  <c r="H21" i="46" s="1"/>
  <c r="F29" i="48"/>
  <c r="F14" i="49"/>
  <c r="F17" i="49"/>
  <c r="F15" i="50"/>
  <c r="F17" i="42"/>
  <c r="H15" i="47"/>
  <c r="F20" i="48"/>
  <c r="F39" i="48"/>
  <c r="G29" i="49"/>
  <c r="H28" i="49" s="1"/>
  <c r="H17" i="49"/>
  <c r="F24" i="49"/>
  <c r="F27" i="49"/>
  <c r="H15" i="50"/>
  <c r="F25" i="50"/>
  <c r="E18" i="69"/>
  <c r="M31" i="83"/>
  <c r="G42" i="48"/>
  <c r="H20" i="48" s="1"/>
  <c r="F15" i="49"/>
  <c r="H21" i="49"/>
  <c r="F28" i="49"/>
  <c r="E29" i="49"/>
  <c r="F16" i="49" s="1"/>
  <c r="F15" i="69"/>
  <c r="F19" i="69"/>
  <c r="E14" i="69"/>
  <c r="E21" i="69" s="1"/>
  <c r="G16" i="69" l="1"/>
  <c r="H24" i="47"/>
  <c r="H14" i="47"/>
  <c r="H22" i="47"/>
  <c r="F29" i="42"/>
  <c r="F20" i="47"/>
  <c r="F22" i="47"/>
  <c r="F26" i="47"/>
  <c r="F17" i="47"/>
  <c r="F14" i="47"/>
  <c r="F16" i="47"/>
  <c r="F27" i="47"/>
  <c r="F18" i="47"/>
  <c r="F24" i="47"/>
  <c r="F23" i="47"/>
  <c r="H16" i="42"/>
  <c r="F64" i="37"/>
  <c r="F62" i="37"/>
  <c r="F52" i="37"/>
  <c r="F54" i="37"/>
  <c r="F58" i="37"/>
  <c r="E69" i="37"/>
  <c r="F50" i="37"/>
  <c r="F44" i="37"/>
  <c r="F24" i="37"/>
  <c r="F40" i="37"/>
  <c r="F28" i="37"/>
  <c r="F26" i="37"/>
  <c r="F16" i="37"/>
  <c r="F56" i="37"/>
  <c r="F34" i="37"/>
  <c r="F18" i="37"/>
  <c r="F29" i="37"/>
  <c r="H53" i="40"/>
  <c r="H51" i="40"/>
  <c r="H49" i="40"/>
  <c r="H47" i="40"/>
  <c r="H45" i="40"/>
  <c r="H43" i="40"/>
  <c r="H41" i="40"/>
  <c r="H39" i="40"/>
  <c r="H37" i="40"/>
  <c r="H35" i="40"/>
  <c r="H33" i="40"/>
  <c r="H31" i="40"/>
  <c r="H29" i="40"/>
  <c r="H27" i="40"/>
  <c r="H25" i="40"/>
  <c r="H23" i="40"/>
  <c r="H21" i="40"/>
  <c r="H19" i="40"/>
  <c r="H17" i="40"/>
  <c r="H15" i="40"/>
  <c r="H52" i="40"/>
  <c r="H54" i="40"/>
  <c r="H46" i="40"/>
  <c r="H48" i="40"/>
  <c r="H34" i="40"/>
  <c r="H26" i="40"/>
  <c r="H18" i="40"/>
  <c r="H42" i="40"/>
  <c r="H50" i="40"/>
  <c r="C32" i="70"/>
  <c r="F44" i="84"/>
  <c r="F60" i="37"/>
  <c r="F32" i="37"/>
  <c r="N52" i="84"/>
  <c r="H19" i="50"/>
  <c r="F23" i="48"/>
  <c r="H23" i="49"/>
  <c r="F22" i="48"/>
  <c r="F15" i="48"/>
  <c r="F42" i="48" s="1"/>
  <c r="H23" i="42"/>
  <c r="F50" i="40"/>
  <c r="F52" i="40"/>
  <c r="F23" i="49"/>
  <c r="F29" i="49" s="1"/>
  <c r="F54" i="40"/>
  <c r="F37" i="37"/>
  <c r="F35" i="40"/>
  <c r="F24" i="40"/>
  <c r="F17" i="37"/>
  <c r="H58" i="37"/>
  <c r="F35" i="48"/>
  <c r="F41" i="40"/>
  <c r="F19" i="37"/>
  <c r="F15" i="47"/>
  <c r="H56" i="37"/>
  <c r="H61" i="37"/>
  <c r="F33" i="40"/>
  <c r="H20" i="47"/>
  <c r="F36" i="37"/>
  <c r="F42" i="37"/>
  <c r="H20" i="37"/>
  <c r="F52" i="84"/>
  <c r="F26" i="42"/>
  <c r="F16" i="42"/>
  <c r="F14" i="42"/>
  <c r="F30" i="42"/>
  <c r="F24" i="42"/>
  <c r="H30" i="42"/>
  <c r="H21" i="42"/>
  <c r="H14" i="42"/>
  <c r="H27" i="42"/>
  <c r="H20" i="42"/>
  <c r="H28" i="42"/>
  <c r="H25" i="42"/>
  <c r="H19" i="42"/>
  <c r="H18" i="42"/>
  <c r="H24" i="42"/>
  <c r="H26" i="42"/>
  <c r="C19" i="57"/>
  <c r="C28" i="57"/>
  <c r="C37" i="57"/>
  <c r="J6" i="72"/>
  <c r="H6" i="79"/>
  <c r="I6" i="78"/>
  <c r="H6" i="67"/>
  <c r="H6" i="49"/>
  <c r="H6" i="66"/>
  <c r="H6" i="69"/>
  <c r="H6" i="47"/>
  <c r="J6" i="82"/>
  <c r="H6" i="50"/>
  <c r="H6" i="71"/>
  <c r="H6" i="83"/>
  <c r="H6" i="64"/>
  <c r="H6" i="41"/>
  <c r="H6" i="43"/>
  <c r="H6" i="89"/>
  <c r="H6" i="90"/>
  <c r="H6" i="46"/>
  <c r="H6" i="44"/>
  <c r="H6" i="84"/>
  <c r="H6" i="61"/>
  <c r="H6" i="48"/>
  <c r="H6" i="63"/>
  <c r="H6" i="62"/>
  <c r="H6" i="37"/>
  <c r="H6" i="65"/>
  <c r="H6" i="40"/>
  <c r="H6" i="85"/>
  <c r="H6" i="42"/>
  <c r="H6" i="91"/>
  <c r="H6" i="57"/>
  <c r="H6" i="86"/>
  <c r="H6" i="87"/>
  <c r="H6" i="70"/>
  <c r="J6" i="56"/>
  <c r="H6" i="92"/>
  <c r="F19" i="42"/>
  <c r="H21" i="47"/>
  <c r="G20" i="69"/>
  <c r="G17" i="69"/>
  <c r="H23" i="47"/>
  <c r="F40" i="48"/>
  <c r="F38" i="48"/>
  <c r="F36" i="48"/>
  <c r="F34" i="48"/>
  <c r="F32" i="48"/>
  <c r="F30" i="48"/>
  <c r="F28" i="48"/>
  <c r="F26" i="48"/>
  <c r="F24" i="48"/>
  <c r="F21" i="37"/>
  <c r="I20" i="69"/>
  <c r="I14" i="69"/>
  <c r="P35" i="84"/>
  <c r="H29" i="42"/>
  <c r="F51" i="37"/>
  <c r="H59" i="37"/>
  <c r="H53" i="37"/>
  <c r="H57" i="37"/>
  <c r="H38" i="37"/>
  <c r="H35" i="37"/>
  <c r="H27" i="37"/>
  <c r="H14" i="37"/>
  <c r="H55" i="37"/>
  <c r="H32" i="37"/>
  <c r="H29" i="37"/>
  <c r="H16" i="37"/>
  <c r="H36" i="37"/>
  <c r="H39" i="37"/>
  <c r="H22" i="37"/>
  <c r="H28" i="37"/>
  <c r="H48" i="37"/>
  <c r="H51" i="37"/>
  <c r="H17" i="37"/>
  <c r="H54" i="37"/>
  <c r="H23" i="37"/>
  <c r="H44" i="37"/>
  <c r="H45" i="37"/>
  <c r="F17" i="48"/>
  <c r="H15" i="42"/>
  <c r="H25" i="37"/>
  <c r="H31" i="37"/>
  <c r="F47" i="40"/>
  <c r="F35" i="84"/>
  <c r="F23" i="46"/>
  <c r="F20" i="42"/>
  <c r="G15" i="41"/>
  <c r="F55" i="37"/>
  <c r="H16" i="44"/>
  <c r="F14" i="46"/>
  <c r="F16" i="46" s="1"/>
  <c r="F59" i="37"/>
  <c r="F21" i="42"/>
  <c r="F38" i="37"/>
  <c r="F46" i="37"/>
  <c r="F23" i="37"/>
  <c r="H36" i="40"/>
  <c r="L35" i="84"/>
  <c r="F39" i="37"/>
  <c r="F7" i="71"/>
  <c r="H7" i="82"/>
  <c r="F7" i="83"/>
  <c r="F7" i="90"/>
  <c r="F7" i="65"/>
  <c r="F7" i="64"/>
  <c r="F7" i="89"/>
  <c r="F7" i="67"/>
  <c r="F7" i="49"/>
  <c r="F7" i="46"/>
  <c r="F7" i="42"/>
  <c r="H7" i="72"/>
  <c r="F7" i="79"/>
  <c r="G7" i="78"/>
  <c r="F7" i="66"/>
  <c r="F7" i="48"/>
  <c r="F7" i="50"/>
  <c r="F7" i="47"/>
  <c r="F7" i="62"/>
  <c r="F7" i="41"/>
  <c r="F7" i="37"/>
  <c r="F7" i="44"/>
  <c r="F7" i="43"/>
  <c r="F7" i="63"/>
  <c r="F7" i="69"/>
  <c r="F7" i="40"/>
  <c r="F7" i="61"/>
  <c r="F7" i="85"/>
  <c r="F7" i="84"/>
  <c r="F7" i="87"/>
  <c r="F7" i="91"/>
  <c r="F7" i="86"/>
  <c r="F7" i="57"/>
  <c r="F7" i="70"/>
  <c r="F7" i="92"/>
  <c r="L52" i="84"/>
  <c r="F31" i="37"/>
  <c r="F57" i="37"/>
  <c r="F22" i="37"/>
  <c r="F94" i="92"/>
  <c r="C93" i="92"/>
  <c r="E91" i="92"/>
  <c r="G89" i="92"/>
  <c r="D88" i="92"/>
  <c r="F86" i="92"/>
  <c r="C85" i="92"/>
  <c r="E83" i="92"/>
  <c r="G81" i="92"/>
  <c r="D80" i="92"/>
  <c r="F78" i="92"/>
  <c r="C77" i="92"/>
  <c r="E75" i="92"/>
  <c r="G73" i="92"/>
  <c r="D72" i="92"/>
  <c r="F70" i="92"/>
  <c r="C69" i="92"/>
  <c r="E67" i="92"/>
  <c r="G65" i="92"/>
  <c r="D64" i="92"/>
  <c r="F62" i="92"/>
  <c r="C61" i="92"/>
  <c r="D93" i="92"/>
  <c r="D91" i="92"/>
  <c r="E89" i="92"/>
  <c r="F87" i="92"/>
  <c r="G85" i="92"/>
  <c r="C84" i="92"/>
  <c r="D82" i="92"/>
  <c r="E80" i="92"/>
  <c r="E78" i="92"/>
  <c r="F76" i="92"/>
  <c r="G74" i="92"/>
  <c r="C73" i="92"/>
  <c r="D71" i="92"/>
  <c r="E69" i="92"/>
  <c r="F67" i="92"/>
  <c r="F65" i="92"/>
  <c r="G63" i="92"/>
  <c r="C62" i="92"/>
  <c r="D60" i="92"/>
  <c r="F58" i="92"/>
  <c r="C57" i="92"/>
  <c r="E55" i="92"/>
  <c r="G53" i="92"/>
  <c r="D52" i="92"/>
  <c r="F50" i="92"/>
  <c r="C49" i="92"/>
  <c r="E47" i="92"/>
  <c r="G45" i="92"/>
  <c r="D44" i="92"/>
  <c r="F42" i="92"/>
  <c r="C41" i="92"/>
  <c r="E39" i="92"/>
  <c r="G37" i="92"/>
  <c r="D36" i="92"/>
  <c r="F34" i="92"/>
  <c r="C33" i="92"/>
  <c r="E31" i="92"/>
  <c r="G29" i="92"/>
  <c r="D28" i="92"/>
  <c r="F26" i="92"/>
  <c r="C25" i="92"/>
  <c r="E23" i="92"/>
  <c r="G21" i="92"/>
  <c r="D20" i="92"/>
  <c r="F18" i="92"/>
  <c r="C17" i="92"/>
  <c r="E15" i="92"/>
  <c r="G94" i="92"/>
  <c r="G92" i="92"/>
  <c r="C91" i="92"/>
  <c r="D89" i="92"/>
  <c r="E87" i="92"/>
  <c r="F85" i="92"/>
  <c r="G83" i="92"/>
  <c r="C82" i="92"/>
  <c r="C80" i="92"/>
  <c r="D78" i="92"/>
  <c r="E76" i="92"/>
  <c r="F74" i="92"/>
  <c r="G72" i="92"/>
  <c r="C71" i="92"/>
  <c r="D69" i="92"/>
  <c r="D67" i="92"/>
  <c r="E65" i="92"/>
  <c r="F63" i="92"/>
  <c r="G61" i="92"/>
  <c r="C60" i="92"/>
  <c r="E58" i="92"/>
  <c r="G56" i="92"/>
  <c r="D55" i="92"/>
  <c r="F53" i="92"/>
  <c r="C52" i="92"/>
  <c r="E50" i="92"/>
  <c r="G48" i="92"/>
  <c r="D47" i="92"/>
  <c r="F45" i="92"/>
  <c r="C44" i="92"/>
  <c r="E42" i="92"/>
  <c r="G40" i="92"/>
  <c r="D39" i="92"/>
  <c r="F37" i="92"/>
  <c r="C36" i="92"/>
  <c r="E34" i="92"/>
  <c r="G32" i="92"/>
  <c r="D31" i="92"/>
  <c r="F29" i="92"/>
  <c r="C28" i="92"/>
  <c r="E26" i="92"/>
  <c r="G24" i="92"/>
  <c r="D23" i="92"/>
  <c r="F21" i="92"/>
  <c r="C20" i="92"/>
  <c r="E18" i="92"/>
  <c r="G16" i="92"/>
  <c r="D15" i="92"/>
  <c r="D94" i="92"/>
  <c r="E92" i="92"/>
  <c r="F90" i="92"/>
  <c r="G88" i="92"/>
  <c r="C87" i="92"/>
  <c r="D85" i="92"/>
  <c r="D83" i="92"/>
  <c r="E81" i="92"/>
  <c r="F79" i="92"/>
  <c r="G77" i="92"/>
  <c r="C76" i="92"/>
  <c r="D74" i="92"/>
  <c r="E72" i="92"/>
  <c r="E70" i="92"/>
  <c r="F68" i="92"/>
  <c r="G66" i="92"/>
  <c r="C65" i="92"/>
  <c r="D63" i="92"/>
  <c r="E61" i="92"/>
  <c r="F59" i="92"/>
  <c r="C58" i="92"/>
  <c r="E56" i="92"/>
  <c r="G54" i="92"/>
  <c r="D53" i="92"/>
  <c r="F51" i="92"/>
  <c r="C50" i="92"/>
  <c r="E48" i="92"/>
  <c r="G46" i="92"/>
  <c r="D45" i="92"/>
  <c r="F43" i="92"/>
  <c r="C42" i="92"/>
  <c r="E40" i="92"/>
  <c r="G38" i="92"/>
  <c r="G93" i="92"/>
  <c r="C92" i="92"/>
  <c r="D90" i="92"/>
  <c r="E88" i="92"/>
  <c r="E86" i="92"/>
  <c r="F84" i="92"/>
  <c r="G82" i="92"/>
  <c r="C81" i="92"/>
  <c r="D79" i="92"/>
  <c r="E77" i="92"/>
  <c r="F75" i="92"/>
  <c r="F93" i="92"/>
  <c r="G91" i="92"/>
  <c r="C90" i="92"/>
  <c r="C88" i="92"/>
  <c r="D86" i="92"/>
  <c r="E84" i="92"/>
  <c r="F82" i="92"/>
  <c r="G80" i="92"/>
  <c r="C79" i="92"/>
  <c r="D77" i="92"/>
  <c r="D75" i="92"/>
  <c r="E73" i="92"/>
  <c r="F71" i="92"/>
  <c r="G69" i="92"/>
  <c r="C68" i="92"/>
  <c r="D66" i="92"/>
  <c r="E64" i="92"/>
  <c r="E62" i="92"/>
  <c r="F60" i="92"/>
  <c r="C59" i="92"/>
  <c r="E57" i="92"/>
  <c r="G55" i="92"/>
  <c r="D54" i="92"/>
  <c r="F52" i="92"/>
  <c r="C51" i="92"/>
  <c r="E49" i="92"/>
  <c r="G47" i="92"/>
  <c r="D46" i="92"/>
  <c r="F44" i="92"/>
  <c r="C43" i="92"/>
  <c r="E41" i="92"/>
  <c r="G39" i="92"/>
  <c r="D38" i="92"/>
  <c r="F36" i="92"/>
  <c r="C35" i="92"/>
  <c r="E33" i="92"/>
  <c r="G31" i="92"/>
  <c r="D30" i="92"/>
  <c r="F28" i="92"/>
  <c r="C27" i="92"/>
  <c r="E25" i="92"/>
  <c r="G23" i="92"/>
  <c r="D22" i="92"/>
  <c r="F20" i="92"/>
  <c r="C19" i="92"/>
  <c r="E17" i="92"/>
  <c r="G15" i="92"/>
  <c r="E90" i="92"/>
  <c r="E85" i="92"/>
  <c r="F80" i="92"/>
  <c r="G75" i="92"/>
  <c r="G71" i="92"/>
  <c r="D68" i="92"/>
  <c r="F64" i="92"/>
  <c r="G60" i="92"/>
  <c r="F57" i="92"/>
  <c r="E54" i="92"/>
  <c r="D51" i="92"/>
  <c r="C48" i="92"/>
  <c r="G44" i="92"/>
  <c r="F41" i="92"/>
  <c r="E38" i="92"/>
  <c r="F35" i="92"/>
  <c r="D33" i="92"/>
  <c r="F30" i="92"/>
  <c r="G27" i="92"/>
  <c r="F25" i="92"/>
  <c r="G22" i="92"/>
  <c r="E20" i="92"/>
  <c r="G17" i="92"/>
  <c r="C15" i="92"/>
  <c r="F40" i="85" s="1"/>
  <c r="H40" i="85" s="1"/>
  <c r="F92" i="92"/>
  <c r="G87" i="92"/>
  <c r="C83" i="92"/>
  <c r="C78" i="92"/>
  <c r="F73" i="92"/>
  <c r="C70" i="92"/>
  <c r="E66" i="92"/>
  <c r="D59" i="92"/>
  <c r="C56" i="92"/>
  <c r="G52" i="92"/>
  <c r="F49" i="92"/>
  <c r="E46" i="92"/>
  <c r="D43" i="92"/>
  <c r="C40" i="92"/>
  <c r="C37" i="92"/>
  <c r="C32" i="92"/>
  <c r="D29" i="92"/>
  <c r="G26" i="92"/>
  <c r="D24" i="92"/>
  <c r="E21" i="92"/>
  <c r="D19" i="92"/>
  <c r="E16" i="92"/>
  <c r="G90" i="92"/>
  <c r="G57" i="92"/>
  <c r="C45" i="92"/>
  <c r="F33" i="92"/>
  <c r="E28" i="92"/>
  <c r="C23" i="92"/>
  <c r="C18" i="92"/>
  <c r="E94" i="92"/>
  <c r="F89" i="92"/>
  <c r="G84" i="92"/>
  <c r="G79" i="92"/>
  <c r="C75" i="92"/>
  <c r="E71" i="92"/>
  <c r="G67" i="92"/>
  <c r="C64" i="92"/>
  <c r="E60" i="92"/>
  <c r="D57" i="92"/>
  <c r="C54" i="92"/>
  <c r="G50" i="92"/>
  <c r="F47" i="92"/>
  <c r="E44" i="92"/>
  <c r="D41" i="92"/>
  <c r="C38" i="92"/>
  <c r="E35" i="92"/>
  <c r="F32" i="92"/>
  <c r="E30" i="92"/>
  <c r="F27" i="92"/>
  <c r="D25" i="92"/>
  <c r="F22" i="92"/>
  <c r="G19" i="92"/>
  <c r="F17" i="92"/>
  <c r="D34" i="92"/>
  <c r="D48" i="92"/>
  <c r="C94" i="92"/>
  <c r="C89" i="92"/>
  <c r="D84" i="92"/>
  <c r="E79" i="92"/>
  <c r="E74" i="92"/>
  <c r="G70" i="92"/>
  <c r="C67" i="92"/>
  <c r="E63" i="92"/>
  <c r="G59" i="92"/>
  <c r="F56" i="92"/>
  <c r="E53" i="92"/>
  <c r="D50" i="92"/>
  <c r="C47" i="92"/>
  <c r="G43" i="92"/>
  <c r="F40" i="92"/>
  <c r="E37" i="92"/>
  <c r="D35" i="92"/>
  <c r="E32" i="92"/>
  <c r="C30" i="92"/>
  <c r="E27" i="92"/>
  <c r="F24" i="92"/>
  <c r="E22" i="92"/>
  <c r="F19" i="92"/>
  <c r="D17" i="92"/>
  <c r="C86" i="92"/>
  <c r="D81" i="92"/>
  <c r="D76" i="92"/>
  <c r="C72" i="92"/>
  <c r="E68" i="92"/>
  <c r="G64" i="92"/>
  <c r="D61" i="92"/>
  <c r="F54" i="92"/>
  <c r="E51" i="92"/>
  <c r="G41" i="92"/>
  <c r="G35" i="92"/>
  <c r="G30" i="92"/>
  <c r="G25" i="92"/>
  <c r="G20" i="92"/>
  <c r="E93" i="92"/>
  <c r="F88" i="92"/>
  <c r="F83" i="92"/>
  <c r="G78" i="92"/>
  <c r="C74" i="92"/>
  <c r="D70" i="92"/>
  <c r="F66" i="92"/>
  <c r="C63" i="92"/>
  <c r="E59" i="92"/>
  <c r="D56" i="92"/>
  <c r="C53" i="92"/>
  <c r="G49" i="92"/>
  <c r="F46" i="92"/>
  <c r="E43" i="92"/>
  <c r="D40" i="92"/>
  <c r="D37" i="92"/>
  <c r="G34" i="92"/>
  <c r="D32" i="92"/>
  <c r="E29" i="92"/>
  <c r="D27" i="92"/>
  <c r="E24" i="92"/>
  <c r="C22" i="92"/>
  <c r="E19" i="92"/>
  <c r="F16" i="92"/>
  <c r="G62" i="92"/>
  <c r="F15" i="92"/>
  <c r="D92" i="92"/>
  <c r="D87" i="92"/>
  <c r="E82" i="92"/>
  <c r="F77" i="92"/>
  <c r="D73" i="92"/>
  <c r="F69" i="92"/>
  <c r="C66" i="92"/>
  <c r="D62" i="92"/>
  <c r="G58" i="92"/>
  <c r="F55" i="92"/>
  <c r="E52" i="92"/>
  <c r="D49" i="92"/>
  <c r="C46" i="92"/>
  <c r="G42" i="92"/>
  <c r="F39" i="92"/>
  <c r="G36" i="92"/>
  <c r="C34" i="92"/>
  <c r="F31" i="92"/>
  <c r="C29" i="92"/>
  <c r="D26" i="92"/>
  <c r="C24" i="92"/>
  <c r="D21" i="92"/>
  <c r="G18" i="92"/>
  <c r="D16" i="92"/>
  <c r="F38" i="92"/>
  <c r="F91" i="92"/>
  <c r="G86" i="92"/>
  <c r="F81" i="92"/>
  <c r="G76" i="92"/>
  <c r="F72" i="92"/>
  <c r="G68" i="92"/>
  <c r="D65" i="92"/>
  <c r="F61" i="92"/>
  <c r="D58" i="92"/>
  <c r="C55" i="92"/>
  <c r="G51" i="92"/>
  <c r="F48" i="92"/>
  <c r="E45" i="92"/>
  <c r="D42" i="92"/>
  <c r="C39" i="92"/>
  <c r="E36" i="92"/>
  <c r="G33" i="92"/>
  <c r="C31" i="92"/>
  <c r="G28" i="92"/>
  <c r="C26" i="92"/>
  <c r="F23" i="92"/>
  <c r="C21" i="92"/>
  <c r="D18" i="92"/>
  <c r="C16" i="92"/>
  <c r="G19" i="69"/>
  <c r="F27" i="48"/>
  <c r="I17" i="69"/>
  <c r="H17" i="47"/>
  <c r="F19" i="47"/>
  <c r="F33" i="48"/>
  <c r="H41" i="48"/>
  <c r="H39" i="48"/>
  <c r="H37" i="48"/>
  <c r="H35" i="48"/>
  <c r="H33" i="48"/>
  <c r="H31" i="48"/>
  <c r="H29" i="48"/>
  <c r="H27" i="48"/>
  <c r="H25" i="48"/>
  <c r="H23" i="48"/>
  <c r="H21" i="48"/>
  <c r="H19" i="48"/>
  <c r="H17" i="48"/>
  <c r="H15" i="48"/>
  <c r="H36" i="48"/>
  <c r="H32" i="48"/>
  <c r="H16" i="48"/>
  <c r="H38" i="48"/>
  <c r="H34" i="48"/>
  <c r="H18" i="48"/>
  <c r="H40" i="48"/>
  <c r="H30" i="48"/>
  <c r="H26" i="48"/>
  <c r="H14" i="48"/>
  <c r="H28" i="48"/>
  <c r="I15" i="69"/>
  <c r="H25" i="47"/>
  <c r="H16" i="47"/>
  <c r="F49" i="37"/>
  <c r="F22" i="42"/>
  <c r="F30" i="37"/>
  <c r="H17" i="42"/>
  <c r="F47" i="37"/>
  <c r="H30" i="40"/>
  <c r="F35" i="37"/>
  <c r="E17" i="41"/>
  <c r="H16" i="41"/>
  <c r="F16" i="41"/>
  <c r="G16" i="41" s="1"/>
  <c r="H32" i="40"/>
  <c r="H26" i="47"/>
  <c r="H18" i="47"/>
  <c r="F48" i="37"/>
  <c r="H4" i="70"/>
  <c r="F18" i="70"/>
  <c r="P52" i="84"/>
  <c r="F99" i="91"/>
  <c r="G98" i="91"/>
  <c r="H97" i="91"/>
  <c r="I96" i="91"/>
  <c r="J95" i="91"/>
  <c r="K94" i="91"/>
  <c r="C94" i="91"/>
  <c r="D93" i="91"/>
  <c r="E92" i="91"/>
  <c r="F91" i="91"/>
  <c r="G90" i="91"/>
  <c r="H89" i="91"/>
  <c r="I88" i="91"/>
  <c r="J87" i="91"/>
  <c r="K86" i="91"/>
  <c r="C86" i="91"/>
  <c r="D85" i="91"/>
  <c r="E84" i="91"/>
  <c r="F83" i="91"/>
  <c r="G82" i="91"/>
  <c r="H81" i="91"/>
  <c r="I80" i="91"/>
  <c r="J79" i="91"/>
  <c r="K78" i="91"/>
  <c r="C78" i="91"/>
  <c r="D77" i="91"/>
  <c r="E76" i="91"/>
  <c r="F75" i="91"/>
  <c r="G74" i="91"/>
  <c r="H73" i="91"/>
  <c r="I72" i="91"/>
  <c r="J71" i="91"/>
  <c r="K70" i="91"/>
  <c r="C70" i="91"/>
  <c r="D69" i="91"/>
  <c r="I99" i="91"/>
  <c r="I98" i="91"/>
  <c r="I97" i="91"/>
  <c r="H96" i="91"/>
  <c r="H95" i="91"/>
  <c r="H94" i="91"/>
  <c r="H93" i="91"/>
  <c r="H92" i="91"/>
  <c r="H91" i="91"/>
  <c r="H90" i="91"/>
  <c r="G89" i="91"/>
  <c r="G88" i="91"/>
  <c r="G87" i="91"/>
  <c r="G86" i="91"/>
  <c r="G85" i="91"/>
  <c r="G84" i="91"/>
  <c r="G83" i="91"/>
  <c r="F82" i="91"/>
  <c r="F81" i="91"/>
  <c r="F80" i="91"/>
  <c r="F79" i="91"/>
  <c r="F78" i="91"/>
  <c r="F77" i="91"/>
  <c r="F76" i="91"/>
  <c r="E75" i="91"/>
  <c r="E74" i="91"/>
  <c r="E73" i="91"/>
  <c r="E72" i="91"/>
  <c r="E71" i="91"/>
  <c r="E70" i="91"/>
  <c r="E69" i="91"/>
  <c r="E68" i="91"/>
  <c r="F67" i="91"/>
  <c r="G66" i="91"/>
  <c r="H65" i="91"/>
  <c r="I64" i="91"/>
  <c r="J63" i="91"/>
  <c r="K62" i="91"/>
  <c r="C62" i="91"/>
  <c r="D61" i="91"/>
  <c r="E60" i="91"/>
  <c r="F59" i="91"/>
  <c r="H99" i="91"/>
  <c r="F98" i="91"/>
  <c r="E97" i="91"/>
  <c r="D96" i="91"/>
  <c r="C95" i="91"/>
  <c r="J93" i="91"/>
  <c r="I92" i="91"/>
  <c r="G91" i="91"/>
  <c r="E90" i="91"/>
  <c r="D89" i="91"/>
  <c r="C88" i="91"/>
  <c r="J86" i="91"/>
  <c r="I85" i="91"/>
  <c r="H84" i="91"/>
  <c r="E83" i="91"/>
  <c r="D82" i="91"/>
  <c r="C81" i="91"/>
  <c r="K79" i="91"/>
  <c r="I78" i="91"/>
  <c r="H77" i="91"/>
  <c r="G76" i="91"/>
  <c r="D75" i="91"/>
  <c r="C74" i="91"/>
  <c r="H29" i="87" s="1"/>
  <c r="K72" i="91"/>
  <c r="I71" i="91"/>
  <c r="H70" i="91"/>
  <c r="G69" i="91"/>
  <c r="F68" i="91"/>
  <c r="E67" i="91"/>
  <c r="E66" i="91"/>
  <c r="E65" i="91"/>
  <c r="E64" i="91"/>
  <c r="E63" i="91"/>
  <c r="E62" i="91"/>
  <c r="E61" i="91"/>
  <c r="D60" i="91"/>
  <c r="D59" i="91"/>
  <c r="E58" i="91"/>
  <c r="F57" i="91"/>
  <c r="G56" i="91"/>
  <c r="H55" i="91"/>
  <c r="I54" i="91"/>
  <c r="J53" i="91"/>
  <c r="K52" i="91"/>
  <c r="C52" i="91"/>
  <c r="D51" i="91"/>
  <c r="E50" i="91"/>
  <c r="F49" i="91"/>
  <c r="G48" i="91"/>
  <c r="H47" i="91"/>
  <c r="I46" i="91"/>
  <c r="J45" i="91"/>
  <c r="K44" i="91"/>
  <c r="C44" i="91"/>
  <c r="D43" i="91"/>
  <c r="E42" i="91"/>
  <c r="F41" i="91"/>
  <c r="G40" i="91"/>
  <c r="H39" i="91"/>
  <c r="I38" i="91"/>
  <c r="J37" i="91"/>
  <c r="K36" i="91"/>
  <c r="C36" i="91"/>
  <c r="D35" i="91"/>
  <c r="E34" i="91"/>
  <c r="F33" i="91"/>
  <c r="G32" i="91"/>
  <c r="H31" i="91"/>
  <c r="I30" i="91"/>
  <c r="J29" i="91"/>
  <c r="K28" i="91"/>
  <c r="C28" i="91"/>
  <c r="D27" i="91"/>
  <c r="E26" i="91"/>
  <c r="F25" i="91"/>
  <c r="G24" i="91"/>
  <c r="H23" i="91"/>
  <c r="I22" i="91"/>
  <c r="J21" i="91"/>
  <c r="G99" i="91"/>
  <c r="E98" i="91"/>
  <c r="D97" i="91"/>
  <c r="C96" i="91"/>
  <c r="J94" i="91"/>
  <c r="I93" i="91"/>
  <c r="G92" i="91"/>
  <c r="E91" i="91"/>
  <c r="D90" i="91"/>
  <c r="C89" i="91"/>
  <c r="K87" i="91"/>
  <c r="I86" i="91"/>
  <c r="H85" i="91"/>
  <c r="F84" i="91"/>
  <c r="D83" i="91"/>
  <c r="C82" i="91"/>
  <c r="K80" i="91"/>
  <c r="I79" i="91"/>
  <c r="H78" i="91"/>
  <c r="G77" i="91"/>
  <c r="D76" i="91"/>
  <c r="C75" i="91"/>
  <c r="K73" i="91"/>
  <c r="J72" i="91"/>
  <c r="H71" i="91"/>
  <c r="G70" i="91"/>
  <c r="F69" i="91"/>
  <c r="D68" i="91"/>
  <c r="D67" i="91"/>
  <c r="D66" i="91"/>
  <c r="D65" i="91"/>
  <c r="D64" i="91"/>
  <c r="D63" i="91"/>
  <c r="D62" i="91"/>
  <c r="C61" i="91"/>
  <c r="C60" i="91"/>
  <c r="C59" i="91"/>
  <c r="D58" i="91"/>
  <c r="E57" i="91"/>
  <c r="F56" i="91"/>
  <c r="G55" i="91"/>
  <c r="H54" i="91"/>
  <c r="I53" i="91"/>
  <c r="J52" i="91"/>
  <c r="K51" i="91"/>
  <c r="C51" i="91"/>
  <c r="D50" i="91"/>
  <c r="E49" i="91"/>
  <c r="F48" i="91"/>
  <c r="G47" i="91"/>
  <c r="H46" i="91"/>
  <c r="I45" i="91"/>
  <c r="J44" i="91"/>
  <c r="K43" i="91"/>
  <c r="C43" i="91"/>
  <c r="D42" i="91"/>
  <c r="E41" i="91"/>
  <c r="F40" i="91"/>
  <c r="G39" i="91"/>
  <c r="H38" i="91"/>
  <c r="I37" i="91"/>
  <c r="J36" i="91"/>
  <c r="K35" i="91"/>
  <c r="C35" i="91"/>
  <c r="D34" i="91"/>
  <c r="D99" i="91"/>
  <c r="C98" i="91"/>
  <c r="K96" i="91"/>
  <c r="I95" i="91"/>
  <c r="G94" i="91"/>
  <c r="F93" i="91"/>
  <c r="D92" i="91"/>
  <c r="C91" i="91"/>
  <c r="K89" i="91"/>
  <c r="J88" i="91"/>
  <c r="H87" i="91"/>
  <c r="F86" i="91"/>
  <c r="E85" i="91"/>
  <c r="C84" i="91"/>
  <c r="K82" i="91"/>
  <c r="J81" i="91"/>
  <c r="H80" i="91"/>
  <c r="G79" i="91"/>
  <c r="E78" i="91"/>
  <c r="C77" i="91"/>
  <c r="K75" i="91"/>
  <c r="F35" i="85" s="1"/>
  <c r="J74" i="91"/>
  <c r="I73" i="91"/>
  <c r="G72" i="91"/>
  <c r="F71" i="91"/>
  <c r="D70" i="91"/>
  <c r="K68" i="91"/>
  <c r="K67" i="91"/>
  <c r="K66" i="91"/>
  <c r="K65" i="91"/>
  <c r="K64" i="91"/>
  <c r="K63" i="91"/>
  <c r="J62" i="91"/>
  <c r="J61" i="91"/>
  <c r="J60" i="91"/>
  <c r="J59" i="91"/>
  <c r="J58" i="91"/>
  <c r="K57" i="91"/>
  <c r="C57" i="91"/>
  <c r="D56" i="91"/>
  <c r="E55" i="91"/>
  <c r="F54" i="91"/>
  <c r="G53" i="91"/>
  <c r="H52" i="91"/>
  <c r="I51" i="91"/>
  <c r="J50" i="91"/>
  <c r="K49" i="91"/>
  <c r="C49" i="91"/>
  <c r="D48" i="91"/>
  <c r="E47" i="91"/>
  <c r="F46" i="91"/>
  <c r="G45" i="91"/>
  <c r="H44" i="91"/>
  <c r="I43" i="91"/>
  <c r="J42" i="91"/>
  <c r="K41" i="91"/>
  <c r="C41" i="91"/>
  <c r="D40" i="91"/>
  <c r="E39" i="91"/>
  <c r="F38" i="91"/>
  <c r="G37" i="91"/>
  <c r="H36" i="91"/>
  <c r="I35" i="91"/>
  <c r="J34" i="91"/>
  <c r="K33" i="91"/>
  <c r="C33" i="91"/>
  <c r="D32" i="91"/>
  <c r="E31" i="91"/>
  <c r="F30" i="91"/>
  <c r="G29" i="91"/>
  <c r="H28" i="91"/>
  <c r="I27" i="91"/>
  <c r="J26" i="91"/>
  <c r="K25" i="91"/>
  <c r="C25" i="91"/>
  <c r="D24" i="91"/>
  <c r="E23" i="91"/>
  <c r="F22" i="91"/>
  <c r="G21" i="91"/>
  <c r="K98" i="91"/>
  <c r="J97" i="91"/>
  <c r="G96" i="91"/>
  <c r="F95" i="91"/>
  <c r="E94" i="91"/>
  <c r="C93" i="91"/>
  <c r="K91" i="91"/>
  <c r="J90" i="91"/>
  <c r="I89" i="91"/>
  <c r="F88" i="91"/>
  <c r="E87" i="91"/>
  <c r="D86" i="91"/>
  <c r="K84" i="91"/>
  <c r="J83" i="91"/>
  <c r="I82" i="91"/>
  <c r="G81" i="91"/>
  <c r="E80" i="91"/>
  <c r="D79" i="91"/>
  <c r="K77" i="91"/>
  <c r="J76" i="91"/>
  <c r="I75" i="91"/>
  <c r="H74" i="91"/>
  <c r="F73" i="91"/>
  <c r="D72" i="91"/>
  <c r="C71" i="91"/>
  <c r="J69" i="91"/>
  <c r="I68" i="91"/>
  <c r="I67" i="91"/>
  <c r="I66" i="91"/>
  <c r="I65" i="91"/>
  <c r="H64" i="91"/>
  <c r="H63" i="91"/>
  <c r="H62" i="91"/>
  <c r="H61" i="91"/>
  <c r="H60" i="91"/>
  <c r="H59" i="91"/>
  <c r="H58" i="91"/>
  <c r="I57" i="91"/>
  <c r="J56" i="91"/>
  <c r="K55" i="91"/>
  <c r="C55" i="91"/>
  <c r="D54" i="91"/>
  <c r="E53" i="91"/>
  <c r="F52" i="91"/>
  <c r="G51" i="91"/>
  <c r="H50" i="91"/>
  <c r="I49" i="91"/>
  <c r="J48" i="91"/>
  <c r="K47" i="91"/>
  <c r="C47" i="91"/>
  <c r="D46" i="91"/>
  <c r="E45" i="91"/>
  <c r="F44" i="91"/>
  <c r="G43" i="91"/>
  <c r="H42" i="91"/>
  <c r="I41" i="91"/>
  <c r="J40" i="91"/>
  <c r="K39" i="91"/>
  <c r="C39" i="91"/>
  <c r="D38" i="91"/>
  <c r="E37" i="91"/>
  <c r="K99" i="91"/>
  <c r="J98" i="91"/>
  <c r="G97" i="91"/>
  <c r="F96" i="91"/>
  <c r="E95" i="91"/>
  <c r="D94" i="91"/>
  <c r="K92" i="91"/>
  <c r="J91" i="91"/>
  <c r="I90" i="91"/>
  <c r="F89" i="91"/>
  <c r="E88" i="91"/>
  <c r="D87" i="91"/>
  <c r="K85" i="91"/>
  <c r="J84" i="91"/>
  <c r="I83" i="91"/>
  <c r="H82" i="91"/>
  <c r="E81" i="91"/>
  <c r="D80" i="91"/>
  <c r="C79" i="91"/>
  <c r="J77" i="91"/>
  <c r="I76" i="91"/>
  <c r="H75" i="91"/>
  <c r="F74" i="91"/>
  <c r="D73" i="91"/>
  <c r="C72" i="91"/>
  <c r="J70" i="91"/>
  <c r="I69" i="91"/>
  <c r="H68" i="91"/>
  <c r="H67" i="91"/>
  <c r="H66" i="91"/>
  <c r="G65" i="91"/>
  <c r="G64" i="91"/>
  <c r="G63" i="91"/>
  <c r="G62" i="91"/>
  <c r="G61" i="91"/>
  <c r="G60" i="91"/>
  <c r="G59" i="91"/>
  <c r="G58" i="91"/>
  <c r="H57" i="91"/>
  <c r="I56" i="91"/>
  <c r="J55" i="91"/>
  <c r="K54" i="91"/>
  <c r="C54" i="91"/>
  <c r="D53" i="91"/>
  <c r="E52" i="91"/>
  <c r="F51" i="91"/>
  <c r="G50" i="91"/>
  <c r="H49" i="91"/>
  <c r="I48" i="91"/>
  <c r="J47" i="91"/>
  <c r="K46" i="91"/>
  <c r="C46" i="91"/>
  <c r="D45" i="91"/>
  <c r="E44" i="91"/>
  <c r="F43" i="91"/>
  <c r="G42" i="91"/>
  <c r="H41" i="91"/>
  <c r="I40" i="91"/>
  <c r="J39" i="91"/>
  <c r="K38" i="91"/>
  <c r="C38" i="91"/>
  <c r="D37" i="91"/>
  <c r="E36" i="91"/>
  <c r="F35" i="91"/>
  <c r="G34" i="91"/>
  <c r="H33" i="91"/>
  <c r="I32" i="91"/>
  <c r="J31" i="91"/>
  <c r="K30" i="91"/>
  <c r="C30" i="91"/>
  <c r="D29" i="91"/>
  <c r="E28" i="91"/>
  <c r="F27" i="91"/>
  <c r="G26" i="91"/>
  <c r="H25" i="91"/>
  <c r="I24" i="91"/>
  <c r="J23" i="91"/>
  <c r="K22" i="91"/>
  <c r="C22" i="91"/>
  <c r="D21" i="91"/>
  <c r="E99" i="91"/>
  <c r="E96" i="91"/>
  <c r="E93" i="91"/>
  <c r="C90" i="91"/>
  <c r="C87" i="91"/>
  <c r="K83" i="91"/>
  <c r="J80" i="91"/>
  <c r="I77" i="91"/>
  <c r="I74" i="91"/>
  <c r="G71" i="91"/>
  <c r="G68" i="91"/>
  <c r="J65" i="91"/>
  <c r="C63" i="91"/>
  <c r="F60" i="91"/>
  <c r="J57" i="91"/>
  <c r="F55" i="91"/>
  <c r="C53" i="91"/>
  <c r="I50" i="91"/>
  <c r="E48" i="91"/>
  <c r="K45" i="91"/>
  <c r="H43" i="91"/>
  <c r="D41" i="91"/>
  <c r="J38" i="91"/>
  <c r="G36" i="91"/>
  <c r="I34" i="91"/>
  <c r="D33" i="91"/>
  <c r="I31" i="91"/>
  <c r="E30" i="91"/>
  <c r="J28" i="91"/>
  <c r="G27" i="91"/>
  <c r="C26" i="91"/>
  <c r="H24" i="91"/>
  <c r="D23" i="91"/>
  <c r="I21" i="91"/>
  <c r="C99" i="91"/>
  <c r="K95" i="91"/>
  <c r="J92" i="91"/>
  <c r="J89" i="91"/>
  <c r="H86" i="91"/>
  <c r="H83" i="91"/>
  <c r="G80" i="91"/>
  <c r="E77" i="91"/>
  <c r="D74" i="91"/>
  <c r="D71" i="91"/>
  <c r="C68" i="91"/>
  <c r="F65" i="91"/>
  <c r="I62" i="91"/>
  <c r="K59" i="91"/>
  <c r="G57" i="91"/>
  <c r="D55" i="91"/>
  <c r="I52" i="91"/>
  <c r="F50" i="91"/>
  <c r="C48" i="91"/>
  <c r="H45" i="91"/>
  <c r="E43" i="91"/>
  <c r="K40" i="91"/>
  <c r="G38" i="91"/>
  <c r="F36" i="91"/>
  <c r="H34" i="91"/>
  <c r="K32" i="91"/>
  <c r="G31" i="91"/>
  <c r="D30" i="91"/>
  <c r="I28" i="91"/>
  <c r="E27" i="91"/>
  <c r="J25" i="91"/>
  <c r="F24" i="91"/>
  <c r="C23" i="91"/>
  <c r="H21" i="91"/>
  <c r="H98" i="91"/>
  <c r="G95" i="91"/>
  <c r="F92" i="91"/>
  <c r="E89" i="91"/>
  <c r="E86" i="91"/>
  <c r="C83" i="91"/>
  <c r="C80" i="91"/>
  <c r="K76" i="91"/>
  <c r="J73" i="91"/>
  <c r="I70" i="91"/>
  <c r="J67" i="91"/>
  <c r="C65" i="91"/>
  <c r="F62" i="91"/>
  <c r="I59" i="91"/>
  <c r="D57" i="91"/>
  <c r="J54" i="91"/>
  <c r="G52" i="91"/>
  <c r="C50" i="91"/>
  <c r="I47" i="91"/>
  <c r="F45" i="91"/>
  <c r="K42" i="91"/>
  <c r="H40" i="91"/>
  <c r="E38" i="91"/>
  <c r="D36" i="91"/>
  <c r="F34" i="91"/>
  <c r="J32" i="91"/>
  <c r="F31" i="91"/>
  <c r="K29" i="91"/>
  <c r="G28" i="91"/>
  <c r="C27" i="91"/>
  <c r="I25" i="91"/>
  <c r="E24" i="91"/>
  <c r="J22" i="91"/>
  <c r="F21" i="91"/>
  <c r="D98" i="91"/>
  <c r="D95" i="91"/>
  <c r="C92" i="91"/>
  <c r="K88" i="91"/>
  <c r="J85" i="91"/>
  <c r="J82" i="91"/>
  <c r="H79" i="91"/>
  <c r="H76" i="91"/>
  <c r="G73" i="91"/>
  <c r="F70" i="91"/>
  <c r="G67" i="91"/>
  <c r="J64" i="91"/>
  <c r="K61" i="91"/>
  <c r="E59" i="91"/>
  <c r="K56" i="91"/>
  <c r="G54" i="91"/>
  <c r="D52" i="91"/>
  <c r="J49" i="91"/>
  <c r="F47" i="91"/>
  <c r="C45" i="91"/>
  <c r="I42" i="91"/>
  <c r="E40" i="91"/>
  <c r="K37" i="91"/>
  <c r="J35" i="91"/>
  <c r="C34" i="91"/>
  <c r="H32" i="91"/>
  <c r="D31" i="91"/>
  <c r="I29" i="91"/>
  <c r="F28" i="91"/>
  <c r="K26" i="91"/>
  <c r="G25" i="91"/>
  <c r="C24" i="91"/>
  <c r="H22" i="91"/>
  <c r="E21" i="91"/>
  <c r="F97" i="91"/>
  <c r="F94" i="91"/>
  <c r="D91" i="91"/>
  <c r="D88" i="91"/>
  <c r="C85" i="91"/>
  <c r="K81" i="91"/>
  <c r="J78" i="91"/>
  <c r="J75" i="91"/>
  <c r="H72" i="91"/>
  <c r="H69" i="91"/>
  <c r="J66" i="91"/>
  <c r="C64" i="91"/>
  <c r="F61" i="91"/>
  <c r="I58" i="91"/>
  <c r="E56" i="91"/>
  <c r="K53" i="91"/>
  <c r="H51" i="91"/>
  <c r="D49" i="91"/>
  <c r="J46" i="91"/>
  <c r="G44" i="91"/>
  <c r="C42" i="91"/>
  <c r="I39" i="91"/>
  <c r="F37" i="91"/>
  <c r="G35" i="91"/>
  <c r="I33" i="91"/>
  <c r="E32" i="91"/>
  <c r="J30" i="91"/>
  <c r="F29" i="91"/>
  <c r="K27" i="91"/>
  <c r="H26" i="91"/>
  <c r="D25" i="91"/>
  <c r="I23" i="91"/>
  <c r="E22" i="91"/>
  <c r="C97" i="91"/>
  <c r="K93" i="91"/>
  <c r="K90" i="91"/>
  <c r="I87" i="91"/>
  <c r="I84" i="91"/>
  <c r="I81" i="91"/>
  <c r="G78" i="91"/>
  <c r="G75" i="91"/>
  <c r="F72" i="91"/>
  <c r="C69" i="91"/>
  <c r="F66" i="91"/>
  <c r="I63" i="91"/>
  <c r="K60" i="91"/>
  <c r="F58" i="91"/>
  <c r="C56" i="91"/>
  <c r="H53" i="91"/>
  <c r="E51" i="91"/>
  <c r="K48" i="91"/>
  <c r="G46" i="91"/>
  <c r="D44" i="91"/>
  <c r="J41" i="91"/>
  <c r="F39" i="91"/>
  <c r="C37" i="91"/>
  <c r="E35" i="91"/>
  <c r="G33" i="91"/>
  <c r="C32" i="91"/>
  <c r="H30" i="91"/>
  <c r="E29" i="91"/>
  <c r="J27" i="91"/>
  <c r="F26" i="91"/>
  <c r="K24" i="91"/>
  <c r="G23" i="91"/>
  <c r="D22" i="91"/>
  <c r="I94" i="91"/>
  <c r="E82" i="91"/>
  <c r="K69" i="91"/>
  <c r="K58" i="91"/>
  <c r="G49" i="91"/>
  <c r="C40" i="91"/>
  <c r="F32" i="91"/>
  <c r="I26" i="91"/>
  <c r="C21" i="91"/>
  <c r="G93" i="91"/>
  <c r="D81" i="91"/>
  <c r="J68" i="91"/>
  <c r="C58" i="91"/>
  <c r="H48" i="91"/>
  <c r="D39" i="91"/>
  <c r="K31" i="91"/>
  <c r="D26" i="91"/>
  <c r="I91" i="91"/>
  <c r="E79" i="91"/>
  <c r="C67" i="91"/>
  <c r="H56" i="91"/>
  <c r="D47" i="91"/>
  <c r="H37" i="91"/>
  <c r="C31" i="91"/>
  <c r="E25" i="91"/>
  <c r="F90" i="91"/>
  <c r="D78" i="91"/>
  <c r="C66" i="91"/>
  <c r="I55" i="91"/>
  <c r="E46" i="91"/>
  <c r="I36" i="91"/>
  <c r="G30" i="91"/>
  <c r="J24" i="91"/>
  <c r="J99" i="91"/>
  <c r="F87" i="91"/>
  <c r="K74" i="91"/>
  <c r="F63" i="91"/>
  <c r="F53" i="91"/>
  <c r="J43" i="91"/>
  <c r="K34" i="91"/>
  <c r="C29" i="91"/>
  <c r="F23" i="91"/>
  <c r="K97" i="91"/>
  <c r="F85" i="91"/>
  <c r="C73" i="91"/>
  <c r="I61" i="91"/>
  <c r="J51" i="91"/>
  <c r="F42" i="91"/>
  <c r="J33" i="91"/>
  <c r="D28" i="91"/>
  <c r="G22" i="91"/>
  <c r="E54" i="91"/>
  <c r="K23" i="91"/>
  <c r="J96" i="91"/>
  <c r="K50" i="91"/>
  <c r="K21" i="91"/>
  <c r="C76" i="91"/>
  <c r="H88" i="91"/>
  <c r="I44" i="91"/>
  <c r="D84" i="91"/>
  <c r="G41" i="91"/>
  <c r="H35" i="91"/>
  <c r="K71" i="91"/>
  <c r="E33" i="91"/>
  <c r="I60" i="91"/>
  <c r="H27" i="91"/>
  <c r="F64" i="91"/>
  <c r="H29" i="91"/>
  <c r="H28" i="50"/>
  <c r="H26" i="50"/>
  <c r="H24" i="50"/>
  <c r="H22" i="50"/>
  <c r="H20" i="50"/>
  <c r="H18" i="50"/>
  <c r="H16" i="50"/>
  <c r="H14" i="50"/>
  <c r="F23" i="42"/>
  <c r="F25" i="42"/>
  <c r="F25" i="47"/>
  <c r="F21" i="47"/>
  <c r="G18" i="69"/>
  <c r="F15" i="37"/>
  <c r="D52" i="84"/>
  <c r="D34" i="84"/>
  <c r="D35" i="84"/>
  <c r="C33" i="84"/>
  <c r="L34" i="84" s="1"/>
  <c r="F30" i="50"/>
  <c r="H27" i="50"/>
  <c r="G15" i="69"/>
  <c r="H22" i="48"/>
  <c r="H27" i="47"/>
  <c r="H20" i="49"/>
  <c r="H14" i="49"/>
  <c r="H29" i="49" s="1"/>
  <c r="H16" i="49"/>
  <c r="H18" i="49"/>
  <c r="H21" i="50"/>
  <c r="F41" i="48"/>
  <c r="I19" i="69"/>
  <c r="F16" i="48"/>
  <c r="H19" i="47"/>
  <c r="F45" i="37"/>
  <c r="H22" i="46"/>
  <c r="H23" i="46" s="1"/>
  <c r="F28" i="42"/>
  <c r="F33" i="37"/>
  <c r="H14" i="43"/>
  <c r="H16" i="43" s="1"/>
  <c r="F18" i="42"/>
  <c r="F25" i="37"/>
  <c r="F41" i="37"/>
  <c r="F14" i="37"/>
  <c r="F65" i="37" s="1"/>
  <c r="H26" i="49"/>
  <c r="H14" i="40"/>
  <c r="E59" i="40"/>
  <c r="F45" i="40"/>
  <c r="F37" i="40"/>
  <c r="F29" i="40"/>
  <c r="F21" i="40"/>
  <c r="F53" i="40"/>
  <c r="F55" i="40" s="1"/>
  <c r="H25" i="50"/>
  <c r="H28" i="40"/>
  <c r="H22" i="40"/>
  <c r="H30" i="37"/>
  <c r="J35" i="84"/>
  <c r="J7" i="82"/>
  <c r="H7" i="65"/>
  <c r="H7" i="64"/>
  <c r="H7" i="67"/>
  <c r="H7" i="49"/>
  <c r="H7" i="89"/>
  <c r="H7" i="66"/>
  <c r="H7" i="48"/>
  <c r="J7" i="72"/>
  <c r="H7" i="79"/>
  <c r="I7" i="78"/>
  <c r="H7" i="69"/>
  <c r="H7" i="47"/>
  <c r="H7" i="44"/>
  <c r="H7" i="63"/>
  <c r="H7" i="62"/>
  <c r="H7" i="50"/>
  <c r="H7" i="83"/>
  <c r="H7" i="71"/>
  <c r="H7" i="40"/>
  <c r="H7" i="43"/>
  <c r="H7" i="42"/>
  <c r="H7" i="41"/>
  <c r="H7" i="90"/>
  <c r="H7" i="46"/>
  <c r="H7" i="61"/>
  <c r="H7" i="37"/>
  <c r="H7" i="91"/>
  <c r="H7" i="85"/>
  <c r="H7" i="87"/>
  <c r="H7" i="84"/>
  <c r="H7" i="70"/>
  <c r="H7" i="86"/>
  <c r="H7" i="57"/>
  <c r="H7" i="92"/>
  <c r="J52" i="84"/>
  <c r="I101" i="86"/>
  <c r="K100" i="86"/>
  <c r="C100" i="86"/>
  <c r="E99" i="86"/>
  <c r="G98" i="86"/>
  <c r="I97" i="86"/>
  <c r="K96" i="86"/>
  <c r="C96" i="86"/>
  <c r="E95" i="86"/>
  <c r="G94" i="86"/>
  <c r="H101" i="86"/>
  <c r="J100" i="86"/>
  <c r="L99" i="86"/>
  <c r="D99" i="86"/>
  <c r="F98" i="86"/>
  <c r="H97" i="86"/>
  <c r="J96" i="86"/>
  <c r="L95" i="86"/>
  <c r="D95" i="86"/>
  <c r="F94" i="86"/>
  <c r="H93" i="86"/>
  <c r="J92" i="86"/>
  <c r="L91" i="86"/>
  <c r="D91" i="86"/>
  <c r="F90" i="86"/>
  <c r="H89" i="86"/>
  <c r="J88" i="86"/>
  <c r="L87" i="86"/>
  <c r="D87" i="86"/>
  <c r="F86" i="86"/>
  <c r="H85" i="86"/>
  <c r="J84" i="86"/>
  <c r="L83" i="86"/>
  <c r="D83" i="86"/>
  <c r="F82" i="86"/>
  <c r="H81" i="86"/>
  <c r="J80" i="86"/>
  <c r="L79" i="86"/>
  <c r="D79" i="86"/>
  <c r="F78" i="86"/>
  <c r="H77" i="86"/>
  <c r="L75" i="86"/>
  <c r="D75" i="86"/>
  <c r="F74" i="86"/>
  <c r="D71" i="86"/>
  <c r="F70" i="86"/>
  <c r="H69" i="86"/>
  <c r="D67" i="86"/>
  <c r="F66" i="86"/>
  <c r="D63" i="86"/>
  <c r="I63" i="86" s="1"/>
  <c r="F62" i="86"/>
  <c r="J60" i="86"/>
  <c r="D59" i="86"/>
  <c r="F58" i="86"/>
  <c r="J56" i="86"/>
  <c r="D55" i="86"/>
  <c r="I55" i="86" s="1"/>
  <c r="F54" i="86"/>
  <c r="K54" i="86" s="1"/>
  <c r="D51" i="86"/>
  <c r="F50" i="86"/>
  <c r="J48" i="86"/>
  <c r="L47" i="86"/>
  <c r="D47" i="86"/>
  <c r="F46" i="86"/>
  <c r="K46" i="86" s="1"/>
  <c r="D43" i="86"/>
  <c r="F42" i="86"/>
  <c r="K42" i="86" s="1"/>
  <c r="D39" i="86"/>
  <c r="F38" i="86"/>
  <c r="L35" i="86"/>
  <c r="D35" i="86"/>
  <c r="H35" i="86" s="1"/>
  <c r="F34" i="86"/>
  <c r="D31" i="86"/>
  <c r="F30" i="86"/>
  <c r="J28" i="86"/>
  <c r="D27" i="86"/>
  <c r="F26" i="86"/>
  <c r="D23" i="86"/>
  <c r="I23" i="86" s="1"/>
  <c r="F22" i="86"/>
  <c r="K22" i="86" s="1"/>
  <c r="G101" i="86"/>
  <c r="I100" i="86"/>
  <c r="K99" i="86"/>
  <c r="C99" i="86"/>
  <c r="E98" i="86"/>
  <c r="G97" i="86"/>
  <c r="I96" i="86"/>
  <c r="K95" i="86"/>
  <c r="C95" i="86"/>
  <c r="E94" i="86"/>
  <c r="G93" i="86"/>
  <c r="I92" i="86"/>
  <c r="K91" i="86"/>
  <c r="C91" i="86"/>
  <c r="E90" i="86"/>
  <c r="G89" i="86"/>
  <c r="I88" i="86"/>
  <c r="K87" i="86"/>
  <c r="C87" i="86"/>
  <c r="E86" i="86"/>
  <c r="G85" i="86"/>
  <c r="I84" i="86"/>
  <c r="K83" i="86"/>
  <c r="C83" i="86"/>
  <c r="E82" i="86"/>
  <c r="G81" i="86"/>
  <c r="I80" i="86"/>
  <c r="K79" i="86"/>
  <c r="C79" i="86"/>
  <c r="E78" i="86"/>
  <c r="G77" i="86"/>
  <c r="F101" i="86"/>
  <c r="H100" i="86"/>
  <c r="J99" i="86"/>
  <c r="L98" i="86"/>
  <c r="D98" i="86"/>
  <c r="F97" i="86"/>
  <c r="H96" i="86"/>
  <c r="J95" i="86"/>
  <c r="L94" i="86"/>
  <c r="D94" i="86"/>
  <c r="F93" i="86"/>
  <c r="H92" i="86"/>
  <c r="J91" i="86"/>
  <c r="L90" i="86"/>
  <c r="D90" i="86"/>
  <c r="F89" i="86"/>
  <c r="H88" i="86"/>
  <c r="J87" i="86"/>
  <c r="L86" i="86"/>
  <c r="D86" i="86"/>
  <c r="F85" i="86"/>
  <c r="H84" i="86"/>
  <c r="J83" i="86"/>
  <c r="L82" i="86"/>
  <c r="D82" i="86"/>
  <c r="F81" i="86"/>
  <c r="H80" i="86"/>
  <c r="J79" i="86"/>
  <c r="L78" i="86"/>
  <c r="D78" i="86"/>
  <c r="F77" i="86"/>
  <c r="D74" i="86"/>
  <c r="F73" i="86"/>
  <c r="D70" i="86"/>
  <c r="H70" i="86" s="1"/>
  <c r="F69" i="86"/>
  <c r="D66" i="86"/>
  <c r="I66" i="86" s="1"/>
  <c r="F65" i="86"/>
  <c r="D62" i="86"/>
  <c r="F61" i="86"/>
  <c r="D58" i="86"/>
  <c r="I58" i="86" s="1"/>
  <c r="F57" i="86"/>
  <c r="K57" i="86" s="1"/>
  <c r="D54" i="86"/>
  <c r="F53" i="86"/>
  <c r="K101" i="86"/>
  <c r="C101" i="86"/>
  <c r="E100" i="86"/>
  <c r="G99" i="86"/>
  <c r="I98" i="86"/>
  <c r="K97" i="86"/>
  <c r="C97" i="86"/>
  <c r="E96" i="86"/>
  <c r="G95" i="86"/>
  <c r="I94" i="86"/>
  <c r="K93" i="86"/>
  <c r="C93" i="86"/>
  <c r="E92" i="86"/>
  <c r="G91" i="86"/>
  <c r="I90" i="86"/>
  <c r="K89" i="86"/>
  <c r="C89" i="86"/>
  <c r="E88" i="86"/>
  <c r="G87" i="86"/>
  <c r="I86" i="86"/>
  <c r="K85" i="86"/>
  <c r="C85" i="86"/>
  <c r="E84" i="86"/>
  <c r="G83" i="86"/>
  <c r="I82" i="86"/>
  <c r="K81" i="86"/>
  <c r="C81" i="86"/>
  <c r="E80" i="86"/>
  <c r="G79" i="86"/>
  <c r="I78" i="86"/>
  <c r="K77" i="86"/>
  <c r="C77" i="86"/>
  <c r="E76" i="86"/>
  <c r="J76" i="86" s="1"/>
  <c r="G75" i="86"/>
  <c r="C73" i="86"/>
  <c r="K73" i="86" s="1"/>
  <c r="E72" i="86"/>
  <c r="G71" i="86"/>
  <c r="L71" i="86" s="1"/>
  <c r="K69" i="86"/>
  <c r="C69" i="86"/>
  <c r="E68" i="86"/>
  <c r="J68" i="86" s="1"/>
  <c r="G67" i="86"/>
  <c r="C65" i="86"/>
  <c r="H65" i="86" s="1"/>
  <c r="E64" i="86"/>
  <c r="J64" i="86" s="1"/>
  <c r="G63" i="86"/>
  <c r="L63" i="86" s="1"/>
  <c r="C61" i="86"/>
  <c r="K61" i="86" s="1"/>
  <c r="E60" i="86"/>
  <c r="G59" i="86"/>
  <c r="C57" i="86"/>
  <c r="H57" i="86" s="1"/>
  <c r="E56" i="86"/>
  <c r="G55" i="86"/>
  <c r="L55" i="86" s="1"/>
  <c r="K53" i="86"/>
  <c r="C53" i="86"/>
  <c r="E52" i="86"/>
  <c r="J52" i="86" s="1"/>
  <c r="G51" i="86"/>
  <c r="L51" i="86" s="1"/>
  <c r="C49" i="86"/>
  <c r="H49" i="86" s="1"/>
  <c r="E48" i="86"/>
  <c r="G47" i="86"/>
  <c r="C45" i="86"/>
  <c r="K45" i="86" s="1"/>
  <c r="E44" i="86"/>
  <c r="J44" i="86" s="1"/>
  <c r="G43" i="86"/>
  <c r="C41" i="86"/>
  <c r="E40" i="86"/>
  <c r="G39" i="86"/>
  <c r="L39" i="86" s="1"/>
  <c r="C37" i="86"/>
  <c r="E36" i="86"/>
  <c r="J36" i="86" s="1"/>
  <c r="G35" i="86"/>
  <c r="C33" i="86"/>
  <c r="H33" i="86" s="1"/>
  <c r="E32" i="86"/>
  <c r="J32" i="86" s="1"/>
  <c r="G31" i="86"/>
  <c r="L31" i="86" s="1"/>
  <c r="C29" i="86"/>
  <c r="E28" i="86"/>
  <c r="G27" i="86"/>
  <c r="I26" i="86"/>
  <c r="K25" i="86"/>
  <c r="C25" i="86"/>
  <c r="H25" i="86" s="1"/>
  <c r="E24" i="86"/>
  <c r="G23" i="86"/>
  <c r="L23" i="86" s="1"/>
  <c r="D101" i="86"/>
  <c r="K98" i="86"/>
  <c r="L96" i="86"/>
  <c r="J94" i="86"/>
  <c r="L92" i="86"/>
  <c r="F91" i="86"/>
  <c r="J89" i="86"/>
  <c r="D88" i="86"/>
  <c r="H86" i="86"/>
  <c r="L84" i="86"/>
  <c r="F83" i="86"/>
  <c r="J81" i="86"/>
  <c r="D80" i="86"/>
  <c r="H78" i="86"/>
  <c r="E74" i="86"/>
  <c r="J74" i="86" s="1"/>
  <c r="I71" i="86"/>
  <c r="G70" i="86"/>
  <c r="L70" i="86" s="1"/>
  <c r="D69" i="86"/>
  <c r="E65" i="86"/>
  <c r="C64" i="86"/>
  <c r="I64" i="86" s="1"/>
  <c r="G61" i="86"/>
  <c r="L61" i="86" s="1"/>
  <c r="D60" i="86"/>
  <c r="I60" i="86" s="1"/>
  <c r="F56" i="86"/>
  <c r="C55" i="86"/>
  <c r="J53" i="86"/>
  <c r="G52" i="86"/>
  <c r="E51" i="86"/>
  <c r="J51" i="86" s="1"/>
  <c r="C50" i="86"/>
  <c r="H50" i="86" s="1"/>
  <c r="I44" i="86"/>
  <c r="H42" i="86"/>
  <c r="G41" i="86"/>
  <c r="H41" i="86" s="1"/>
  <c r="G40" i="86"/>
  <c r="F39" i="86"/>
  <c r="E38" i="86"/>
  <c r="E37" i="86"/>
  <c r="D36" i="86"/>
  <c r="H36" i="86" s="1"/>
  <c r="C35" i="86"/>
  <c r="C34" i="86"/>
  <c r="H34" i="86" s="1"/>
  <c r="L32" i="86"/>
  <c r="I27" i="86"/>
  <c r="G25" i="86"/>
  <c r="L25" i="86" s="1"/>
  <c r="G24" i="86"/>
  <c r="L24" i="86" s="1"/>
  <c r="F23" i="86"/>
  <c r="E22" i="86"/>
  <c r="L100" i="86"/>
  <c r="J98" i="86"/>
  <c r="G96" i="86"/>
  <c r="H94" i="86"/>
  <c r="K92" i="86"/>
  <c r="E91" i="86"/>
  <c r="I89" i="86"/>
  <c r="C88" i="86"/>
  <c r="G86" i="86"/>
  <c r="K84" i="86"/>
  <c r="E83" i="86"/>
  <c r="I81" i="86"/>
  <c r="C80" i="86"/>
  <c r="G78" i="86"/>
  <c r="F75" i="86"/>
  <c r="C74" i="86"/>
  <c r="I74" i="86" s="1"/>
  <c r="E70" i="86"/>
  <c r="I67" i="86"/>
  <c r="G66" i="86"/>
  <c r="L66" i="86" s="1"/>
  <c r="D65" i="86"/>
  <c r="E61" i="86"/>
  <c r="J61" i="86" s="1"/>
  <c r="C60" i="86"/>
  <c r="H60" i="86" s="1"/>
  <c r="G57" i="86"/>
  <c r="L57" i="86" s="1"/>
  <c r="D56" i="86"/>
  <c r="F52" i="86"/>
  <c r="C51" i="86"/>
  <c r="H51" i="86" s="1"/>
  <c r="K48" i="86"/>
  <c r="J47" i="86"/>
  <c r="G42" i="86"/>
  <c r="L42" i="86" s="1"/>
  <c r="F41" i="86"/>
  <c r="K41" i="86" s="1"/>
  <c r="F40" i="86"/>
  <c r="K40" i="86" s="1"/>
  <c r="E39" i="86"/>
  <c r="J39" i="86" s="1"/>
  <c r="D38" i="86"/>
  <c r="D37" i="86"/>
  <c r="C36" i="86"/>
  <c r="J31" i="86"/>
  <c r="J30" i="86"/>
  <c r="G26" i="86"/>
  <c r="F25" i="86"/>
  <c r="F24" i="86"/>
  <c r="E23" i="86"/>
  <c r="J23" i="86" s="1"/>
  <c r="D22" i="86"/>
  <c r="I22" i="86" s="1"/>
  <c r="J49" i="86"/>
  <c r="G100" i="86"/>
  <c r="H98" i="86"/>
  <c r="F96" i="86"/>
  <c r="C94" i="86"/>
  <c r="G92" i="86"/>
  <c r="K90" i="86"/>
  <c r="E89" i="86"/>
  <c r="I87" i="86"/>
  <c r="C86" i="86"/>
  <c r="G84" i="86"/>
  <c r="K82" i="86"/>
  <c r="E81" i="86"/>
  <c r="I79" i="86"/>
  <c r="C78" i="86"/>
  <c r="G76" i="86"/>
  <c r="L76" i="86" s="1"/>
  <c r="E75" i="86"/>
  <c r="J75" i="86" s="1"/>
  <c r="F71" i="86"/>
  <c r="H71" i="86" s="1"/>
  <c r="C70" i="86"/>
  <c r="H67" i="86"/>
  <c r="E66" i="86"/>
  <c r="G62" i="86"/>
  <c r="L62" i="86" s="1"/>
  <c r="D61" i="86"/>
  <c r="I61" i="86" s="1"/>
  <c r="E57" i="86"/>
  <c r="J57" i="86" s="1"/>
  <c r="C56" i="86"/>
  <c r="H56" i="86" s="1"/>
  <c r="G53" i="86"/>
  <c r="D52" i="86"/>
  <c r="I47" i="86"/>
  <c r="G45" i="86"/>
  <c r="G44" i="86"/>
  <c r="F43" i="86"/>
  <c r="E42" i="86"/>
  <c r="E41" i="86"/>
  <c r="J41" i="86" s="1"/>
  <c r="D40" i="86"/>
  <c r="C39" i="86"/>
  <c r="K39" i="86" s="1"/>
  <c r="C38" i="86"/>
  <c r="H38" i="86" s="1"/>
  <c r="F100" i="86"/>
  <c r="C98" i="86"/>
  <c r="D96" i="86"/>
  <c r="L93" i="86"/>
  <c r="F92" i="86"/>
  <c r="J90" i="86"/>
  <c r="D89" i="86"/>
  <c r="H87" i="86"/>
  <c r="L85" i="86"/>
  <c r="F84" i="86"/>
  <c r="J82" i="86"/>
  <c r="D81" i="86"/>
  <c r="H79" i="86"/>
  <c r="L77" i="86"/>
  <c r="F76" i="86"/>
  <c r="K76" i="86" s="1"/>
  <c r="C75" i="86"/>
  <c r="H75" i="86" s="1"/>
  <c r="G72" i="86"/>
  <c r="H72" i="86" s="1"/>
  <c r="E71" i="86"/>
  <c r="J71" i="86" s="1"/>
  <c r="L69" i="86"/>
  <c r="I68" i="86"/>
  <c r="F67" i="86"/>
  <c r="K67" i="86" s="1"/>
  <c r="C66" i="86"/>
  <c r="H66" i="86" s="1"/>
  <c r="E62" i="86"/>
  <c r="J62" i="86" s="1"/>
  <c r="I59" i="86"/>
  <c r="G58" i="86"/>
  <c r="L58" i="86" s="1"/>
  <c r="D57" i="86"/>
  <c r="I57" i="86" s="1"/>
  <c r="K55" i="86"/>
  <c r="E53" i="86"/>
  <c r="C52" i="86"/>
  <c r="L52" i="86" s="1"/>
  <c r="H48" i="86"/>
  <c r="G46" i="86"/>
  <c r="F45" i="86"/>
  <c r="F44" i="86"/>
  <c r="E43" i="86"/>
  <c r="J43" i="86" s="1"/>
  <c r="D42" i="86"/>
  <c r="I42" i="86" s="1"/>
  <c r="D41" i="86"/>
  <c r="C40" i="86"/>
  <c r="J40" i="86" s="1"/>
  <c r="L37" i="86"/>
  <c r="H31" i="86"/>
  <c r="G30" i="86"/>
  <c r="F29" i="86"/>
  <c r="K29" i="86" s="1"/>
  <c r="F28" i="86"/>
  <c r="E27" i="86"/>
  <c r="D26" i="86"/>
  <c r="D25" i="86"/>
  <c r="C24" i="86"/>
  <c r="H24" i="86" s="1"/>
  <c r="L22" i="86"/>
  <c r="L101" i="86"/>
  <c r="I99" i="86"/>
  <c r="J97" i="86"/>
  <c r="H95" i="86"/>
  <c r="I93" i="86"/>
  <c r="C92" i="86"/>
  <c r="G90" i="86"/>
  <c r="K88" i="86"/>
  <c r="E87" i="86"/>
  <c r="I85" i="86"/>
  <c r="C84" i="86"/>
  <c r="G82" i="86"/>
  <c r="K80" i="86"/>
  <c r="E79" i="86"/>
  <c r="I77" i="86"/>
  <c r="C76" i="86"/>
  <c r="I76" i="86" s="1"/>
  <c r="G73" i="86"/>
  <c r="L73" i="86" s="1"/>
  <c r="D72" i="86"/>
  <c r="K70" i="86"/>
  <c r="I69" i="86"/>
  <c r="F68" i="86"/>
  <c r="C67" i="86"/>
  <c r="L67" i="86" s="1"/>
  <c r="J65" i="86"/>
  <c r="G64" i="86"/>
  <c r="L64" i="86" s="1"/>
  <c r="E63" i="86"/>
  <c r="F59" i="86"/>
  <c r="K59" i="86" s="1"/>
  <c r="C58" i="86"/>
  <c r="K58" i="86" s="1"/>
  <c r="K56" i="86"/>
  <c r="H55" i="86"/>
  <c r="E54" i="86"/>
  <c r="J54" i="86" s="1"/>
  <c r="G50" i="86"/>
  <c r="F49" i="86"/>
  <c r="K49" i="86" s="1"/>
  <c r="F48" i="86"/>
  <c r="E47" i="86"/>
  <c r="D46" i="86"/>
  <c r="H46" i="86" s="1"/>
  <c r="D45" i="86"/>
  <c r="I45" i="86" s="1"/>
  <c r="C44" i="86"/>
  <c r="H44" i="86" s="1"/>
  <c r="I37" i="86"/>
  <c r="G34" i="86"/>
  <c r="L34" i="86" s="1"/>
  <c r="F33" i="86"/>
  <c r="K33" i="86" s="1"/>
  <c r="F32" i="86"/>
  <c r="K32" i="86" s="1"/>
  <c r="E31" i="86"/>
  <c r="D30" i="86"/>
  <c r="I30" i="86" s="1"/>
  <c r="D29" i="86"/>
  <c r="I29" i="86" s="1"/>
  <c r="C28" i="86"/>
  <c r="H28" i="86" s="1"/>
  <c r="J101" i="86"/>
  <c r="H99" i="86"/>
  <c r="E97" i="86"/>
  <c r="F95" i="86"/>
  <c r="E93" i="86"/>
  <c r="I91" i="86"/>
  <c r="C90" i="86"/>
  <c r="G88" i="86"/>
  <c r="K86" i="86"/>
  <c r="E85" i="86"/>
  <c r="I83" i="86"/>
  <c r="C82" i="86"/>
  <c r="G80" i="86"/>
  <c r="K78" i="86"/>
  <c r="E77" i="86"/>
  <c r="K75" i="86"/>
  <c r="H74" i="86"/>
  <c r="E73" i="86"/>
  <c r="H73" i="86" s="1"/>
  <c r="C72" i="86"/>
  <c r="J72" i="86" s="1"/>
  <c r="J70" i="86"/>
  <c r="G69" i="86"/>
  <c r="D68" i="86"/>
  <c r="K66" i="86"/>
  <c r="F64" i="86"/>
  <c r="K64" i="86" s="1"/>
  <c r="C63" i="86"/>
  <c r="J63" i="86" s="1"/>
  <c r="G60" i="86"/>
  <c r="L60" i="86" s="1"/>
  <c r="E59" i="86"/>
  <c r="I56" i="86"/>
  <c r="F55" i="86"/>
  <c r="C54" i="86"/>
  <c r="H54" i="86" s="1"/>
  <c r="K52" i="86"/>
  <c r="E50" i="86"/>
  <c r="J50" i="86" s="1"/>
  <c r="E49" i="86"/>
  <c r="D48" i="86"/>
  <c r="I48" i="86" s="1"/>
  <c r="C47" i="86"/>
  <c r="H47" i="86" s="1"/>
  <c r="C46" i="86"/>
  <c r="L44" i="86"/>
  <c r="K43" i="86"/>
  <c r="G37" i="86"/>
  <c r="G36" i="86"/>
  <c r="L36" i="86" s="1"/>
  <c r="F35" i="86"/>
  <c r="K35" i="86" s="1"/>
  <c r="E34" i="86"/>
  <c r="E33" i="86"/>
  <c r="J33" i="86" s="1"/>
  <c r="D32" i="86"/>
  <c r="C31" i="86"/>
  <c r="C30" i="86"/>
  <c r="L30" i="86" s="1"/>
  <c r="K27" i="86"/>
  <c r="K26" i="86"/>
  <c r="J25" i="86"/>
  <c r="J93" i="86"/>
  <c r="F87" i="86"/>
  <c r="L80" i="86"/>
  <c r="K74" i="86"/>
  <c r="J69" i="86"/>
  <c r="G54" i="86"/>
  <c r="L54" i="86" s="1"/>
  <c r="G49" i="86"/>
  <c r="L49" i="86" s="1"/>
  <c r="E45" i="86"/>
  <c r="J45" i="86" s="1"/>
  <c r="I36" i="86"/>
  <c r="L29" i="86"/>
  <c r="C27" i="86"/>
  <c r="L27" i="86" s="1"/>
  <c r="D24" i="86"/>
  <c r="L97" i="86"/>
  <c r="H90" i="86"/>
  <c r="D84" i="86"/>
  <c r="J77" i="86"/>
  <c r="F72" i="86"/>
  <c r="K72" i="86" s="1"/>
  <c r="E67" i="86"/>
  <c r="J67" i="86" s="1"/>
  <c r="C62" i="86"/>
  <c r="I62" i="86" s="1"/>
  <c r="K51" i="86"/>
  <c r="F47" i="86"/>
  <c r="K47" i="86" s="1"/>
  <c r="C43" i="86"/>
  <c r="L43" i="86" s="1"/>
  <c r="K38" i="86"/>
  <c r="F31" i="86"/>
  <c r="K31" i="86" s="1"/>
  <c r="G28" i="86"/>
  <c r="I25" i="86"/>
  <c r="E101" i="86"/>
  <c r="D93" i="86"/>
  <c r="J86" i="86"/>
  <c r="F80" i="86"/>
  <c r="G74" i="86"/>
  <c r="L74" i="86" s="1"/>
  <c r="E69" i="86"/>
  <c r="D64" i="86"/>
  <c r="C59" i="86"/>
  <c r="L59" i="86" s="1"/>
  <c r="L53" i="86"/>
  <c r="D49" i="86"/>
  <c r="I49" i="86" s="1"/>
  <c r="K44" i="86"/>
  <c r="F36" i="86"/>
  <c r="K36" i="86" s="1"/>
  <c r="G32" i="86"/>
  <c r="G29" i="86"/>
  <c r="D100" i="86"/>
  <c r="D92" i="86"/>
  <c r="J85" i="86"/>
  <c r="F79" i="86"/>
  <c r="G68" i="86"/>
  <c r="F63" i="86"/>
  <c r="K63" i="86" s="1"/>
  <c r="E58" i="86"/>
  <c r="H58" i="86" s="1"/>
  <c r="D53" i="86"/>
  <c r="H53" i="86" s="1"/>
  <c r="G48" i="86"/>
  <c r="L48" i="86" s="1"/>
  <c r="D44" i="86"/>
  <c r="C32" i="86"/>
  <c r="I32" i="86" s="1"/>
  <c r="E29" i="86"/>
  <c r="J29" i="86" s="1"/>
  <c r="E26" i="86"/>
  <c r="J26" i="86" s="1"/>
  <c r="H23" i="86"/>
  <c r="F27" i="86"/>
  <c r="F99" i="86"/>
  <c r="H91" i="86"/>
  <c r="D85" i="86"/>
  <c r="J78" i="86"/>
  <c r="D73" i="86"/>
  <c r="I73" i="86" s="1"/>
  <c r="C68" i="86"/>
  <c r="H68" i="86" s="1"/>
  <c r="K62" i="86"/>
  <c r="C48" i="86"/>
  <c r="E35" i="86"/>
  <c r="J35" i="86" s="1"/>
  <c r="I31" i="86"/>
  <c r="K28" i="86"/>
  <c r="C26" i="86"/>
  <c r="L26" i="86" s="1"/>
  <c r="C23" i="86"/>
  <c r="K23" i="86" s="1"/>
  <c r="G65" i="86"/>
  <c r="D97" i="86"/>
  <c r="L89" i="86"/>
  <c r="H83" i="86"/>
  <c r="D77" i="86"/>
  <c r="K71" i="86"/>
  <c r="J66" i="86"/>
  <c r="G56" i="86"/>
  <c r="F51" i="86"/>
  <c r="L46" i="86"/>
  <c r="J42" i="86"/>
  <c r="G38" i="86"/>
  <c r="L38" i="86" s="1"/>
  <c r="D34" i="86"/>
  <c r="I34" i="86" s="1"/>
  <c r="D28" i="86"/>
  <c r="I28" i="86" s="1"/>
  <c r="E25" i="86"/>
  <c r="G22" i="86"/>
  <c r="F88" i="86"/>
  <c r="E55" i="86"/>
  <c r="J55" i="86" s="1"/>
  <c r="I41" i="86"/>
  <c r="D33" i="86"/>
  <c r="I33" i="86" s="1"/>
  <c r="I95" i="86"/>
  <c r="L88" i="86"/>
  <c r="H82" i="86"/>
  <c r="D76" i="86"/>
  <c r="C71" i="86"/>
  <c r="L65" i="86"/>
  <c r="K60" i="86"/>
  <c r="E46" i="86"/>
  <c r="J46" i="86" s="1"/>
  <c r="C42" i="86"/>
  <c r="J37" i="86"/>
  <c r="G33" i="86"/>
  <c r="H30" i="86"/>
  <c r="J27" i="86"/>
  <c r="C22" i="86"/>
  <c r="H22" i="86" s="1"/>
  <c r="K94" i="86"/>
  <c r="L81" i="86"/>
  <c r="I75" i="86"/>
  <c r="F60" i="86"/>
  <c r="D50" i="86"/>
  <c r="I50" i="86" s="1"/>
  <c r="L45" i="86"/>
  <c r="F37" i="86"/>
  <c r="K37" i="86" s="1"/>
  <c r="E30" i="86"/>
  <c r="G21" i="69" l="1"/>
  <c r="H36" i="85"/>
  <c r="H37" i="85"/>
  <c r="H35" i="85"/>
  <c r="H38" i="85"/>
  <c r="F17" i="70"/>
  <c r="F34" i="70"/>
  <c r="E18" i="41"/>
  <c r="H17" i="41"/>
  <c r="F17" i="41"/>
  <c r="G17" i="41" s="1"/>
  <c r="H32" i="86"/>
  <c r="K68" i="86"/>
  <c r="L68" i="86"/>
  <c r="H64" i="86"/>
  <c r="L28" i="86"/>
  <c r="I65" i="86"/>
  <c r="J22" i="86"/>
  <c r="H26" i="86"/>
  <c r="I43" i="86"/>
  <c r="L72" i="86"/>
  <c r="I46" i="86"/>
  <c r="K65" i="86"/>
  <c r="H52" i="86"/>
  <c r="J34" i="84"/>
  <c r="J18" i="70"/>
  <c r="J17" i="70" s="1"/>
  <c r="H65" i="37"/>
  <c r="F31" i="42"/>
  <c r="J38" i="86"/>
  <c r="H39" i="86"/>
  <c r="J34" i="86"/>
  <c r="P34" i="84"/>
  <c r="F28" i="47"/>
  <c r="I38" i="86"/>
  <c r="I70" i="86"/>
  <c r="K50" i="86"/>
  <c r="J59" i="86"/>
  <c r="L56" i="86"/>
  <c r="I39" i="86"/>
  <c r="K24" i="86"/>
  <c r="L41" i="86"/>
  <c r="H63" i="86"/>
  <c r="J73" i="86"/>
  <c r="I72" i="86"/>
  <c r="H43" i="86"/>
  <c r="H62" i="86"/>
  <c r="I54" i="86"/>
  <c r="H28" i="47"/>
  <c r="H76" i="86"/>
  <c r="J58" i="86"/>
  <c r="H29" i="86"/>
  <c r="H61" i="86"/>
  <c r="H30" i="50"/>
  <c r="L33" i="86"/>
  <c r="J24" i="86"/>
  <c r="H37" i="86"/>
  <c r="I35" i="86"/>
  <c r="H59" i="86"/>
  <c r="I40" i="86"/>
  <c r="I51" i="86"/>
  <c r="H27" i="86"/>
  <c r="I53" i="86"/>
  <c r="H45" i="86"/>
  <c r="F34" i="84"/>
  <c r="I21" i="69"/>
  <c r="H31" i="42"/>
  <c r="L50" i="86"/>
  <c r="I52" i="86"/>
  <c r="I24" i="86"/>
  <c r="K34" i="86"/>
  <c r="K30" i="86"/>
  <c r="H55" i="40"/>
  <c r="L40" i="86"/>
  <c r="H40" i="86"/>
  <c r="C35" i="84"/>
  <c r="F36" i="70" s="1"/>
  <c r="N34" i="84"/>
  <c r="C25" i="57"/>
  <c r="C42" i="57"/>
  <c r="C33" i="57"/>
  <c r="C24" i="57"/>
  <c r="H34" i="84"/>
  <c r="H42" i="48"/>
  <c r="J6" i="66"/>
  <c r="J6" i="69"/>
  <c r="J6" i="50"/>
  <c r="L6" i="82"/>
  <c r="J6" i="71"/>
  <c r="J6" i="83"/>
  <c r="J6" i="90"/>
  <c r="J6" i="65"/>
  <c r="J6" i="79"/>
  <c r="K6" i="78"/>
  <c r="J6" i="67"/>
  <c r="J6" i="42"/>
  <c r="J6" i="43"/>
  <c r="L6" i="72"/>
  <c r="J6" i="89"/>
  <c r="J6" i="48"/>
  <c r="J6" i="47"/>
  <c r="J6" i="62"/>
  <c r="J6" i="64"/>
  <c r="J6" i="46"/>
  <c r="J6" i="44"/>
  <c r="J6" i="63"/>
  <c r="J6" i="41"/>
  <c r="J6" i="61"/>
  <c r="J6" i="49"/>
  <c r="J6" i="84"/>
  <c r="J6" i="37"/>
  <c r="J6" i="40"/>
  <c r="J6" i="91"/>
  <c r="J6" i="86"/>
  <c r="J6" i="87"/>
  <c r="J6" i="92"/>
  <c r="J6" i="57"/>
  <c r="J6" i="85"/>
  <c r="J6" i="70"/>
  <c r="E19" i="41" l="1"/>
  <c r="F18" i="41"/>
  <c r="G18" i="41" s="1"/>
  <c r="H18" i="41"/>
  <c r="F19" i="41" l="1"/>
  <c r="G19" i="41" s="1"/>
  <c r="H19" i="41"/>
  <c r="E20" i="41"/>
  <c r="H20" i="41" l="1"/>
  <c r="F20" i="41"/>
  <c r="G20" i="41" s="1"/>
  <c r="E21" i="41"/>
  <c r="F21" i="41" l="1"/>
  <c r="G21" i="41" s="1"/>
  <c r="E22" i="41"/>
  <c r="H21" i="41"/>
  <c r="E23" i="41" l="1"/>
  <c r="H22" i="41"/>
  <c r="F22" i="41"/>
  <c r="G22" i="41" s="1"/>
  <c r="H23" i="41" l="1"/>
  <c r="E24" i="41"/>
  <c r="F23" i="41"/>
  <c r="G23" i="41" s="1"/>
  <c r="E25" i="41" l="1"/>
  <c r="F24" i="41"/>
  <c r="G24" i="41" s="1"/>
  <c r="H24" i="41"/>
  <c r="E26" i="41" l="1"/>
  <c r="H25" i="41"/>
  <c r="F25" i="41"/>
  <c r="G25" i="41" s="1"/>
  <c r="E27" i="41" l="1"/>
  <c r="H26" i="41"/>
  <c r="F26" i="41"/>
  <c r="G26" i="41" s="1"/>
  <c r="E28" i="41" l="1"/>
  <c r="F27" i="41"/>
  <c r="G27" i="41" s="1"/>
  <c r="H27" i="41"/>
  <c r="F28" i="41" l="1"/>
  <c r="G28" i="41" s="1"/>
  <c r="E29" i="41"/>
  <c r="H28" i="41"/>
  <c r="H29" i="41" l="1"/>
  <c r="E30" i="41"/>
  <c r="F29" i="41"/>
  <c r="G29" i="41" s="1"/>
  <c r="H30" i="41" l="1"/>
  <c r="F30" i="41"/>
  <c r="G30" i="41" s="1"/>
  <c r="E31" i="41"/>
  <c r="E32" i="41" l="1"/>
  <c r="H31" i="41"/>
  <c r="F31" i="41"/>
  <c r="G31" i="41" s="1"/>
  <c r="E33" i="41" l="1"/>
  <c r="H32" i="41"/>
  <c r="F32" i="41"/>
  <c r="G32" i="41" s="1"/>
  <c r="E34" i="41" l="1"/>
  <c r="H33" i="41"/>
  <c r="F33" i="41"/>
  <c r="G33" i="41" s="1"/>
  <c r="E35" i="41" l="1"/>
  <c r="F34" i="41"/>
  <c r="G34" i="41" s="1"/>
  <c r="H34" i="41"/>
  <c r="F35" i="41" l="1"/>
  <c r="G35" i="41" s="1"/>
  <c r="E36" i="41"/>
  <c r="H35" i="41"/>
  <c r="H36" i="41" l="1"/>
  <c r="F36" i="41"/>
  <c r="G36" i="41" s="1"/>
  <c r="E37" i="41"/>
  <c r="F37" i="41" l="1"/>
  <c r="G37" i="41" s="1"/>
  <c r="E38" i="41"/>
  <c r="H37" i="41"/>
  <c r="H38" i="41" l="1"/>
  <c r="H39" i="41" s="1"/>
  <c r="F38" i="41"/>
  <c r="G38" i="41" l="1"/>
  <c r="G39" i="41" s="1"/>
  <c r="F39" i="41"/>
</calcChain>
</file>

<file path=xl/sharedStrings.xml><?xml version="1.0" encoding="utf-8"?>
<sst xmlns="http://schemas.openxmlformats.org/spreadsheetml/2006/main" count="2848" uniqueCount="1594">
  <si>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</si>
  <si>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</si>
  <si>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</si>
  <si>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</si>
  <si>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</si>
  <si>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</si>
  <si>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</si>
  <si>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</si>
  <si>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</si>
  <si>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</si>
  <si>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</si>
  <si>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</si>
  <si>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</si>
  <si>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</si>
  <si>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</si>
  <si>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</si>
  <si>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</si>
  <si>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</si>
  <si>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</si>
  <si>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</si>
  <si>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</si>
  <si>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</si>
  <si>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</si>
  <si>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</si>
  <si>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</si>
  <si>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</si>
  <si>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</si>
  <si>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</si>
  <si>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</si>
  <si>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</si>
  <si>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</si>
  <si>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</si>
  <si>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</si>
  <si>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</si>
  <si>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</si>
  <si>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</si>
  <si>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</si>
  <si>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</si>
  <si>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</si>
  <si>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</si>
  <si>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</si>
  <si>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</si>
  <si>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</si>
  <si>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</si>
  <si>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</si>
  <si>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</si>
  <si>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</si>
  <si>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</si>
  <si>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</si>
  <si>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</si>
  <si>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</si>
  <si>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</si>
  <si>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</si>
  <si>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</si>
  <si>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</si>
  <si>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</si>
  <si>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</si>
  <si>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</si>
  <si>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</si>
  <si>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</si>
  <si>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</si>
  <si>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</si>
  <si>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</si>
  <si>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</si>
  <si>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</si>
  <si>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</si>
  <si>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</si>
  <si>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</si>
  <si>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</si>
  <si>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</si>
  <si>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</si>
  <si>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</si>
  <si>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</si>
  <si>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</si>
  <si>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</si>
  <si>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</si>
  <si>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</si>
  <si>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</si>
  <si>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</si>
  <si>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</si>
  <si>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</si>
  <si>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</si>
  <si>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</si>
  <si>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</si>
  <si>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</si>
  <si>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</si>
  <si>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</si>
  <si>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</si>
  <si>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</si>
  <si>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</si>
  <si>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</si>
  <si>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</si>
  <si>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</si>
  <si>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</si>
  <si>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</si>
  <si>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</si>
  <si>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</si>
  <si>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</si>
  <si>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</si>
  <si>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</si>
  <si>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</si>
  <si>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</si>
  <si>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</si>
  <si>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</si>
  <si>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</si>
  <si>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</si>
  <si>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</si>
  <si>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</si>
  <si>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</si>
  <si>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</si>
  <si>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</si>
  <si>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</si>
  <si>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</si>
  <si>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</si>
  <si>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</si>
  <si>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</si>
  <si>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</si>
  <si>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</si>
  <si>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</si>
  <si>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</si>
  <si>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</si>
  <si>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</si>
  <si>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</si>
  <si>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</si>
  <si>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</si>
  <si>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</si>
  <si>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</si>
  <si>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</si>
  <si>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</si>
  <si>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</si>
  <si>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</si>
  <si>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</si>
  <si>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</si>
  <si>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</si>
  <si>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</si>
  <si>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</si>
  <si>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</si>
  <si>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</si>
  <si>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</si>
  <si>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</si>
  <si>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</si>
  <si>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</si>
  <si>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</si>
  <si>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</si>
  <si>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</si>
  <si>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</si>
  <si>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</si>
  <si>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</si>
  <si>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</si>
  <si>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</si>
  <si>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</si>
  <si>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</si>
  <si>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</si>
  <si>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</si>
  <si>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</si>
  <si>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</si>
  <si>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</si>
  <si>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</si>
  <si>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</si>
  <si>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</si>
  <si>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</si>
  <si>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</si>
  <si>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</si>
  <si>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</si>
  <si>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</si>
  <si>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</si>
  <si>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</si>
  <si>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</si>
  <si>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</si>
  <si>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</si>
  <si>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</si>
  <si>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</si>
  <si>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</si>
  <si>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</si>
  <si>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</si>
  <si>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</si>
  <si>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</si>
  <si>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</si>
  <si>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</si>
  <si>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</si>
  <si>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</si>
  <si>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</si>
  <si>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</si>
  <si>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</si>
  <si>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</si>
  <si>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</si>
  <si>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</si>
  <si>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</si>
  <si>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</si>
  <si>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</si>
  <si>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</si>
  <si>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</si>
  <si>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</si>
  <si>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</si>
  <si>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</si>
  <si>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</si>
  <si>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</si>
  <si>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</si>
  <si>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</si>
  <si>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</si>
  <si>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</si>
  <si>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</si>
  <si>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</si>
  <si>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</si>
  <si>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</si>
  <si>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</si>
  <si>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</si>
  <si>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</si>
  <si>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</si>
  <si>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</si>
  <si>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</si>
  <si>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</si>
  <si>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</si>
  <si>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</si>
  <si>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</si>
  <si>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</si>
  <si>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</si>
  <si>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</si>
  <si>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</si>
  <si>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</si>
  <si>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</si>
  <si>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</si>
  <si>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</si>
  <si>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</si>
  <si>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</si>
  <si>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</si>
  <si>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</si>
  <si>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</si>
  <si>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</si>
  <si>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</si>
  <si>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</si>
  <si>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</si>
  <si>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</si>
  <si>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</si>
  <si>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</si>
  <si>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</si>
  <si>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</si>
  <si>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</si>
  <si>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</si>
  <si>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</si>
  <si>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</si>
  <si>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</si>
  <si>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</si>
  <si>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</si>
  <si>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</si>
  <si>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</si>
  <si>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</si>
  <si>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</si>
  <si>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</si>
  <si>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</si>
  <si>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</si>
  <si>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</si>
  <si>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</si>
  <si>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</si>
  <si>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</si>
  <si>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</si>
  <si>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</si>
  <si>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</si>
  <si>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</si>
  <si>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</si>
  <si>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</si>
  <si>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</si>
  <si>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</si>
  <si>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</si>
  <si>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</si>
  <si>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</si>
  <si>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</si>
  <si>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</si>
  <si>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</si>
  <si>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</si>
  <si>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</si>
  <si>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</si>
  <si>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</si>
  <si>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</si>
  <si>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</si>
  <si>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</si>
  <si>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</si>
  <si>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</si>
  <si>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</si>
  <si>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</si>
  <si>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</si>
  <si>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</si>
  <si>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</si>
  <si>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</si>
  <si>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</si>
  <si>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</si>
  <si>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</si>
  <si>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</si>
  <si>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</si>
  <si>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</si>
  <si>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</si>
  <si>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</si>
  <si>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</si>
  <si>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</si>
  <si>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</si>
  <si>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</si>
  <si>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</si>
  <si>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</si>
  <si>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</si>
  <si>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</si>
  <si>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</si>
  <si>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</si>
  <si>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</si>
  <si>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</si>
  <si>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</si>
  <si>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</si>
  <si>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</si>
  <si>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</si>
  <si>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</si>
  <si>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</si>
  <si>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</si>
  <si>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</si>
  <si>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</si>
  <si>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</si>
  <si>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</si>
  <si>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</si>
  <si>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</si>
  <si>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</si>
  <si>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</si>
  <si>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</si>
  <si>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</si>
  <si>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</si>
  <si>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</si>
  <si>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</si>
  <si>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</si>
  <si>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</si>
  <si>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</si>
  <si>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</si>
  <si>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</si>
  <si>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</si>
  <si>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</si>
  <si>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</si>
  <si>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</si>
  <si>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</si>
  <si>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</si>
  <si>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</si>
  <si>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</si>
  <si>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</si>
  <si>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</si>
  <si>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</si>
  <si>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</si>
  <si>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</si>
  <si>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</si>
  <si>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</si>
  <si>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</si>
  <si>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</si>
  <si>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</si>
  <si>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</si>
  <si>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</si>
  <si>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</si>
  <si>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</si>
  <si>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</si>
  <si>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</si>
  <si>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</si>
  <si>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</si>
  <si>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</si>
  <si>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</si>
  <si>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</si>
  <si>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</si>
  <si>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</si>
  <si>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</si>
  <si>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</si>
  <si>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</si>
  <si>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</si>
  <si>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</si>
  <si>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</si>
  <si>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</si>
  <si>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</si>
  <si>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</si>
  <si>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</si>
  <si>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</si>
  <si>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</si>
  <si>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</si>
  <si>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</si>
  <si>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</si>
  <si>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</si>
  <si>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</si>
  <si>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</si>
  <si>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</si>
  <si>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</si>
  <si>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</si>
  <si>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</si>
  <si>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</si>
  <si>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</si>
  <si>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</si>
  <si>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</si>
  <si>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</si>
  <si>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</si>
  <si>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</si>
  <si>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</si>
  <si>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</si>
  <si>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</si>
  <si>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</si>
  <si>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</si>
  <si>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</si>
  <si>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</si>
  <si>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</si>
  <si>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</si>
  <si>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</si>
  <si>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</si>
  <si>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</si>
  <si>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</si>
  <si>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</si>
  <si>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</si>
  <si>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</si>
  <si>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</si>
  <si>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</si>
  <si>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</si>
  <si>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</si>
  <si>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</si>
  <si>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</si>
  <si>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</si>
  <si>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</si>
  <si>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</si>
  <si>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</si>
  <si>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</si>
  <si>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</si>
  <si>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</si>
  <si>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</si>
  <si>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</si>
  <si>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</si>
  <si>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</si>
  <si>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</si>
  <si>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</si>
  <si>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</si>
  <si>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</si>
  <si>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</si>
  <si>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</si>
  <si>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</si>
  <si>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</si>
  <si>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</si>
  <si>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</si>
  <si>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</si>
  <si>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</si>
  <si>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</si>
  <si>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</si>
  <si>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</si>
  <si>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</si>
  <si>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</si>
  <si>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</si>
  <si>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</si>
  <si>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</si>
  <si>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</si>
  <si>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</si>
  <si>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</si>
  <si>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</si>
  <si>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</si>
  <si>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</si>
  <si>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</si>
  <si>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</si>
  <si>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</si>
  <si>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</si>
  <si>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</si>
  <si>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</si>
  <si>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</si>
  <si>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</si>
  <si>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</si>
  <si>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</si>
  <si>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</si>
  <si>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</si>
  <si>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</si>
  <si>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</si>
  <si>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</si>
  <si>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</si>
  <si>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</si>
  <si>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</si>
  <si>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</si>
  <si>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</si>
  <si>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</si>
  <si>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</si>
  <si>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</si>
  <si>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</si>
  <si>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</si>
  <si>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</si>
  <si>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</si>
  <si>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</si>
  <si>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</si>
  <si>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</si>
  <si>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</si>
  <si>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</si>
  <si>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</si>
  <si>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</si>
  <si>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</si>
  <si>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</si>
  <si>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</si>
  <si>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</si>
  <si>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</si>
  <si>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</si>
  <si>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</si>
  <si>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</si>
  <si>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</si>
  <si>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</si>
  <si>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</si>
  <si>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</si>
  <si>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</si>
  <si>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</si>
  <si>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</si>
  <si>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</si>
  <si>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</si>
  <si>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</si>
  <si>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</si>
  <si>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</si>
  <si>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</si>
  <si>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</si>
  <si>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</si>
  <si>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</si>
  <si>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</si>
  <si>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</si>
  <si>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</si>
  <si>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</si>
  <si>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</si>
  <si>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</si>
  <si>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</si>
  <si>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</si>
  <si>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</si>
  <si>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</si>
  <si>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</si>
  <si>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</si>
  <si>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</si>
  <si>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</si>
  <si>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</si>
  <si>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</si>
  <si>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</si>
  <si>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</si>
  <si>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</si>
  <si>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</si>
  <si>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</si>
  <si>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</si>
  <si>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</si>
  <si>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</si>
  <si>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</si>
  <si>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</si>
  <si>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</si>
  <si>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</si>
  <si>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</si>
  <si>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</si>
  <si>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</si>
  <si>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Amortising</t>
  </si>
  <si>
    <t>RTG_FITCH_DERIV_COUNTERPARTY</t>
  </si>
  <si>
    <t>In case of Fitch, only one required rating must be held</t>
  </si>
  <si>
    <t>Long Term or Derivative Counterparty Rating</t>
  </si>
  <si>
    <t>1mE+70bp</t>
  </si>
  <si>
    <r>
      <t>*</t>
    </r>
    <r>
      <rPr>
        <sz val="10"/>
        <rFont val="Arial"/>
        <family val="2"/>
      </rPr>
      <t>runs from .00 to .99</t>
    </r>
  </si>
  <si>
    <r>
      <t>Yield Range</t>
    </r>
    <r>
      <rPr>
        <i/>
        <vertAlign val="superscript"/>
        <sz val="11"/>
        <color indexed="8"/>
        <rFont val="Arial"/>
        <family val="2"/>
      </rPr>
      <t>*</t>
    </r>
  </si>
  <si>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</si>
  <si>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</si>
  <si>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</si>
  <si>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</si>
  <si>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IDCONTR_PACK</t>
  </si>
  <si>
    <t>RANGE</t>
  </si>
  <si>
    <t>_FREQ_</t>
  </si>
  <si>
    <t>RANGEVAL</t>
  </si>
  <si>
    <t>PACKAGE</t>
  </si>
  <si>
    <t>VARIABLE</t>
  </si>
  <si>
    <t>NUM</t>
  </si>
  <si>
    <t>DATE</t>
  </si>
  <si>
    <t>STRG</t>
  </si>
  <si>
    <t xml:space="preserve">Amounts standing to the credit of the Set-Off Reserve Account </t>
  </si>
  <si>
    <t>POOL</t>
  </si>
  <si>
    <t>COUNTERPARTY</t>
  </si>
  <si>
    <t>RTG_MDY_ST_CRA</t>
  </si>
  <si>
    <t>RTG_FITCH_SEN_UNSECURED</t>
  </si>
  <si>
    <t>RTG_FITCH_SHORT_TERM</t>
  </si>
  <si>
    <t>RTG_DATE</t>
  </si>
  <si>
    <t>ABS_RAT</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</si>
  <si>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</si>
  <si>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</si>
  <si>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</si>
  <si>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</si>
  <si>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</si>
  <si>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</si>
  <si>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</si>
  <si>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</si>
  <si>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</si>
  <si>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</si>
  <si>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</si>
  <si>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</si>
  <si>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</si>
  <si>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</si>
  <si>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</si>
  <si>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</si>
  <si>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</si>
  <si>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</si>
  <si>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</si>
  <si>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</si>
  <si>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</si>
  <si>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</si>
  <si>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</si>
  <si>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</si>
  <si>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</si>
  <si>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</si>
  <si>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</si>
  <si>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</si>
  <si>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</si>
  <si>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</si>
  <si>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</si>
  <si>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</si>
  <si>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</si>
  <si>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</si>
  <si>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</si>
  <si>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</si>
  <si>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</si>
  <si>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</si>
  <si>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</si>
  <si>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</si>
  <si>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</si>
  <si>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</si>
  <si>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</si>
  <si>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</si>
  <si>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</si>
  <si>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</si>
  <si>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</si>
  <si>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</si>
  <si>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</si>
  <si>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</si>
  <si>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</si>
  <si>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</si>
  <si>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</si>
  <si>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</si>
  <si>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</si>
  <si>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</si>
  <si>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</si>
  <si>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</si>
  <si>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</si>
  <si>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</si>
  <si>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</si>
  <si>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</si>
  <si>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</si>
  <si>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</si>
  <si>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</si>
  <si>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</si>
  <si>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</si>
  <si>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</si>
  <si>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</si>
  <si>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</si>
  <si>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</si>
  <si>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</si>
  <si>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</si>
  <si>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</si>
  <si>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</si>
  <si>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</si>
  <si>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</si>
  <si>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</si>
  <si>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</si>
  <si>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</si>
  <si>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</si>
  <si>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</si>
  <si>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</si>
  <si>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</si>
  <si>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</si>
  <si>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</si>
  <si>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</si>
  <si>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</si>
  <si>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</si>
  <si>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</si>
  <si>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</si>
  <si>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</si>
  <si>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</si>
  <si>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</si>
  <si>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</si>
  <si>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</si>
  <si>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</si>
  <si>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</si>
  <si>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</si>
  <si>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</si>
  <si>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</si>
  <si>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</si>
  <si>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</si>
  <si>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</si>
  <si>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</si>
  <si>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</si>
  <si>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</si>
  <si>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</si>
  <si>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</si>
  <si>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</si>
  <si>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</si>
  <si>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</si>
  <si>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</si>
  <si>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</si>
  <si>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</si>
  <si>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</si>
  <si>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</si>
  <si>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</si>
  <si>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</si>
  <si>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</si>
  <si>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</si>
  <si>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</si>
  <si>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</si>
  <si>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</si>
  <si>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</si>
  <si>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</si>
  <si>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</si>
  <si>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</si>
  <si>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</si>
  <si>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</si>
  <si>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</si>
  <si>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</si>
  <si>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</si>
  <si>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</si>
  <si>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</si>
  <si>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</si>
  <si>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</si>
  <si>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</si>
  <si>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</si>
  <si>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</si>
  <si>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</si>
  <si>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</si>
  <si>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</si>
  <si>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</si>
  <si>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</si>
  <si>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</si>
  <si>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</si>
  <si>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</si>
  <si>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</si>
  <si>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</si>
  <si>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</si>
  <si>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</si>
  <si>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</si>
  <si>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</si>
  <si>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</si>
  <si>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</si>
  <si>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</si>
  <si>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</si>
  <si>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</si>
  <si>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</si>
  <si>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</si>
  <si>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F2</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</si>
  <si>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</si>
  <si>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</si>
  <si>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</si>
  <si>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</si>
  <si>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</si>
  <si>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</si>
  <si>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</si>
  <si>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</si>
  <si>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</si>
  <si>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</si>
  <si>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</si>
  <si>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</si>
  <si>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</si>
  <si>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</si>
  <si>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</si>
  <si>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</si>
  <si>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</si>
  <si>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</si>
  <si>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</si>
  <si>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</si>
  <si>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</si>
  <si>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</si>
  <si>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</si>
  <si>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</si>
  <si>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</si>
  <si>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</si>
  <si>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</si>
  <si>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</si>
  <si>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</si>
  <si>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</si>
  <si>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</si>
  <si>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</si>
  <si>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</si>
  <si>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</si>
  <si>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</si>
  <si>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</si>
  <si>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</si>
  <si>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</si>
  <si>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</si>
  <si>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</si>
  <si>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</si>
  <si>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</si>
  <si>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</si>
  <si>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</si>
  <si>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</si>
  <si>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</si>
  <si>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</si>
  <si>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</si>
  <si>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</si>
  <si>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</si>
  <si>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</si>
  <si>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</si>
  <si>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</si>
  <si>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</si>
  <si>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</si>
  <si>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</si>
  <si>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</si>
  <si>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</si>
  <si>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</si>
  <si>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</si>
  <si>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</si>
  <si>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</si>
  <si>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</si>
  <si>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</si>
  <si>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</si>
  <si>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</si>
  <si>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</si>
  <si>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</si>
  <si>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</si>
  <si>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</si>
  <si>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</si>
  <si>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</si>
  <si>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</si>
  <si>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</si>
  <si>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</si>
  <si>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</si>
  <si>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</si>
  <si>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</si>
  <si>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</si>
  <si>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</si>
  <si>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</si>
  <si>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</si>
  <si>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</si>
  <si>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</si>
  <si>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</si>
  <si>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</si>
  <si>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</si>
  <si>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</si>
  <si>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</si>
  <si>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</si>
  <si>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</si>
  <si>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</si>
  <si>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</si>
  <si>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</si>
  <si>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</si>
  <si>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</si>
  <si>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</si>
  <si>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</si>
  <si>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</si>
  <si>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</si>
  <si>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</si>
  <si>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</si>
  <si>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</si>
  <si>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</si>
  <si>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</si>
  <si>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</si>
  <si>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</si>
  <si>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</si>
  <si>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</si>
  <si>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</si>
  <si>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</si>
  <si>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</si>
  <si>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</si>
  <si>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</si>
  <si>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</si>
  <si>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</si>
  <si>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</si>
  <si>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</si>
  <si>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</si>
  <si>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</si>
  <si>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</si>
  <si>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</si>
  <si>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</si>
  <si>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</si>
  <si>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</si>
  <si>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</si>
  <si>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</si>
  <si>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</si>
  <si>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</si>
  <si>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</si>
  <si>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</si>
  <si>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</si>
  <si>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</si>
  <si>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</si>
  <si>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</si>
  <si>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</si>
  <si>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</si>
  <si>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</si>
  <si>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</si>
  <si>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</si>
  <si>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</si>
  <si>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</si>
  <si>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</si>
  <si>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</si>
  <si>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</si>
  <si>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</si>
  <si>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</si>
  <si>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</si>
  <si>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</si>
  <si>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</si>
  <si>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</si>
  <si>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</si>
  <si>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</si>
  <si>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</si>
  <si>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</si>
  <si>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</si>
  <si>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</si>
  <si>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</si>
  <si>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</si>
  <si>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</si>
  <si>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</si>
  <si>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</si>
  <si>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</si>
  <si>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</si>
  <si>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</si>
  <si>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</si>
  <si>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</si>
  <si>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</si>
  <si>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</si>
  <si>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</si>
  <si>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</si>
  <si>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</si>
  <si>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</si>
  <si>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</si>
  <si>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</si>
  <si>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</si>
  <si>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</si>
  <si>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</si>
  <si>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</si>
  <si>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</si>
  <si>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</si>
  <si>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</si>
  <si>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</si>
  <si>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</si>
  <si>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</si>
  <si>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</si>
  <si>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</si>
  <si>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</si>
  <si>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</si>
  <si>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</si>
  <si>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</si>
  <si>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</si>
  <si>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</si>
  <si>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</si>
  <si>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</si>
  <si>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</si>
  <si>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</si>
  <si>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</si>
  <si>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</si>
  <si>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</si>
  <si>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</si>
  <si>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</si>
  <si>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</si>
  <si>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</si>
  <si>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</si>
  <si>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</si>
  <si>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</si>
  <si>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</si>
  <si>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</si>
  <si>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</si>
  <si>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</si>
  <si>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</si>
  <si>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</si>
  <si>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</si>
  <si>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</si>
  <si>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portfolio_49</t>
  </si>
  <si>
    <t>portfolio_50</t>
  </si>
  <si>
    <t>Baden-Wuerttemberg</t>
  </si>
  <si>
    <t>Mecklenburg-Western Pomerania</t>
  </si>
  <si>
    <t>North Rhine-Westphalia</t>
  </si>
  <si>
    <t>Rhineland-Palatinate</t>
  </si>
  <si>
    <t>Schleswig-Holstein</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</si>
  <si>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</si>
  <si>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</si>
  <si>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</si>
  <si>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</si>
  <si>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</si>
  <si>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0000025</t>
  </si>
  <si>
    <t>Initial</t>
  </si>
  <si>
    <t xml:space="preserve">     25</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</si>
  <si>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</si>
  <si>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</si>
  <si>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</si>
  <si>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</si>
  <si>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</si>
  <si>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</si>
  <si>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</si>
  <si>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</si>
  <si>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</si>
  <si>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</si>
  <si>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</si>
  <si>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</si>
  <si>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</si>
  <si>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</si>
  <si>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</si>
  <si>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</si>
  <si>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</si>
  <si>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</si>
  <si>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</si>
  <si>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</si>
  <si>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</si>
  <si>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</si>
  <si>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</si>
  <si>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</si>
  <si>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</si>
  <si>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</si>
  <si>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</si>
  <si>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</si>
  <si>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</si>
  <si>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</si>
  <si>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</si>
  <si>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</si>
  <si>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</si>
  <si>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</si>
  <si>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</si>
  <si>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</si>
  <si>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</si>
  <si>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</si>
  <si>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</si>
  <si>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</si>
  <si>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</si>
  <si>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</si>
  <si>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</si>
  <si>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</si>
  <si>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</si>
  <si>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</si>
  <si>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</si>
  <si>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</si>
  <si>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</si>
  <si>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</si>
  <si>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</si>
  <si>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</si>
  <si>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</si>
  <si>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</si>
  <si>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</si>
  <si>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</si>
  <si>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</si>
  <si>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</si>
  <si>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</si>
  <si>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</si>
  <si>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</si>
  <si>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</si>
  <si>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</si>
  <si>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</si>
  <si>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</si>
  <si>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</si>
  <si>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</si>
  <si>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</si>
  <si>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</si>
  <si>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</si>
  <si>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</si>
  <si>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</si>
  <si>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</si>
  <si>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</si>
  <si>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</si>
  <si>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</si>
  <si>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</si>
  <si>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</si>
  <si>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</si>
  <si>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</si>
  <si>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</si>
  <si>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</si>
  <si>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</si>
  <si>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</si>
  <si>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</si>
  <si>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</si>
  <si>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</si>
  <si>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</si>
  <si>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</si>
  <si>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</si>
  <si>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</si>
  <si>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</si>
  <si>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</si>
  <si>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</si>
  <si>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</si>
  <si>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</si>
  <si>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</si>
  <si>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</si>
  <si>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</si>
  <si>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</si>
  <si>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</si>
  <si>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</si>
  <si>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</si>
  <si>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</si>
  <si>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</si>
  <si>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</si>
  <si>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</si>
  <si>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</si>
  <si>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</si>
  <si>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</si>
  <si>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</si>
  <si>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</si>
  <si>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</si>
  <si>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</si>
  <si>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</si>
  <si>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</si>
  <si>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</si>
  <si>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</si>
  <si>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</si>
  <si>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</si>
  <si>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</si>
  <si>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</si>
  <si>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</si>
  <si>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</si>
  <si>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</si>
  <si>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</si>
  <si>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</si>
  <si>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</si>
  <si>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</si>
  <si>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</si>
  <si>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</si>
  <si>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</si>
  <si>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</si>
  <si>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</si>
  <si>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</si>
  <si>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</si>
  <si>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</si>
  <si>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</si>
  <si>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</si>
  <si>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</si>
  <si>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</si>
  <si>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</si>
  <si>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</si>
  <si>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</si>
  <si>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</si>
  <si>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</si>
  <si>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</si>
  <si>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</si>
  <si>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</si>
  <si>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</si>
  <si>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</si>
  <si>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</si>
  <si>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</si>
  <si>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</si>
  <si>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</si>
  <si>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</si>
  <si>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</si>
  <si>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</si>
  <si>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</si>
  <si>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</si>
  <si>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</si>
  <si>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</si>
  <si>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</si>
  <si>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</si>
  <si>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</si>
  <si>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</si>
  <si>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</si>
  <si>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</si>
  <si>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</si>
  <si>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</si>
  <si>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</si>
  <si>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</si>
  <si>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</si>
  <si>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</si>
  <si>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</si>
  <si>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</si>
  <si>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</si>
  <si>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</si>
  <si>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</si>
  <si>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</si>
  <si>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</si>
  <si>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</si>
  <si>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</si>
  <si>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</si>
  <si>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</si>
  <si>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</si>
  <si>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</si>
  <si>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</si>
  <si>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</si>
  <si>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</si>
  <si>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</si>
  <si>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</si>
  <si>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</si>
  <si>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</si>
  <si>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</si>
  <si>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</si>
  <si>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</si>
  <si>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</si>
  <si>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</si>
  <si>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</si>
  <si>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</si>
  <si>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</si>
  <si>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</si>
  <si>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</si>
  <si>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</si>
  <si>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</si>
  <si>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</si>
  <si>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</si>
  <si>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</si>
  <si>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</si>
  <si>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</si>
  <si>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</si>
  <si>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</si>
  <si>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</si>
  <si>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</si>
  <si>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</si>
  <si>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</si>
  <si>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</si>
  <si>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</si>
  <si>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</si>
  <si>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</si>
  <si>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</si>
  <si>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</si>
  <si>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</si>
  <si>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</si>
  <si>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</si>
  <si>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</si>
  <si>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</si>
  <si>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</si>
  <si>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</si>
  <si>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</si>
  <si>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</si>
  <si>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</si>
  <si>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</si>
  <si>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</si>
  <si>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</si>
  <si>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</si>
  <si>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</si>
  <si>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</si>
  <si>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</si>
  <si>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</si>
  <si>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</si>
  <si>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</si>
  <si>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</si>
  <si>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</si>
  <si>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</si>
  <si>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</si>
  <si>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</si>
  <si>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</si>
  <si>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</si>
  <si>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</si>
  <si>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</si>
  <si>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</si>
  <si>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</si>
  <si>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</si>
  <si>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</si>
  <si>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</si>
  <si>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</si>
  <si>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</si>
  <si>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</si>
  <si>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</si>
  <si>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</si>
  <si>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</si>
  <si>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</si>
  <si>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</si>
  <si>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</si>
  <si>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</si>
  <si>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</si>
  <si>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</si>
  <si>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</si>
  <si>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</si>
  <si>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</si>
  <si>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</si>
  <si>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</si>
  <si>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</si>
  <si>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</si>
  <si>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</si>
  <si>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</si>
  <si>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</si>
  <si>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</si>
  <si>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</si>
  <si>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</si>
  <si>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</si>
  <si>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</si>
  <si>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</si>
  <si>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</si>
  <si>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</si>
  <si>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</si>
  <si>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</si>
  <si>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</si>
  <si>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</si>
  <si>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</si>
  <si>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</si>
  <si>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</si>
  <si>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</si>
  <si>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</si>
  <si>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</si>
  <si>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</si>
  <si>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</si>
  <si>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</si>
  <si>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</si>
  <si>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</si>
  <si>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</si>
  <si>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</si>
  <si>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</si>
  <si>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</si>
  <si>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</si>
  <si>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</si>
  <si>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</si>
  <si>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</si>
  <si>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</si>
  <si>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</si>
  <si>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</si>
  <si>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</si>
  <si>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</si>
  <si>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</si>
  <si>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</si>
  <si>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</si>
  <si>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</si>
  <si>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</si>
  <si>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</si>
  <si>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</si>
  <si>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</si>
  <si>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</si>
  <si>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</si>
  <si>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</si>
  <si>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</si>
  <si>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</si>
  <si>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</si>
  <si>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</si>
  <si>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</si>
  <si>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</si>
  <si>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</si>
  <si>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</si>
  <si>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</si>
  <si>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</si>
  <si>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</si>
  <si>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</si>
  <si>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</si>
  <si>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</si>
  <si>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</si>
  <si>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</si>
  <si>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</si>
  <si>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</si>
  <si>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</si>
  <si>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</si>
  <si>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</si>
  <si>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</si>
  <si>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</si>
  <si>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</si>
  <si>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</si>
  <si>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</si>
  <si>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</si>
  <si>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</si>
  <si>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</si>
  <si>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</si>
  <si>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</si>
  <si>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</si>
  <si>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</si>
  <si>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</si>
  <si>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</si>
  <si>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</si>
  <si>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</si>
  <si>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</si>
  <si>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</si>
  <si>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</si>
  <si>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</si>
  <si>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</si>
  <si>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</si>
  <si>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</si>
  <si>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</si>
  <si>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</si>
  <si>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</si>
  <si>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</si>
  <si>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</si>
  <si>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</si>
  <si>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</si>
  <si>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</si>
  <si>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</si>
  <si>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</si>
  <si>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</si>
  <si>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</si>
  <si>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</si>
  <si>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</si>
  <si>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</si>
  <si>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</si>
  <si>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</si>
  <si>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</si>
  <si>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</si>
  <si>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</si>
  <si>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</si>
  <si>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</si>
  <si>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</si>
  <si>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</si>
  <si>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</si>
  <si>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</si>
  <si>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</si>
  <si>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</si>
  <si>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</si>
  <si>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</si>
  <si>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</si>
  <si>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</si>
  <si>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</si>
  <si>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</si>
  <si>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</si>
  <si>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</si>
  <si>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</si>
  <si>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</si>
  <si>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</si>
  <si>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</si>
  <si>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</si>
  <si>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</si>
  <si>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</si>
  <si>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</si>
  <si>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</si>
  <si>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</si>
  <si>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</si>
  <si>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</si>
  <si>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</si>
  <si>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</si>
  <si>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</si>
  <si>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</si>
  <si>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</si>
  <si>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</si>
  <si>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</si>
  <si>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</si>
  <si>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</si>
  <si>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</si>
  <si>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</si>
  <si>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</si>
  <si>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</si>
  <si>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</si>
  <si>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</si>
  <si>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</si>
  <si>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</si>
  <si>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</si>
  <si>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</si>
  <si>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</si>
  <si>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</si>
  <si>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</si>
  <si>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</si>
  <si>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</si>
  <si>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</si>
  <si>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</si>
  <si>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</si>
  <si>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</si>
  <si>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</si>
  <si>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</si>
  <si>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</si>
  <si>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</si>
  <si>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</si>
  <si>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</si>
  <si>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</si>
  <si>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</si>
  <si>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G_target_amortisation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</si>
  <si>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</si>
  <si>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</si>
  <si>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</si>
  <si>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</si>
  <si>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</si>
  <si>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</si>
  <si>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</si>
  <si>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</si>
  <si>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</si>
  <si>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</si>
  <si>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</si>
  <si>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</si>
  <si>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</si>
  <si>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</si>
  <si>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</si>
  <si>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</si>
  <si>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Senior_Expense_Deficit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</si>
  <si>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</si>
  <si>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</si>
  <si>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</si>
  <si>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</si>
  <si>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</si>
  <si>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</si>
  <si>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</si>
  <si>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</si>
  <si>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</si>
  <si>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</si>
  <si>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</si>
  <si>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Liqduidity_Reserve_Reduction_Amount</t>
  </si>
  <si>
    <t>Elimination_PDL</t>
  </si>
  <si>
    <t>B_Interests_notes</t>
  </si>
  <si>
    <t>C_Interests_notes</t>
  </si>
  <si>
    <t>D_Interests_notes</t>
  </si>
  <si>
    <t>E_Interests_notes</t>
  </si>
  <si>
    <t>F_Interests_notes</t>
  </si>
  <si>
    <t>G_Interests_notes</t>
  </si>
  <si>
    <t>Mezzanine_loan_interests</t>
  </si>
  <si>
    <t>Subordinated_swap_amounts</t>
  </si>
  <si>
    <t>Fees_commingling_setoff_reserve</t>
  </si>
  <si>
    <t>Liqudity_Reserve_Interests</t>
  </si>
  <si>
    <t>Liqudity_Reserve_Principal</t>
  </si>
  <si>
    <t>Target_Amortisation_Class_G</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</si>
  <si>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</si>
  <si>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</si>
  <si>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</si>
  <si>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</si>
  <si>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</si>
  <si>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</si>
  <si>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</si>
  <si>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</si>
  <si>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</si>
  <si>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</si>
  <si>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</si>
  <si>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Net_note_available_Principal_Proceeds</t>
  </si>
  <si>
    <t>Purchase_Shortfall</t>
  </si>
  <si>
    <t>A_prorata_Principal</t>
  </si>
  <si>
    <t>B_prorata_Principal</t>
  </si>
  <si>
    <t>C_prorata_Principal</t>
  </si>
  <si>
    <t>D_prorata_Principal</t>
  </si>
  <si>
    <t>E_prorata_Principal</t>
  </si>
  <si>
    <t>F_prorata_Principal</t>
  </si>
  <si>
    <t>A_sequential_Principal</t>
  </si>
  <si>
    <t>B_to_G_Full_Redemption</t>
  </si>
  <si>
    <t>B_Redemption_triggerbreach</t>
  </si>
  <si>
    <t>C_Redemption_triggerbreach</t>
  </si>
  <si>
    <t>D_Redemption_triggerbreach</t>
  </si>
  <si>
    <t>E_Redemption_triggerbreach</t>
  </si>
  <si>
    <t>F_Redemption_triggerbreach</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</si>
  <si>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</si>
  <si>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</si>
  <si>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</si>
  <si>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</si>
  <si>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</si>
  <si>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</si>
  <si>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</si>
  <si>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</si>
  <si>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</si>
  <si>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</si>
  <si>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</si>
  <si>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</si>
  <si>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</si>
  <si>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</si>
  <si>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</si>
  <si>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</si>
  <si>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</si>
  <si>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</si>
  <si>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</si>
  <si>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</si>
  <si>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</si>
  <si>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</si>
  <si>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</si>
  <si>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</si>
  <si>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</si>
  <si>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</si>
  <si>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</si>
  <si>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</si>
  <si>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</si>
  <si>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</si>
  <si>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</si>
  <si>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</si>
  <si>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</si>
  <si>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</si>
  <si>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</si>
  <si>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</si>
  <si>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</si>
  <si>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</si>
  <si>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</si>
  <si>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</si>
  <si>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</si>
  <si>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</si>
  <si>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</si>
  <si>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</si>
  <si>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</si>
  <si>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</si>
  <si>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</si>
  <si>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</si>
  <si>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</si>
  <si>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</si>
  <si>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</si>
  <si>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</si>
  <si>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</si>
  <si>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</si>
  <si>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</si>
  <si>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</si>
  <si>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</si>
  <si>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</si>
  <si>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</si>
  <si>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</si>
  <si>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</si>
  <si>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</si>
  <si>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</si>
  <si>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</si>
  <si>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portfolio_51</t>
  </si>
  <si>
    <t>portfolio_52</t>
  </si>
  <si>
    <t>portfolio_53</t>
  </si>
  <si>
    <t>portfolio_54</t>
  </si>
  <si>
    <t>portfolio_55</t>
  </si>
  <si>
    <t>A3(cr)</t>
  </si>
  <si>
    <t>A2</t>
  </si>
  <si>
    <t>P-2(cr)</t>
  </si>
  <si>
    <t>P-1</t>
  </si>
  <si>
    <t>POS</t>
  </si>
  <si>
    <t>STABLE</t>
  </si>
  <si>
    <t>A+(dcr)</t>
  </si>
  <si>
    <t>AH</t>
  </si>
  <si>
    <t>R-1M</t>
  </si>
  <si>
    <t>A1(cr)</t>
  </si>
  <si>
    <t>P-1(cr)</t>
  </si>
  <si>
    <t>Aa2(cr)</t>
  </si>
  <si>
    <t>Aa2</t>
  </si>
  <si>
    <t>AA-</t>
  </si>
  <si>
    <t>F1+</t>
  </si>
  <si>
    <t>AA(dcr)</t>
  </si>
  <si>
    <t>AAL</t>
  </si>
  <si>
    <t>NEG</t>
  </si>
  <si>
    <t>A+</t>
  </si>
  <si>
    <t>AA</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</si>
  <si>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</si>
  <si>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</si>
  <si>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</si>
  <si>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</si>
  <si>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</si>
  <si>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</si>
  <si>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</si>
  <si>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</si>
  <si>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</si>
  <si>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</si>
  <si>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</si>
  <si>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</si>
  <si>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</si>
  <si>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</si>
  <si>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</si>
  <si>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</si>
  <si>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31.05.2025, data source: Bloomberg</t>
  </si>
  <si>
    <t>A1</t>
  </si>
  <si>
    <t>A-</t>
  </si>
  <si>
    <t>A(dcr)</t>
  </si>
  <si>
    <t>AAA (sf)/Aaa (sf)</t>
  </si>
  <si>
    <t>AA+ (sf)/Aa2 (sf)</t>
  </si>
  <si>
    <t>AA (sf)/A2 (sf)</t>
  </si>
  <si>
    <t>AA- (sf)/A3 (sf)</t>
  </si>
  <si>
    <t>A+ (sf)/Baa1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</si>
</sst>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27">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47" fillId="0" borderId="0" xfId="24" applyFont="1" applyBorder="1" applyAlignment="1">
      <alignment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1"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2"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3" fillId="0" borderId="0" xfId="24" quotePrefix="1" applyFont="1" applyFill="1" applyBorder="1" applyAlignment="1">
      <alignment vertical="center"/>
    </xf>
    <xf numFmtId="0" fontId="72"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4"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5"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4"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4" fontId="7" fillId="0" borderId="0" xfId="119" applyFont="1" applyFill="1" applyBorder="1" applyAlignment="1">
      <alignment horizontal="righ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4" fontId="2" fillId="0" borderId="0" xfId="1" applyFont="1" applyBorder="1" applyAlignment="1">
      <alignment horizontal="center" vertical="center"/>
    </xf>
    <xf numFmtId="0" fontId="2" fillId="0" borderId="65" xfId="0" applyFont="1" applyBorder="1" applyAlignment="1">
      <alignment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7"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8" fillId="0" borderId="0" xfId="0" applyFont="1"/>
    <xf numFmtId="0" fontId="49" fillId="0" borderId="0" xfId="0" applyFont="1"/>
    <xf numFmtId="0" fontId="80"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44" fontId="2" fillId="0" borderId="0" xfId="24" applyNumberFormat="1" applyFont="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horizontal="right" vertical="center"/>
    </xf>
    <xf numFmtId="0" fontId="2" fillId="0" borderId="0" xfId="0" applyFont="1" applyBorder="1" applyAlignment="1">
      <alignment vertical="center"/>
    </xf>
    <xf numFmtId="166" fontId="2" fillId="0" borderId="0" xfId="0" applyNumberFormat="1" applyFont="1" applyAlignment="1">
      <alignment horizontal="right" vertical="center"/>
    </xf>
    <xf numFmtId="44" fontId="2" fillId="0" borderId="0" xfId="24" applyNumberFormat="1" applyFont="1" applyFill="1" applyBorder="1" applyAlignment="1">
      <alignment vertical="center"/>
    </xf>
    <xf numFmtId="14" fontId="2" fillId="0" borderId="7" xfId="24" applyNumberFormat="1" applyFont="1" applyFill="1" applyBorder="1" applyAlignment="1">
      <alignment vertical="center"/>
    </xf>
    <xf numFmtId="14" fontId="2" fillId="0" borderId="7"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0" fontId="2" fillId="0" borderId="39" xfId="0" applyNumberFormat="1" applyFont="1" applyBorder="1" applyAlignment="1">
      <alignment horizontal="right" vertical="center"/>
    </xf>
    <xf numFmtId="3" fontId="2" fillId="0" borderId="39" xfId="0" applyNumberFormat="1" applyFont="1" applyFill="1" applyBorder="1" applyAlignment="1">
      <alignment horizontal="right" vertical="center"/>
    </xf>
    <xf numFmtId="10" fontId="2" fillId="0" borderId="39" xfId="0" applyNumberFormat="1" applyFont="1" applyFill="1" applyBorder="1" applyAlignment="1">
      <alignment horizontal="right" vertical="center"/>
    </xf>
    <xf numFmtId="10" fontId="2" fillId="0" borderId="66" xfId="0" applyNumberFormat="1" applyFont="1" applyFill="1" applyBorder="1" applyAlignment="1">
      <alignment horizontal="right" vertical="center"/>
    </xf>
    <xf numFmtId="10" fontId="2" fillId="0" borderId="0" xfId="18" applyNumberFormat="1" applyFont="1" applyFill="1" applyBorder="1" applyAlignment="1">
      <alignment horizontal="right" vertical="center"/>
    </xf>
    <xf numFmtId="184" fontId="2" fillId="0" borderId="0" xfId="1" applyNumberFormat="1" applyFont="1" applyFill="1" applyBorder="1" applyAlignment="1">
      <alignment vertical="center"/>
    </xf>
    <xf numFmtId="10" fontId="22" fillId="0" borderId="0" xfId="18" applyNumberFormat="1" applyFont="1" applyFill="1" applyBorder="1" applyAlignment="1">
      <alignment horizontal="center" vertical="center" wrapText="1"/>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0" fontId="7" fillId="0" borderId="67" xfId="18" applyNumberFormat="1" applyFont="1" applyBorder="1" applyAlignment="1">
      <alignment horizontal="right" vertical="center"/>
    </xf>
    <xf numFmtId="10" fontId="7" fillId="0" borderId="5" xfId="18" applyNumberFormat="1" applyFont="1" applyBorder="1" applyAlignment="1">
      <alignment horizontal="right" vertical="center"/>
    </xf>
    <xf numFmtId="10" fontId="7" fillId="0" borderId="8" xfId="18" applyNumberFormat="1" applyFont="1" applyBorder="1" applyAlignment="1">
      <alignment horizontal="right" vertical="center"/>
    </xf>
    <xf numFmtId="0" fontId="7" fillId="0" borderId="65" xfId="24" applyFont="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2" fillId="0" borderId="0" xfId="0" applyFont="1" applyBorder="1" applyAlignment="1">
      <alignment vertical="center"/>
    </xf>
    <xf numFmtId="15" fontId="0" fillId="0" borderId="0" xfId="0" applyNumberFormat="1"/>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3" fontId="2" fillId="0" borderId="0" xfId="24"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1136284.4799999993</c:v>
                </c:pt>
                <c:pt idx="1">
                  <c:v>9800971.9499999546</c:v>
                </c:pt>
                <c:pt idx="2">
                  <c:v>21600457.690000027</c:v>
                </c:pt>
                <c:pt idx="3">
                  <c:v>23193149.520000074</c:v>
                </c:pt>
                <c:pt idx="4">
                  <c:v>23545525.040000025</c:v>
                </c:pt>
                <c:pt idx="5">
                  <c:v>39178118.870000042</c:v>
                </c:pt>
                <c:pt idx="6">
                  <c:v>30526189.750000007</c:v>
                </c:pt>
                <c:pt idx="7">
                  <c:v>37346330.170000009</c:v>
                </c:pt>
                <c:pt idx="8">
                  <c:v>34356211.340000041</c:v>
                </c:pt>
                <c:pt idx="9">
                  <c:v>32227396.259999998</c:v>
                </c:pt>
                <c:pt idx="10">
                  <c:v>49429727.749999881</c:v>
                </c:pt>
                <c:pt idx="11">
                  <c:v>34845939.500000037</c:v>
                </c:pt>
                <c:pt idx="12">
                  <c:v>46196589.26000008</c:v>
                </c:pt>
                <c:pt idx="13">
                  <c:v>32895659.359999999</c:v>
                </c:pt>
                <c:pt idx="14">
                  <c:v>30989621.240000017</c:v>
                </c:pt>
                <c:pt idx="15">
                  <c:v>34701138.159999982</c:v>
                </c:pt>
                <c:pt idx="16">
                  <c:v>23532942.079999961</c:v>
                </c:pt>
                <c:pt idx="17">
                  <c:v>27367053.990000013</c:v>
                </c:pt>
                <c:pt idx="18">
                  <c:v>20614552.730000015</c:v>
                </c:pt>
                <c:pt idx="19">
                  <c:v>19940085.169999994</c:v>
                </c:pt>
                <c:pt idx="20">
                  <c:v>23724555.509999983</c:v>
                </c:pt>
                <c:pt idx="21">
                  <c:v>16301505.610000014</c:v>
                </c:pt>
                <c:pt idx="22">
                  <c:v>17583738.909999993</c:v>
                </c:pt>
                <c:pt idx="23">
                  <c:v>12953834.76</c:v>
                </c:pt>
                <c:pt idx="24">
                  <c:v>13269912.119999994</c:v>
                </c:pt>
                <c:pt idx="25">
                  <c:v>22207080.570000004</c:v>
                </c:pt>
                <c:pt idx="26">
                  <c:v>12625750.150000002</c:v>
                </c:pt>
                <c:pt idx="27">
                  <c:v>12460780.679999996</c:v>
                </c:pt>
                <c:pt idx="28">
                  <c:v>8991121.5499999989</c:v>
                </c:pt>
                <c:pt idx="29">
                  <c:v>8072264.3399999971</c:v>
                </c:pt>
                <c:pt idx="30">
                  <c:v>15579327.130000001</c:v>
                </c:pt>
                <c:pt idx="31">
                  <c:v>6426453.5899999999</c:v>
                </c:pt>
                <c:pt idx="32">
                  <c:v>7387954.4600000009</c:v>
                </c:pt>
                <c:pt idx="33">
                  <c:v>4341500.0799999991</c:v>
                </c:pt>
                <c:pt idx="34">
                  <c:v>5518602.0599999996</c:v>
                </c:pt>
                <c:pt idx="35">
                  <c:v>4891857.5699999994</c:v>
                </c:pt>
                <c:pt idx="36">
                  <c:v>3943786.43</c:v>
                </c:pt>
                <c:pt idx="37">
                  <c:v>4720116.88</c:v>
                </c:pt>
                <c:pt idx="38">
                  <c:v>1542426.7700000003</c:v>
                </c:pt>
                <c:pt idx="39">
                  <c:v>1895204.4000000001</c:v>
                </c:pt>
                <c:pt idx="40">
                  <c:v>2349334.2999999998</c:v>
                </c:pt>
                <c:pt idx="41">
                  <c:v>1826280.97</c:v>
                </c:pt>
                <c:pt idx="42">
                  <c:v>2800459.5300000003</c:v>
                </c:pt>
                <c:pt idx="43">
                  <c:v>1044437.9500000001</c:v>
                </c:pt>
                <c:pt idx="44">
                  <c:v>800259.36</c:v>
                </c:pt>
                <c:pt idx="45">
                  <c:v>181070.93</c:v>
                </c:pt>
                <c:pt idx="46">
                  <c:v>556845.49</c:v>
                </c:pt>
                <c:pt idx="47">
                  <c:v>380063.87</c:v>
                </c:pt>
                <c:pt idx="48">
                  <c:v>581644.27</c:v>
                </c:pt>
                <c:pt idx="49">
                  <c:v>496306.37</c:v>
                </c:pt>
                <c:pt idx="50">
                  <c:v>1398317.45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11148170.939999964</c:v>
                </c:pt>
                <c:pt idx="1">
                  <c:v>22674635.340000045</c:v>
                </c:pt>
                <c:pt idx="2">
                  <c:v>26350096.600000009</c:v>
                </c:pt>
                <c:pt idx="3">
                  <c:v>28359783.559999913</c:v>
                </c:pt>
                <c:pt idx="4">
                  <c:v>29728883.419999987</c:v>
                </c:pt>
                <c:pt idx="5">
                  <c:v>27929597.290000029</c:v>
                </c:pt>
                <c:pt idx="6">
                  <c:v>23581331.129999988</c:v>
                </c:pt>
                <c:pt idx="7">
                  <c:v>20041544.730000019</c:v>
                </c:pt>
                <c:pt idx="8">
                  <c:v>17604465.139999993</c:v>
                </c:pt>
                <c:pt idx="9">
                  <c:v>15328364.349999977</c:v>
                </c:pt>
                <c:pt idx="10">
                  <c:v>12077444.280000001</c:v>
                </c:pt>
                <c:pt idx="11">
                  <c:v>11012823.890000002</c:v>
                </c:pt>
                <c:pt idx="12">
                  <c:v>9829649.0300000031</c:v>
                </c:pt>
                <c:pt idx="13">
                  <c:v>7564618.7399999984</c:v>
                </c:pt>
                <c:pt idx="14">
                  <c:v>7332062.8599999966</c:v>
                </c:pt>
                <c:pt idx="15">
                  <c:v>5846278.1900000004</c:v>
                </c:pt>
                <c:pt idx="16">
                  <c:v>3981017.7399999993</c:v>
                </c:pt>
                <c:pt idx="17">
                  <c:v>3881662.3600000008</c:v>
                </c:pt>
                <c:pt idx="18">
                  <c:v>2694416.6099999989</c:v>
                </c:pt>
                <c:pt idx="19">
                  <c:v>2723235.6799999997</c:v>
                </c:pt>
                <c:pt idx="20">
                  <c:v>1512395.9200000002</c:v>
                </c:pt>
                <c:pt idx="21">
                  <c:v>1074565.95</c:v>
                </c:pt>
                <c:pt idx="22">
                  <c:v>1071805.1500000001</c:v>
                </c:pt>
                <c:pt idx="23">
                  <c:v>521626.06</c:v>
                </c:pt>
                <c:pt idx="24">
                  <c:v>488590.38</c:v>
                </c:pt>
                <c:pt idx="25">
                  <c:v>611900.79999999993</c:v>
                </c:pt>
                <c:pt idx="26">
                  <c:v>213218.88999999998</c:v>
                </c:pt>
                <c:pt idx="27">
                  <c:v>220770.46</c:v>
                </c:pt>
                <c:pt idx="28">
                  <c:v>285313.02</c:v>
                </c:pt>
                <c:pt idx="29">
                  <c:v>116514.86</c:v>
                </c:pt>
                <c:pt idx="30">
                  <c:v>183613.86</c:v>
                </c:pt>
                <c:pt idx="31">
                  <c:v>0</c:v>
                </c:pt>
                <c:pt idx="32">
                  <c:v>65462.6</c:v>
                </c:pt>
                <c:pt idx="33">
                  <c:v>134804.70000000001</c:v>
                </c:pt>
                <c:pt idx="34">
                  <c:v>137483.88</c:v>
                </c:pt>
                <c:pt idx="35">
                  <c:v>0</c:v>
                </c:pt>
                <c:pt idx="36">
                  <c:v>0</c:v>
                </c:pt>
                <c:pt idx="37">
                  <c:v>0</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n/a</c:v>
                </c:pt>
                <c:pt idx="1">
                  <c:v>Baden-Wuerttemberg</c:v>
                </c:pt>
                <c:pt idx="2">
                  <c:v>Bavaria</c:v>
                </c:pt>
                <c:pt idx="3">
                  <c:v>Berlin</c:v>
                </c:pt>
                <c:pt idx="4">
                  <c:v>Brandenburg</c:v>
                </c:pt>
                <c:pt idx="5">
                  <c:v>Bremen</c:v>
                </c:pt>
                <c:pt idx="6">
                  <c:v>Hamburg</c:v>
                </c:pt>
                <c:pt idx="7">
                  <c:v>Hesse</c:v>
                </c:pt>
                <c:pt idx="8">
                  <c:v>Mecklenburg-Western Pomerania</c:v>
                </c:pt>
                <c:pt idx="9">
                  <c:v>Lower Saxony</c:v>
                </c:pt>
                <c:pt idx="10">
                  <c:v>North Rhine-Westphalia</c:v>
                </c:pt>
                <c:pt idx="11">
                  <c:v>Rhineland-Palatinate</c:v>
                </c:pt>
                <c:pt idx="12">
                  <c:v>Saarland</c:v>
                </c:pt>
                <c:pt idx="13">
                  <c:v>Saxony</c:v>
                </c:pt>
                <c:pt idx="14">
                  <c:v>Saxony-Anhalt</c:v>
                </c:pt>
                <c:pt idx="15">
                  <c:v>Schleswig-Holstein</c:v>
                </c:pt>
                <c:pt idx="16">
                  <c:v>Thuringia</c:v>
                </c:pt>
              </c:strCache>
            </c:strRef>
          </c:cat>
          <c:val>
            <c:numRef>
              <c:f>'9. Geographical Distribution'!$E$14:$E$30</c:f>
              <c:numCache>
                <c:formatCode>#,##0.00</c:formatCode>
                <c:ptCount val="17"/>
                <c:pt idx="0">
                  <c:v>1102532.6799999997</c:v>
                </c:pt>
                <c:pt idx="1">
                  <c:v>35172181.660000026</c:v>
                </c:pt>
                <c:pt idx="2">
                  <c:v>37694963.020000033</c:v>
                </c:pt>
                <c:pt idx="3">
                  <c:v>12339569.559999978</c:v>
                </c:pt>
                <c:pt idx="4">
                  <c:v>12046163.540000016</c:v>
                </c:pt>
                <c:pt idx="5">
                  <c:v>2516144.890000002</c:v>
                </c:pt>
                <c:pt idx="6">
                  <c:v>5506030.5300000003</c:v>
                </c:pt>
                <c:pt idx="7">
                  <c:v>21475405.839999955</c:v>
                </c:pt>
                <c:pt idx="8">
                  <c:v>11231522.259999994</c:v>
                </c:pt>
                <c:pt idx="9">
                  <c:v>29786505.259999976</c:v>
                </c:pt>
                <c:pt idx="10">
                  <c:v>64044765.519999973</c:v>
                </c:pt>
                <c:pt idx="11">
                  <c:v>15066583.200000038</c:v>
                </c:pt>
                <c:pt idx="12">
                  <c:v>3619380.6500000036</c:v>
                </c:pt>
                <c:pt idx="13">
                  <c:v>13787393.260000024</c:v>
                </c:pt>
                <c:pt idx="14">
                  <c:v>11822522.329999987</c:v>
                </c:pt>
                <c:pt idx="15">
                  <c:v>9916393.7599999942</c:v>
                </c:pt>
                <c:pt idx="16">
                  <c:v>9200090.4500000067</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593956.68999999983</c:v>
                </c:pt>
                <c:pt idx="1">
                  <c:v>2477997.2899999996</c:v>
                </c:pt>
                <c:pt idx="2">
                  <c:v>20714195.719999976</c:v>
                </c:pt>
                <c:pt idx="3">
                  <c:v>36035352.219999984</c:v>
                </c:pt>
                <c:pt idx="4">
                  <c:v>61901824.300000332</c:v>
                </c:pt>
                <c:pt idx="5">
                  <c:v>61985039.170000002</c:v>
                </c:pt>
                <c:pt idx="6">
                  <c:v>61092321.709999993</c:v>
                </c:pt>
                <c:pt idx="7">
                  <c:v>35387719.429999955</c:v>
                </c:pt>
                <c:pt idx="8">
                  <c:v>11235736.279999997</c:v>
                </c:pt>
                <c:pt idx="9">
                  <c:v>3885916.6800000006</c:v>
                </c:pt>
                <c:pt idx="10">
                  <c:v>776789.71999999986</c:v>
                </c:pt>
                <c:pt idx="11">
                  <c:v>178214.09999999995</c:v>
                </c:pt>
                <c:pt idx="12">
                  <c:v>58463.249999999993</c:v>
                </c:pt>
                <c:pt idx="13">
                  <c:v>4621.8500000000004</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66021.39</c:v>
                </c:pt>
                <c:pt idx="15">
                  <c:v>14712863.669999989</c:v>
                </c:pt>
                <c:pt idx="16">
                  <c:v>30180269.149999898</c:v>
                </c:pt>
                <c:pt idx="17">
                  <c:v>32899176.14000012</c:v>
                </c:pt>
                <c:pt idx="18">
                  <c:v>45995122.680000156</c:v>
                </c:pt>
                <c:pt idx="19">
                  <c:v>59973335.000000067</c:v>
                </c:pt>
                <c:pt idx="20">
                  <c:v>40219905.480000161</c:v>
                </c:pt>
                <c:pt idx="21">
                  <c:v>33869927.96000012</c:v>
                </c:pt>
                <c:pt idx="22">
                  <c:v>25259786.360000063</c:v>
                </c:pt>
                <c:pt idx="23">
                  <c:v>3055944.9799999972</c:v>
                </c:pt>
                <c:pt idx="24">
                  <c:v>3831404.0099999993</c:v>
                </c:pt>
                <c:pt idx="25">
                  <c:v>3730371.0300000007</c:v>
                </c:pt>
                <c:pt idx="26">
                  <c:v>1817151.0499999991</c:v>
                </c:pt>
                <c:pt idx="27">
                  <c:v>716869.50999999919</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3319298.5400000047</c:v>
                </c:pt>
                <c:pt idx="1">
                  <c:v>10134352.870000005</c:v>
                </c:pt>
                <c:pt idx="2">
                  <c:v>19519381.979999918</c:v>
                </c:pt>
                <c:pt idx="3">
                  <c:v>31744328.830000158</c:v>
                </c:pt>
                <c:pt idx="4">
                  <c:v>57536569.380000301</c:v>
                </c:pt>
                <c:pt idx="5">
                  <c:v>80918954.020000517</c:v>
                </c:pt>
                <c:pt idx="6">
                  <c:v>60710000.910000041</c:v>
                </c:pt>
                <c:pt idx="7">
                  <c:v>25730891.529999997</c:v>
                </c:pt>
                <c:pt idx="8">
                  <c:v>4422392.0600000015</c:v>
                </c:pt>
                <c:pt idx="9">
                  <c:v>1127663.2299999997</c:v>
                </c:pt>
                <c:pt idx="10">
                  <c:v>375473.19999999995</c:v>
                </c:pt>
                <c:pt idx="11">
                  <c:v>376029.52</c:v>
                </c:pt>
                <c:pt idx="12">
                  <c:v>162300.27000000002</c:v>
                </c:pt>
                <c:pt idx="13">
                  <c:v>118566.59</c:v>
                </c:pt>
                <c:pt idx="14">
                  <c:v>131945.48000000001</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-15391.59</c:v>
                </c:pt>
                <c:pt idx="1">
                  <c:v>-32552.489999999998</c:v>
                </c:pt>
                <c:pt idx="2">
                  <c:v>-2291.510000000002</c:v>
                </c:pt>
                <c:pt idx="3">
                  <c:v>-13376.42</c:v>
                </c:pt>
                <c:pt idx="4">
                  <c:v>14675.380000000005</c:v>
                </c:pt>
                <c:pt idx="5">
                  <c:v>-3530.0500000000011</c:v>
                </c:pt>
                <c:pt idx="6">
                  <c:v>372653.95999999996</c:v>
                </c:pt>
                <c:pt idx="7">
                  <c:v>4512182.269999994</c:v>
                </c:pt>
                <c:pt idx="8">
                  <c:v>2739684.6500000008</c:v>
                </c:pt>
                <c:pt idx="9">
                  <c:v>16583503.5</c:v>
                </c:pt>
                <c:pt idx="10">
                  <c:v>7681784.1600000076</c:v>
                </c:pt>
                <c:pt idx="11">
                  <c:v>56659302.170000255</c:v>
                </c:pt>
                <c:pt idx="12">
                  <c:v>93182599.329999849</c:v>
                </c:pt>
                <c:pt idx="13">
                  <c:v>97511315.890000448</c:v>
                </c:pt>
                <c:pt idx="14">
                  <c:v>11931357.959999999</c:v>
                </c:pt>
                <c:pt idx="15">
                  <c:v>5206231.2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183097</xdr:colOff>
      <xdr:row>42</xdr:row>
      <xdr:rowOff>95250</xdr:rowOff>
    </xdr:from>
    <xdr:to>
      <xdr:col>3</xdr:col>
      <xdr:colOff>568572</xdr:colOff>
      <xdr:row>51</xdr:row>
      <xdr:rowOff>57579</xdr:rowOff>
    </xdr:to>
    <xdr:pic>
      <xdr:nvPicPr>
        <xdr:cNvPr id="6" name="Grafik 5">
          <a:extLst>
            <a:ext uri="{FF2B5EF4-FFF2-40B4-BE49-F238E27FC236}">
              <a16:creationId xmlns:a16="http://schemas.microsoft.com/office/drawing/2014/main" id="{BA3DD027-93EE-4FFB-98BE-08B41FF338D4}"/>
            </a:ext>
          </a:extLst>
        </xdr:cNvPr>
        <xdr:cNvPicPr>
          <a:picLocks noChangeAspect="1"/>
        </xdr:cNvPicPr>
      </xdr:nvPicPr>
      <xdr:blipFill>
        <a:blip xmlns:r="http://schemas.openxmlformats.org/officeDocument/2006/relationships" r:embed="rId2"/>
        <a:stretch>
          <a:fillRect/>
        </a:stretch>
      </xdr:blipFill>
      <xdr:spPr>
        <a:xfrm>
          <a:off x="183097" y="7296150"/>
          <a:ext cx="2785775" cy="1505379"/>
        </a:xfrm>
        <a:prstGeom prst="rect">
          <a:avLst/>
        </a:prstGeom>
      </xdr:spPr>
    </xdr:pic>
    <xdr:clientData/>
  </xdr:twoCellAnchor>
  <xdr:twoCellAnchor>
    <xdr:from>
      <xdr:col>0</xdr:col>
      <xdr:colOff>171450</xdr:colOff>
      <xdr:row>52</xdr:row>
      <xdr:rowOff>12158</xdr:rowOff>
    </xdr:from>
    <xdr:to>
      <xdr:col>3</xdr:col>
      <xdr:colOff>563275</xdr:colOff>
      <xdr:row>57</xdr:row>
      <xdr:rowOff>102756</xdr:rowOff>
    </xdr:to>
    <xdr:pic>
      <xdr:nvPicPr>
        <xdr:cNvPr id="8" name="Grafik 7">
          <a:extLst>
            <a:ext uri="{FF2B5EF4-FFF2-40B4-BE49-F238E27FC236}">
              <a16:creationId xmlns:a16="http://schemas.microsoft.com/office/drawing/2014/main" id="{A0DC8F3C-DE83-4A52-9A2D-F757B5ABE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8927558"/>
          <a:ext cx="2792125" cy="947848"/>
        </a:xfrm>
        <a:prstGeom prst="rect">
          <a:avLst/>
        </a:prstGeom>
      </xdr:spPr>
    </xdr:pic>
    <xdr:clientData/>
  </xdr:twoCellAnchor>
  <xdr:twoCellAnchor editAs="oneCell">
    <xdr:from>
      <xdr:col>18</xdr:col>
      <xdr:colOff>380999</xdr:colOff>
      <xdr:row>15</xdr:row>
      <xdr:rowOff>114300</xdr:rowOff>
    </xdr:from>
    <xdr:to>
      <xdr:col>20</xdr:col>
      <xdr:colOff>541624</xdr:colOff>
      <xdr:row>57</xdr:row>
      <xdr:rowOff>45230</xdr:rowOff>
    </xdr:to>
    <xdr:pic>
      <xdr:nvPicPr>
        <xdr:cNvPr id="10" name="Grafik 9">
          <a:extLst>
            <a:ext uri="{FF2B5EF4-FFF2-40B4-BE49-F238E27FC236}">
              <a16:creationId xmlns:a16="http://schemas.microsoft.com/office/drawing/2014/main" id="{A01278D1-ED67-5A4C-D894-7842CADDA0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9" y="2686050"/>
          <a:ext cx="1760825" cy="713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1035050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A64" sqref="A64"/>
    </sheetView>
  </sheetViews>
  <sheetFormatPr baseColWidth="10" defaultColWidth="11.453125" defaultRowHeight="12.5"/>
  <cols>
    <col min="1" max="16384" width="11.453125" style="106"/>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239" customWidth="1"/>
    <col min="2" max="2" width="50.81640625" style="239" customWidth="1"/>
    <col min="3" max="3" width="17.54296875" style="239" customWidth="1"/>
    <col min="4" max="4" width="22.1796875" style="239" bestFit="1" customWidth="1"/>
    <col min="5" max="5" width="4.81640625" style="239" customWidth="1"/>
    <col min="6" max="6" width="18.81640625" style="239" customWidth="1"/>
    <col min="7" max="7" width="4.81640625" style="239" customWidth="1"/>
    <col min="8" max="8" width="18.81640625" style="239" customWidth="1"/>
    <col min="9" max="9" width="4.81640625" style="239" customWidth="1"/>
    <col min="10" max="10" width="21" style="239" bestFit="1" customWidth="1"/>
    <col min="11" max="11" width="4.81640625" style="239" customWidth="1"/>
    <col min="12" max="12" width="18.81640625" style="239" customWidth="1"/>
    <col min="13" max="13" width="4.81640625" style="239" customWidth="1"/>
    <col min="14" max="14" width="18.81640625" style="239" customWidth="1"/>
    <col min="15" max="15" width="4.81640625" style="239" customWidth="1"/>
    <col min="16" max="16" width="18.81640625" style="239" customWidth="1"/>
    <col min="17" max="17" width="4.81640625" style="239" customWidth="1"/>
    <col min="18" max="18" width="10.81640625" style="239" customWidth="1"/>
    <col min="19" max="19" width="1.1796875" style="239" customWidth="1"/>
    <col min="20" max="20" width="38.54296875" style="708" customWidth="1"/>
    <col min="21" max="21" width="15.81640625" style="709" customWidth="1"/>
    <col min="22" max="22" width="17.81640625" style="239" customWidth="1"/>
    <col min="23" max="16384" width="9.1796875" style="239"/>
  </cols>
  <sheetData>
    <row r="1" spans="1:21" ht="6" customHeight="1">
      <c r="A1" s="236"/>
      <c r="B1" s="237"/>
      <c r="C1" s="237"/>
      <c r="D1" s="237"/>
      <c r="E1" s="237"/>
      <c r="F1" s="237"/>
      <c r="G1" s="237"/>
      <c r="H1" s="237"/>
      <c r="I1" s="237"/>
      <c r="J1" s="237"/>
      <c r="K1" s="237"/>
      <c r="L1" s="237"/>
      <c r="M1" s="237"/>
      <c r="N1" s="237"/>
      <c r="O1" s="237"/>
      <c r="P1" s="237"/>
      <c r="Q1" s="237"/>
      <c r="R1" s="237"/>
      <c r="S1" s="238"/>
    </row>
    <row r="2" spans="1:21" ht="18">
      <c r="A2" s="285"/>
      <c r="B2" s="241" t="str">
        <f>'Cover Sheet'!B2</f>
        <v>SC Germany Consumer 2020-1</v>
      </c>
      <c r="C2" s="25"/>
      <c r="D2" s="242" t="str">
        <f>'Cover Sheet'!D2</f>
        <v>Calculation Date</v>
      </c>
      <c r="E2" s="243"/>
      <c r="F2" s="244">
        <f>'Cover Sheet'!F2</f>
        <v>45820</v>
      </c>
      <c r="G2" s="243"/>
      <c r="H2" s="243"/>
      <c r="I2" s="243"/>
      <c r="J2" s="243"/>
      <c r="K2" s="243"/>
      <c r="L2" s="243"/>
      <c r="M2" s="243"/>
      <c r="N2" s="243"/>
      <c r="O2" s="243"/>
      <c r="P2" s="243"/>
      <c r="Q2" s="243"/>
      <c r="R2" s="245"/>
      <c r="S2" s="316"/>
      <c r="T2" s="710"/>
    </row>
    <row r="3" spans="1:21" ht="18">
      <c r="A3" s="285"/>
      <c r="B3" s="241" t="str">
        <f>'Cover Sheet'!B3</f>
        <v>Monthly Investor Report</v>
      </c>
      <c r="C3" s="25"/>
      <c r="D3" s="249" t="str">
        <f>'Cover Sheet'!D3</f>
        <v>Payment Date</v>
      </c>
      <c r="E3" s="250"/>
      <c r="F3" s="251">
        <f>'Cover Sheet'!F3</f>
        <v>45824</v>
      </c>
      <c r="G3" s="250"/>
      <c r="H3" s="250"/>
      <c r="I3" s="250"/>
      <c r="J3" s="250"/>
      <c r="K3" s="250"/>
      <c r="L3" s="250"/>
      <c r="M3" s="250"/>
      <c r="N3" s="250"/>
      <c r="O3" s="250"/>
      <c r="P3" s="250"/>
      <c r="Q3" s="250"/>
      <c r="R3" s="252"/>
      <c r="S3" s="316"/>
      <c r="T3" s="710"/>
    </row>
    <row r="4" spans="1:21">
      <c r="A4" s="285"/>
      <c r="B4" s="254"/>
      <c r="C4" s="25"/>
      <c r="D4" s="249" t="str">
        <f>'Cover Sheet'!D4</f>
        <v>Period  No</v>
      </c>
      <c r="E4" s="250"/>
      <c r="F4" s="255">
        <f>'Cover Sheet'!F4</f>
        <v>55</v>
      </c>
      <c r="G4" s="250"/>
      <c r="H4" s="250"/>
      <c r="I4" s="250"/>
      <c r="J4" s="250"/>
      <c r="K4" s="250"/>
      <c r="L4" s="256"/>
      <c r="M4" s="256"/>
      <c r="N4" s="256"/>
      <c r="O4" s="250"/>
      <c r="P4" s="250"/>
      <c r="Q4" s="250"/>
      <c r="R4" s="257"/>
      <c r="S4" s="316"/>
      <c r="T4" s="710"/>
    </row>
    <row r="5" spans="1:21" ht="18">
      <c r="A5" s="285"/>
      <c r="B5" s="258" t="s">
        <v>149</v>
      </c>
      <c r="C5" s="25"/>
      <c r="D5" s="249" t="str">
        <f>'Cover Sheet'!D5</f>
        <v>Monthly Period</v>
      </c>
      <c r="E5" s="250"/>
      <c r="F5" s="124">
        <f>'Cover Sheet'!F5</f>
        <v>45824</v>
      </c>
      <c r="G5" s="250"/>
      <c r="H5" s="250"/>
      <c r="I5" s="250"/>
      <c r="J5" s="250"/>
      <c r="K5" s="250"/>
      <c r="L5" s="256"/>
      <c r="M5" s="256"/>
      <c r="N5" s="256"/>
      <c r="O5" s="250"/>
      <c r="P5" s="250"/>
      <c r="Q5" s="250"/>
      <c r="R5" s="257"/>
      <c r="S5" s="316"/>
      <c r="T5" s="710"/>
    </row>
    <row r="6" spans="1:21" s="248" customFormat="1" ht="15" customHeight="1">
      <c r="A6" s="240"/>
      <c r="B6" s="259"/>
      <c r="C6" s="332"/>
      <c r="D6" s="249" t="str">
        <f>'Cover Sheet'!D6</f>
        <v>Interest Period</v>
      </c>
      <c r="E6" s="261" t="s">
        <v>34</v>
      </c>
      <c r="F6" s="251">
        <f>'Cover Sheet'!F6</f>
        <v>45791</v>
      </c>
      <c r="G6" s="261" t="str">
        <f>'Cover Sheet'!G6</f>
        <v>to</v>
      </c>
      <c r="H6" s="251">
        <f>'Cover Sheet'!H6</f>
        <v>45824</v>
      </c>
      <c r="I6" s="261" t="str">
        <f>'Cover Sheet'!I6</f>
        <v>=</v>
      </c>
      <c r="J6" s="711" t="str">
        <f>'Cover Sheet'!J6</f>
        <v>33 days</v>
      </c>
      <c r="K6" s="261"/>
      <c r="L6" s="251"/>
      <c r="M6" s="251"/>
      <c r="N6" s="251"/>
      <c r="O6" s="261"/>
      <c r="P6" s="261"/>
      <c r="Q6" s="261"/>
      <c r="R6" s="375"/>
      <c r="S6" s="329"/>
      <c r="T6" s="712"/>
      <c r="U6" s="333"/>
    </row>
    <row r="7" spans="1:21">
      <c r="A7" s="285"/>
      <c r="B7" s="25"/>
      <c r="C7" s="25"/>
      <c r="D7" s="713" t="str">
        <f>'Cover Sheet'!D7</f>
        <v>Collection Period</v>
      </c>
      <c r="E7" s="714" t="s">
        <v>34</v>
      </c>
      <c r="F7" s="265" t="str">
        <f>'Cover Sheet'!F7</f>
        <v>01.05.2025</v>
      </c>
      <c r="G7" s="714" t="str">
        <f>'Cover Sheet'!G7</f>
        <v>to</v>
      </c>
      <c r="H7" s="265">
        <f>'Cover Sheet'!H7</f>
        <v>45808</v>
      </c>
      <c r="I7" s="714"/>
      <c r="J7" s="714"/>
      <c r="K7" s="714"/>
      <c r="L7" s="265"/>
      <c r="M7" s="265"/>
      <c r="N7" s="265"/>
      <c r="O7" s="266"/>
      <c r="P7" s="266"/>
      <c r="Q7" s="266"/>
      <c r="R7" s="267"/>
      <c r="S7" s="316"/>
      <c r="T7" s="710"/>
    </row>
    <row r="8" spans="1:21" ht="13">
      <c r="A8" s="285"/>
      <c r="B8" s="25"/>
      <c r="C8" s="25"/>
      <c r="D8" s="715"/>
      <c r="E8" s="6"/>
      <c r="F8" s="715"/>
      <c r="G8" s="25"/>
      <c r="H8" s="25"/>
      <c r="I8" s="25"/>
      <c r="J8" s="25"/>
      <c r="K8" s="25"/>
      <c r="L8" s="716"/>
      <c r="M8" s="716"/>
      <c r="N8" s="716"/>
      <c r="O8" s="25"/>
      <c r="P8" s="25"/>
      <c r="Q8" s="25"/>
      <c r="R8" s="25"/>
      <c r="S8" s="316"/>
    </row>
    <row r="9" spans="1:21" ht="13">
      <c r="A9" s="285"/>
      <c r="B9" s="717"/>
      <c r="C9" s="25"/>
      <c r="D9" s="715"/>
      <c r="E9" s="6"/>
      <c r="F9" s="715"/>
      <c r="G9" s="25"/>
      <c r="H9" s="25"/>
      <c r="I9" s="25"/>
      <c r="J9" s="25"/>
      <c r="K9" s="25"/>
      <c r="L9" s="716"/>
      <c r="M9" s="716"/>
      <c r="N9" s="716"/>
      <c r="O9" s="25"/>
      <c r="P9" s="25"/>
      <c r="Q9" s="25"/>
      <c r="R9" s="25"/>
      <c r="S9" s="316"/>
    </row>
    <row r="10" spans="1:21">
      <c r="A10" s="285"/>
      <c r="B10" s="25"/>
      <c r="C10" s="25"/>
      <c r="D10" s="25"/>
      <c r="E10" s="25"/>
      <c r="F10" s="25"/>
      <c r="G10" s="25"/>
      <c r="H10" s="25"/>
      <c r="I10" s="25"/>
      <c r="J10" s="25"/>
      <c r="K10" s="25"/>
      <c r="L10" s="718"/>
      <c r="M10" s="718"/>
      <c r="N10" s="718"/>
      <c r="O10" s="25"/>
      <c r="P10" s="25"/>
      <c r="Q10" s="25"/>
      <c r="R10" s="25"/>
      <c r="S10" s="316"/>
    </row>
    <row r="11" spans="1:21" ht="18" customHeight="1">
      <c r="A11" s="285"/>
      <c r="B11" s="25"/>
      <c r="C11" s="25"/>
      <c r="D11" s="25"/>
      <c r="E11" s="25"/>
      <c r="F11" s="25"/>
      <c r="G11" s="25"/>
      <c r="H11" s="25"/>
      <c r="I11" s="25"/>
      <c r="J11" s="25"/>
      <c r="K11" s="25"/>
      <c r="L11" s="25"/>
      <c r="M11" s="25"/>
      <c r="N11" s="25"/>
      <c r="O11" s="25"/>
      <c r="P11" s="25"/>
      <c r="Q11" s="25"/>
      <c r="R11" s="25"/>
      <c r="S11" s="316"/>
    </row>
    <row r="12" spans="1:21">
      <c r="A12" s="285"/>
      <c r="B12" s="25"/>
      <c r="C12" s="25"/>
      <c r="D12" s="25"/>
      <c r="E12" s="25"/>
      <c r="F12" s="25"/>
      <c r="G12" s="25"/>
      <c r="H12" s="25"/>
      <c r="I12" s="25"/>
      <c r="J12" s="25"/>
      <c r="K12" s="25"/>
      <c r="L12" s="25"/>
      <c r="M12" s="25"/>
      <c r="N12" s="25"/>
      <c r="O12" s="25"/>
      <c r="P12" s="25"/>
      <c r="Q12" s="25"/>
      <c r="R12" s="25"/>
      <c r="S12" s="316"/>
    </row>
    <row r="13" spans="1:21" ht="18">
      <c r="A13" s="285"/>
      <c r="B13" s="276" t="s">
        <v>25</v>
      </c>
      <c r="C13" s="719" t="s">
        <v>7</v>
      </c>
      <c r="D13" s="719" t="s">
        <v>5</v>
      </c>
      <c r="E13" s="719"/>
      <c r="F13" s="719" t="s">
        <v>6</v>
      </c>
      <c r="G13" s="719"/>
      <c r="H13" s="719" t="s">
        <v>192</v>
      </c>
      <c r="I13" s="719"/>
      <c r="J13" s="719" t="s">
        <v>193</v>
      </c>
      <c r="K13" s="719"/>
      <c r="L13" s="719" t="s">
        <v>194</v>
      </c>
      <c r="M13" s="719"/>
      <c r="N13" s="719" t="s">
        <v>244</v>
      </c>
      <c r="O13" s="719"/>
      <c r="P13" s="719" t="s">
        <v>256</v>
      </c>
      <c r="Q13" s="719"/>
      <c r="R13" s="719"/>
      <c r="S13" s="316"/>
      <c r="T13" s="720"/>
    </row>
    <row r="14" spans="1:21" ht="12.75" customHeight="1">
      <c r="A14" s="285"/>
      <c r="B14" s="721" t="s">
        <v>16</v>
      </c>
      <c r="C14" s="722"/>
      <c r="D14" s="722"/>
      <c r="E14" s="722"/>
      <c r="F14" s="722"/>
      <c r="G14" s="722"/>
      <c r="H14" s="722"/>
      <c r="I14" s="722"/>
      <c r="J14" s="722"/>
      <c r="K14" s="722"/>
      <c r="L14" s="722"/>
      <c r="M14" s="722"/>
      <c r="N14" s="722"/>
      <c r="O14" s="722"/>
      <c r="P14" s="722"/>
      <c r="Q14" s="722"/>
      <c r="R14" s="723"/>
      <c r="S14" s="316"/>
      <c r="T14" s="720"/>
    </row>
    <row r="15" spans="1:21" ht="14.25" customHeight="1">
      <c r="A15" s="285"/>
      <c r="B15" s="285" t="s">
        <v>17</v>
      </c>
      <c r="C15" s="724"/>
      <c r="D15" s="89" t="s">
        <v>338</v>
      </c>
      <c r="E15" s="709"/>
      <c r="F15" s="89" t="s">
        <v>339</v>
      </c>
      <c r="G15" s="725"/>
      <c r="H15" s="89" t="s">
        <v>340</v>
      </c>
      <c r="I15" s="725"/>
      <c r="J15" s="89" t="s">
        <v>341</v>
      </c>
      <c r="K15" s="725"/>
      <c r="L15" s="89" t="s">
        <v>342</v>
      </c>
      <c r="M15" s="726"/>
      <c r="N15" s="89" t="s">
        <v>343</v>
      </c>
      <c r="O15" s="725"/>
      <c r="P15" s="89" t="s">
        <v>344</v>
      </c>
      <c r="Q15" s="724"/>
      <c r="R15" s="727"/>
      <c r="S15" s="316"/>
      <c r="T15" s="720"/>
    </row>
    <row r="16" spans="1:21" ht="14.25" customHeight="1">
      <c r="A16" s="285"/>
      <c r="B16" s="285"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6"/>
      <c r="T16" s="720"/>
    </row>
    <row r="17" spans="1:21" ht="13">
      <c r="A17" s="285"/>
      <c r="B17" s="285" t="s">
        <v>18</v>
      </c>
      <c r="C17" s="718" t="s">
        <v>8</v>
      </c>
      <c r="D17" s="729">
        <f>D22/$C$22</f>
        <v>0.76500000000000001</v>
      </c>
      <c r="E17" s="729"/>
      <c r="F17" s="729">
        <f>F22/$C$22</f>
        <v>5.2499999999999998E-2</v>
      </c>
      <c r="G17" s="729"/>
      <c r="H17" s="729">
        <f>H22/$C$22</f>
        <v>0.06</v>
      </c>
      <c r="I17" s="729"/>
      <c r="J17" s="729">
        <f>J22/$C$22</f>
        <v>4.4999999999999998E-2</v>
      </c>
      <c r="K17" s="729"/>
      <c r="L17" s="729">
        <f>L22/$C$22</f>
        <v>0.03</v>
      </c>
      <c r="M17" s="729"/>
      <c r="N17" s="729">
        <f>N22/$C$22</f>
        <v>2.5000000000000001E-2</v>
      </c>
      <c r="O17" s="729"/>
      <c r="P17" s="729">
        <f>P22/$C$22</f>
        <v>2.2499999999999999E-2</v>
      </c>
      <c r="Q17" s="730"/>
      <c r="R17" s="731"/>
      <c r="S17" s="316"/>
      <c r="T17" s="732"/>
    </row>
    <row r="18" spans="1:21" ht="13">
      <c r="A18" s="285"/>
      <c r="B18" s="285" t="s">
        <v>150</v>
      </c>
      <c r="C18" s="718"/>
      <c r="D18" s="726">
        <v>49262</v>
      </c>
      <c r="E18" s="709"/>
      <c r="F18" s="726">
        <v>49262</v>
      </c>
      <c r="G18" s="725"/>
      <c r="H18" s="726">
        <v>49262</v>
      </c>
      <c r="I18" s="725"/>
      <c r="J18" s="726">
        <v>49262</v>
      </c>
      <c r="K18" s="725"/>
      <c r="L18" s="726">
        <v>49262</v>
      </c>
      <c r="M18" s="726"/>
      <c r="N18" s="726">
        <v>49262</v>
      </c>
      <c r="O18" s="725"/>
      <c r="P18" s="726">
        <v>49262</v>
      </c>
      <c r="Q18" s="730"/>
      <c r="R18" s="731"/>
      <c r="S18" s="316"/>
      <c r="T18" s="732"/>
    </row>
    <row r="19" spans="1:21" ht="13">
      <c r="A19" s="285"/>
      <c r="B19" s="285" t="s">
        <v>179</v>
      </c>
      <c r="C19" s="718"/>
      <c r="D19" s="726">
        <v>45915</v>
      </c>
      <c r="E19" s="709"/>
      <c r="F19" s="726">
        <v>45915</v>
      </c>
      <c r="G19" s="725"/>
      <c r="H19" s="726">
        <v>45915</v>
      </c>
      <c r="I19" s="725"/>
      <c r="J19" s="726">
        <v>45915</v>
      </c>
      <c r="K19" s="725"/>
      <c r="L19" s="726">
        <v>45915</v>
      </c>
      <c r="M19" s="726"/>
      <c r="N19" s="726">
        <v>45915</v>
      </c>
      <c r="O19" s="725"/>
      <c r="P19" s="726">
        <v>45274</v>
      </c>
      <c r="Q19" s="730"/>
      <c r="R19" s="731"/>
      <c r="S19" s="316"/>
      <c r="T19" s="732"/>
    </row>
    <row r="20" spans="1:21" ht="13">
      <c r="A20" s="285"/>
      <c r="B20" s="285" t="s">
        <v>260</v>
      </c>
      <c r="C20" s="718"/>
      <c r="D20" s="725" t="s">
        <v>493</v>
      </c>
      <c r="E20" s="725"/>
      <c r="F20" s="725" t="s">
        <v>494</v>
      </c>
      <c r="G20" s="725"/>
      <c r="H20" s="725" t="s">
        <v>495</v>
      </c>
      <c r="I20" s="725"/>
      <c r="J20" s="725" t="s">
        <v>496</v>
      </c>
      <c r="K20" s="725"/>
      <c r="L20" s="725" t="s">
        <v>497</v>
      </c>
      <c r="M20" s="725"/>
      <c r="N20" s="725" t="s">
        <v>498</v>
      </c>
      <c r="O20" s="725"/>
      <c r="P20" s="725" t="s">
        <v>501</v>
      </c>
      <c r="Q20" s="730"/>
      <c r="R20" s="731"/>
      <c r="S20" s="316"/>
      <c r="T20" s="732"/>
    </row>
    <row r="21" spans="1:21" ht="13">
      <c r="A21" s="285"/>
      <c r="B21" s="285" t="s">
        <v>261</v>
      </c>
      <c r="C21" s="733" t="s">
        <v>514</v>
      </c>
      <c r="D21" s="725" t="str">
        <f>VLOOKUP(D15,rating_c20,18,0)</f>
        <v>AAA (sf)/Aaa (sf)</v>
      </c>
      <c r="E21" s="725"/>
      <c r="F21" s="725" t="str">
        <f>VLOOKUP(F15,rating_c20,18,0)</f>
        <v>AAA (sf)/Aaa (sf)</v>
      </c>
      <c r="G21" s="725"/>
      <c r="H21" s="725" t="str">
        <f>VLOOKUP(H15,rating_c20,18,0)</f>
        <v>AA+ (sf)/Aa2 (sf)</v>
      </c>
      <c r="I21" s="725"/>
      <c r="J21" s="725" t="str">
        <f>VLOOKUP(J15,rating_c20,18,0)</f>
        <v>AA (sf)/A2 (sf)</v>
      </c>
      <c r="K21" s="725"/>
      <c r="L21" s="725" t="str">
        <f>VLOOKUP(L15,rating_c20,18,0)</f>
        <v>AA- (sf)/A3 (sf)</v>
      </c>
      <c r="M21" s="725"/>
      <c r="N21" s="725" t="str">
        <f>VLOOKUP(N15,rating_c20,18,0)</f>
        <v>A+ (sf)/Baa1 (sf)</v>
      </c>
      <c r="O21" s="725"/>
      <c r="P21" s="725" t="s">
        <v>501</v>
      </c>
      <c r="Q21" s="730"/>
      <c r="R21" s="731"/>
      <c r="S21" s="316"/>
      <c r="T21" s="732"/>
    </row>
    <row r="22" spans="1:21">
      <c r="A22" s="285"/>
      <c r="B22" s="285" t="s">
        <v>45</v>
      </c>
      <c r="C22" s="734">
        <f>SUM(D22:P22)</f>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6"/>
    </row>
    <row r="23" spans="1:21">
      <c r="A23" s="285"/>
      <c r="B23" s="285" t="s">
        <v>19</v>
      </c>
      <c r="C23" s="717"/>
      <c r="D23" s="735">
        <v>100000</v>
      </c>
      <c r="E23" s="6"/>
      <c r="F23" s="735">
        <f>D23</f>
        <v>100000</v>
      </c>
      <c r="G23" s="6"/>
      <c r="H23" s="735">
        <f>D23</f>
        <v>100000</v>
      </c>
      <c r="I23" s="6"/>
      <c r="J23" s="735">
        <f>D23</f>
        <v>100000</v>
      </c>
      <c r="K23" s="6"/>
      <c r="L23" s="735">
        <f>D23</f>
        <v>100000</v>
      </c>
      <c r="M23" s="735"/>
      <c r="N23" s="735">
        <f>D23</f>
        <v>100000</v>
      </c>
      <c r="O23" s="6"/>
      <c r="P23" s="735">
        <v>100000</v>
      </c>
      <c r="Q23" s="25"/>
      <c r="R23" s="738"/>
      <c r="S23" s="316"/>
      <c r="U23" s="739"/>
    </row>
    <row r="24" spans="1:21">
      <c r="A24" s="285"/>
      <c r="B24" s="350" t="s">
        <v>20</v>
      </c>
      <c r="C24" s="740"/>
      <c r="D24" s="741">
        <f>D22/D23</f>
        <v>13770</v>
      </c>
      <c r="E24" s="742"/>
      <c r="F24" s="741">
        <f>F22/F23</f>
        <v>945</v>
      </c>
      <c r="G24" s="741"/>
      <c r="H24" s="741">
        <f>H22/H23</f>
        <v>1080</v>
      </c>
      <c r="I24" s="741"/>
      <c r="J24" s="741">
        <f>J22/J23</f>
        <v>810</v>
      </c>
      <c r="K24" s="741"/>
      <c r="L24" s="741">
        <f>L22/L23</f>
        <v>540</v>
      </c>
      <c r="M24" s="741"/>
      <c r="N24" s="741">
        <f>N22/N23</f>
        <v>450</v>
      </c>
      <c r="O24" s="741"/>
      <c r="P24" s="741">
        <f>P22/P23</f>
        <v>405</v>
      </c>
      <c r="Q24" s="40"/>
      <c r="R24" s="743"/>
      <c r="S24" s="316"/>
    </row>
    <row r="25" spans="1:21" ht="12.75" customHeight="1">
      <c r="A25" s="285"/>
      <c r="B25" s="236"/>
      <c r="C25" s="237"/>
      <c r="D25" s="744"/>
      <c r="E25" s="237"/>
      <c r="F25" s="744"/>
      <c r="G25" s="237"/>
      <c r="H25" s="237"/>
      <c r="I25" s="237"/>
      <c r="J25" s="237"/>
      <c r="K25" s="237"/>
      <c r="L25" s="744"/>
      <c r="M25" s="744"/>
      <c r="N25" s="744"/>
      <c r="O25" s="237"/>
      <c r="P25" s="237"/>
      <c r="Q25" s="237"/>
      <c r="R25" s="745"/>
      <c r="S25" s="316"/>
    </row>
    <row r="26" spans="1:21" ht="13">
      <c r="A26" s="285"/>
      <c r="B26" s="746" t="s">
        <v>21</v>
      </c>
      <c r="C26" s="25"/>
      <c r="D26" s="25"/>
      <c r="E26" s="25"/>
      <c r="F26" s="25"/>
      <c r="G26" s="25"/>
      <c r="H26" s="25"/>
      <c r="I26" s="25"/>
      <c r="J26" s="25"/>
      <c r="K26" s="25"/>
      <c r="L26" s="25"/>
      <c r="M26" s="25"/>
      <c r="N26" s="25"/>
      <c r="O26" s="25"/>
      <c r="P26" s="25"/>
      <c r="Q26" s="25"/>
      <c r="R26" s="316"/>
      <c r="S26" s="316"/>
    </row>
    <row r="27" spans="1:21">
      <c r="A27" s="285"/>
      <c r="B27" s="285" t="s">
        <v>46</v>
      </c>
      <c r="C27" s="747">
        <f>SUM(D27,F27,H27,J27,L27,N27,P27)</f>
        <v>270118791.90000021</v>
      </c>
      <c r="D27" s="747">
        <f>VLOOKUP("A_Notes_bop",calcdata_20,2,0)</f>
        <v>211397315.40000018</v>
      </c>
      <c r="E27" s="747"/>
      <c r="F27" s="747">
        <f>VLOOKUP("B_Notes_bop",calcdata_20,2,0)</f>
        <v>14507658.900000008</v>
      </c>
      <c r="G27" s="747"/>
      <c r="H27" s="747">
        <f>VLOOKUP("C_Notes_bop",calcdata_20,2,0)</f>
        <v>16580181.599999996</v>
      </c>
      <c r="I27" s="747"/>
      <c r="J27" s="747">
        <f>VLOOKUP("D_Notes_bop",calcdata_20,2,0)</f>
        <v>12435136.199999999</v>
      </c>
      <c r="K27" s="747"/>
      <c r="L27" s="747">
        <f>VLOOKUP("E_Notes_bop",calcdata_20,2,0)</f>
        <v>8290090.799999998</v>
      </c>
      <c r="M27" s="747"/>
      <c r="N27" s="747">
        <f>VLOOKUP("F_Notes_bop",calcdata_20,2,0)</f>
        <v>6908409</v>
      </c>
      <c r="O27" s="717"/>
      <c r="P27" s="941">
        <f>ROUND(VLOOKUP("G_Notes_bop",calcdata_20,2,0),2)</f>
        <v>0</v>
      </c>
      <c r="Q27" s="717"/>
      <c r="R27" s="738"/>
      <c r="S27" s="316"/>
    </row>
    <row r="28" spans="1:21">
      <c r="A28" s="285"/>
      <c r="B28" s="285"/>
      <c r="C28" s="747"/>
      <c r="D28" s="747"/>
      <c r="E28" s="747"/>
      <c r="F28" s="747"/>
      <c r="G28" s="747"/>
      <c r="H28" s="747"/>
      <c r="I28" s="747"/>
      <c r="J28" s="747"/>
      <c r="K28" s="747"/>
      <c r="L28" s="747"/>
      <c r="M28" s="747"/>
      <c r="N28" s="747"/>
      <c r="O28" s="717"/>
      <c r="P28" s="941"/>
      <c r="Q28" s="717"/>
      <c r="R28" s="738"/>
      <c r="S28" s="316"/>
    </row>
    <row r="29" spans="1:21">
      <c r="A29" s="285"/>
      <c r="B29" s="285" t="s">
        <v>151</v>
      </c>
      <c r="C29" s="747">
        <f>VLOOKUP("Replenishment",calcdata_20,2,0)</f>
        <v>0</v>
      </c>
      <c r="D29" s="747"/>
      <c r="E29" s="747"/>
      <c r="F29" s="747"/>
      <c r="G29" s="747"/>
      <c r="H29" s="747"/>
      <c r="I29" s="747"/>
      <c r="J29" s="747"/>
      <c r="K29" s="747"/>
      <c r="L29" s="747"/>
      <c r="M29" s="747"/>
      <c r="N29" s="747"/>
      <c r="O29" s="25"/>
      <c r="P29" s="941"/>
      <c r="Q29" s="25"/>
      <c r="R29" s="316"/>
      <c r="S29" s="316"/>
    </row>
    <row r="30" spans="1:21">
      <c r="A30" s="285"/>
      <c r="B30" s="285" t="s">
        <v>100</v>
      </c>
      <c r="C30" s="747">
        <f>VLOOKUP("Amortisation",calcdata_20,2,0)</f>
        <v>14290483.050000001</v>
      </c>
      <c r="D30" s="747"/>
      <c r="E30" s="747"/>
      <c r="F30" s="747"/>
      <c r="G30" s="747"/>
      <c r="H30" s="747"/>
      <c r="I30" s="747"/>
      <c r="J30" s="747"/>
      <c r="K30" s="747"/>
      <c r="L30" s="747"/>
      <c r="M30" s="747"/>
      <c r="N30" s="747"/>
      <c r="O30" s="25"/>
      <c r="P30" s="941"/>
      <c r="Q30" s="25"/>
      <c r="R30" s="316"/>
      <c r="S30" s="316"/>
    </row>
    <row r="31" spans="1:21">
      <c r="A31" s="285"/>
      <c r="B31" s="285" t="s">
        <v>23</v>
      </c>
      <c r="C31" s="747"/>
      <c r="D31" s="747">
        <f>VLOOKUP("A_Redemption",calcdata_20,2,0)</f>
        <v>11183856.300000001</v>
      </c>
      <c r="E31" s="747"/>
      <c r="F31" s="747">
        <f>VLOOKUP("B_Redemption",calcdata_20,2,0)</f>
        <v>767519.55</v>
      </c>
      <c r="G31" s="747"/>
      <c r="H31" s="747">
        <f>VLOOKUP("C_Redemption",calcdata_20,2,0)</f>
        <v>877165.20000000007</v>
      </c>
      <c r="I31" s="747"/>
      <c r="J31" s="747">
        <f>VLOOKUP("D_Redemption",calcdata_20,2,0)</f>
        <v>657873.9</v>
      </c>
      <c r="K31" s="747"/>
      <c r="L31" s="747">
        <f>VLOOKUP("E_Redemption",calcdata_20,2,0)</f>
        <v>438582.60000000003</v>
      </c>
      <c r="M31" s="747"/>
      <c r="N31" s="747">
        <f>VLOOKUP("F_Redemption",calcdata_20,2,0)</f>
        <v>365485.5</v>
      </c>
      <c r="O31" s="717"/>
      <c r="P31" s="941">
        <f>VLOOKUP("G_Redemption",calcdata_20,2,0)</f>
        <v>0</v>
      </c>
      <c r="Q31" s="717"/>
      <c r="R31" s="738"/>
      <c r="S31" s="316"/>
    </row>
    <row r="32" spans="1:21">
      <c r="A32" s="285"/>
      <c r="B32" s="285" t="s">
        <v>22</v>
      </c>
      <c r="C32" s="747"/>
      <c r="D32" s="747">
        <f>IF(ISNUMBER(D31),D31/D24,"")</f>
        <v>812.19</v>
      </c>
      <c r="E32" s="747"/>
      <c r="F32" s="747">
        <f>IF(ISNUMBER(F31),F31/F24,"")</f>
        <v>812.19</v>
      </c>
      <c r="G32" s="747"/>
      <c r="H32" s="747">
        <f>IF(ISNUMBER(H31),H31/H24,"")</f>
        <v>812.19</v>
      </c>
      <c r="I32" s="747"/>
      <c r="J32" s="747">
        <f>IF(ISNUMBER(J31),J31/J24,"")</f>
        <v>812.19</v>
      </c>
      <c r="K32" s="747"/>
      <c r="L32" s="747">
        <f>IF(ISNUMBER(L31),L31/L24,"")</f>
        <v>812.19</v>
      </c>
      <c r="M32" s="747"/>
      <c r="N32" s="747">
        <f>IF(ISNUMBER(N31),N31/N24,"")</f>
        <v>812.19</v>
      </c>
      <c r="O32" s="717"/>
      <c r="P32" s="941">
        <f>IF(ISNUMBER(P31),P31/P24,"")</f>
        <v>0</v>
      </c>
      <c r="Q32" s="717"/>
      <c r="R32" s="738"/>
      <c r="S32" s="316"/>
    </row>
    <row r="33" spans="1:19">
      <c r="A33" s="285"/>
      <c r="B33" s="285" t="s">
        <v>47</v>
      </c>
      <c r="C33" s="747">
        <f>SUM(D33,F33,H33,J33,L33,N33,P33)</f>
        <v>255828308.85000017</v>
      </c>
      <c r="D33" s="747">
        <f>D27-D31</f>
        <v>200213459.10000017</v>
      </c>
      <c r="E33" s="747"/>
      <c r="F33" s="747">
        <f>F27-F31</f>
        <v>13740139.350000007</v>
      </c>
      <c r="G33" s="747"/>
      <c r="H33" s="747">
        <f>H27-H31</f>
        <v>15703016.399999997</v>
      </c>
      <c r="I33" s="747"/>
      <c r="J33" s="747">
        <f>J27-J31</f>
        <v>11777262.299999999</v>
      </c>
      <c r="K33" s="747"/>
      <c r="L33" s="747">
        <f>L27-L31</f>
        <v>7851508.1999999983</v>
      </c>
      <c r="M33" s="747"/>
      <c r="N33" s="747">
        <f>N27-N31</f>
        <v>6542923.5</v>
      </c>
      <c r="O33" s="25"/>
      <c r="P33" s="747">
        <f>P27-P31</f>
        <v>0</v>
      </c>
      <c r="Q33" s="25"/>
      <c r="R33" s="738"/>
      <c r="S33" s="316"/>
    </row>
    <row r="34" spans="1:19">
      <c r="A34" s="285"/>
      <c r="B34" s="285" t="s">
        <v>24</v>
      </c>
      <c r="C34" s="25"/>
      <c r="D34" s="748">
        <f>+D33/$C$33</f>
        <v>0.78260869565217406</v>
      </c>
      <c r="E34" s="25"/>
      <c r="F34" s="748">
        <f>+F33/$C$33</f>
        <v>5.3708439897698204E-2</v>
      </c>
      <c r="G34" s="25"/>
      <c r="H34" s="748">
        <f>+H33/$C$33</f>
        <v>6.13810741687979E-2</v>
      </c>
      <c r="I34" s="25"/>
      <c r="J34" s="748">
        <f>+J33/$C$33</f>
        <v>4.6035805626598432E-2</v>
      </c>
      <c r="K34" s="25"/>
      <c r="L34" s="748">
        <f>+L33/$C$33</f>
        <v>3.069053708439895E-2</v>
      </c>
      <c r="M34" s="748"/>
      <c r="N34" s="748">
        <f>+N33/$C$33</f>
        <v>2.5575447570332463E-2</v>
      </c>
      <c r="O34" s="25"/>
      <c r="P34" s="748">
        <f>+P33/$C$33</f>
        <v>0</v>
      </c>
      <c r="Q34" s="25"/>
      <c r="R34" s="749"/>
      <c r="S34" s="316"/>
    </row>
    <row r="35" spans="1:19">
      <c r="A35" s="285"/>
      <c r="B35" s="350" t="s">
        <v>27</v>
      </c>
      <c r="C35" s="750">
        <f>C33/C22</f>
        <v>0.14212683825000011</v>
      </c>
      <c r="D35" s="750">
        <f>D33/D22</f>
        <v>0.14539830000000012</v>
      </c>
      <c r="E35" s="40"/>
      <c r="F35" s="750">
        <f>F33/F22</f>
        <v>0.14539830000000006</v>
      </c>
      <c r="G35" s="40"/>
      <c r="H35" s="750">
        <f>H33/H22</f>
        <v>0.14539829999999998</v>
      </c>
      <c r="I35" s="40"/>
      <c r="J35" s="750">
        <f>J33/J22</f>
        <v>0.14539829999999998</v>
      </c>
      <c r="K35" s="40"/>
      <c r="L35" s="750">
        <f>L33/L22</f>
        <v>0.14539829999999998</v>
      </c>
      <c r="M35" s="750"/>
      <c r="N35" s="750">
        <f>N33/N22</f>
        <v>0.14539830000000001</v>
      </c>
      <c r="O35" s="40"/>
      <c r="P35" s="750">
        <f>P33/P22</f>
        <v>0</v>
      </c>
      <c r="Q35" s="40"/>
      <c r="R35" s="751"/>
      <c r="S35" s="316"/>
    </row>
    <row r="36" spans="1:19">
      <c r="A36" s="285"/>
      <c r="B36" s="25"/>
      <c r="C36" s="25"/>
      <c r="D36" s="25"/>
      <c r="E36" s="25"/>
      <c r="F36" s="25"/>
      <c r="G36" s="25"/>
      <c r="H36" s="25"/>
      <c r="I36" s="25"/>
      <c r="J36" s="25"/>
      <c r="K36" s="25"/>
      <c r="L36" s="25"/>
      <c r="M36" s="25"/>
      <c r="N36" s="25"/>
      <c r="O36" s="25"/>
      <c r="P36" s="25"/>
      <c r="Q36" s="25"/>
      <c r="R36" s="25"/>
      <c r="S36" s="316"/>
    </row>
    <row r="37" spans="1:19" ht="18">
      <c r="A37" s="285"/>
      <c r="B37" s="276" t="s">
        <v>26</v>
      </c>
      <c r="C37" s="719" t="s">
        <v>7</v>
      </c>
      <c r="D37" s="719" t="s">
        <v>5</v>
      </c>
      <c r="E37" s="719"/>
      <c r="F37" s="719" t="s">
        <v>6</v>
      </c>
      <c r="G37" s="719"/>
      <c r="H37" s="719" t="s">
        <v>192</v>
      </c>
      <c r="I37" s="719"/>
      <c r="J37" s="719" t="s">
        <v>193</v>
      </c>
      <c r="K37" s="719"/>
      <c r="L37" s="719" t="s">
        <v>194</v>
      </c>
      <c r="M37" s="719"/>
      <c r="N37" s="719" t="s">
        <v>244</v>
      </c>
      <c r="O37" s="719"/>
      <c r="P37" s="719" t="s">
        <v>256</v>
      </c>
      <c r="Q37" s="719"/>
      <c r="R37" s="719"/>
      <c r="S37" s="316"/>
    </row>
    <row r="38" spans="1:19">
      <c r="A38" s="285"/>
      <c r="B38" s="236" t="s">
        <v>195</v>
      </c>
      <c r="C38" s="752">
        <f>VLOOKUP("1M_euribor",calcdata_20,2,0)</f>
        <v>2.1229999999999999E-2</v>
      </c>
      <c r="D38" s="753" t="s">
        <v>541</v>
      </c>
      <c r="E38" s="754"/>
      <c r="F38" s="755" t="s">
        <v>469</v>
      </c>
      <c r="G38" s="755"/>
      <c r="H38" s="755" t="s">
        <v>470</v>
      </c>
      <c r="I38" s="755"/>
      <c r="J38" s="755" t="s">
        <v>471</v>
      </c>
      <c r="K38" s="755"/>
      <c r="L38" s="755" t="s">
        <v>472</v>
      </c>
      <c r="M38" s="755"/>
      <c r="N38" s="755" t="s">
        <v>473</v>
      </c>
      <c r="O38" s="755"/>
      <c r="P38" s="756">
        <v>6.2E-2</v>
      </c>
      <c r="Q38" s="237"/>
      <c r="R38" s="757"/>
      <c r="S38" s="316"/>
    </row>
    <row r="39" spans="1:19">
      <c r="A39" s="285"/>
      <c r="B39" s="285" t="s">
        <v>57</v>
      </c>
      <c r="C39" s="758"/>
      <c r="D39" s="759" t="s">
        <v>55</v>
      </c>
      <c r="E39" s="6"/>
      <c r="F39" s="759" t="s">
        <v>55</v>
      </c>
      <c r="G39" s="6"/>
      <c r="H39" s="759" t="s">
        <v>55</v>
      </c>
      <c r="I39" s="6"/>
      <c r="J39" s="759" t="s">
        <v>55</v>
      </c>
      <c r="K39" s="6"/>
      <c r="L39" s="759" t="s">
        <v>55</v>
      </c>
      <c r="M39" s="759"/>
      <c r="N39" s="759" t="s">
        <v>55</v>
      </c>
      <c r="O39" s="6"/>
      <c r="P39" s="759" t="s">
        <v>55</v>
      </c>
      <c r="Q39" s="25"/>
      <c r="R39" s="760"/>
      <c r="S39" s="316"/>
    </row>
    <row r="40" spans="1:19">
      <c r="A40" s="285"/>
      <c r="B40" s="285" t="s">
        <v>98</v>
      </c>
      <c r="C40" s="758">
        <f>VLOOKUP("Interest_days",calcdata_20,2,0)</f>
        <v>31</v>
      </c>
      <c r="D40" s="761"/>
      <c r="E40" s="25"/>
      <c r="F40" s="761"/>
      <c r="G40" s="25"/>
      <c r="H40" s="25"/>
      <c r="I40" s="25"/>
      <c r="J40" s="25"/>
      <c r="K40" s="25"/>
      <c r="L40" s="762"/>
      <c r="M40" s="762"/>
      <c r="N40" s="762"/>
      <c r="O40" s="25"/>
      <c r="P40" s="762"/>
      <c r="Q40" s="25"/>
      <c r="R40" s="760"/>
      <c r="S40" s="316"/>
    </row>
    <row r="41" spans="1:19">
      <c r="A41" s="285"/>
      <c r="B41" s="285" t="s">
        <v>28</v>
      </c>
      <c r="C41" s="717"/>
      <c r="D41" s="747">
        <f>D27/D24</f>
        <v>15352.020000000013</v>
      </c>
      <c r="E41" s="747"/>
      <c r="F41" s="747">
        <f>F27/F24</f>
        <v>15352.020000000008</v>
      </c>
      <c r="G41" s="747"/>
      <c r="H41" s="747">
        <f>H27/H24</f>
        <v>15352.019999999997</v>
      </c>
      <c r="I41" s="747"/>
      <c r="J41" s="747">
        <f>J27/J24</f>
        <v>15352.019999999999</v>
      </c>
      <c r="K41" s="747"/>
      <c r="L41" s="747">
        <f>L27/L24</f>
        <v>15352.019999999997</v>
      </c>
      <c r="M41" s="747"/>
      <c r="N41" s="747">
        <f>N27/N24</f>
        <v>15352.02</v>
      </c>
      <c r="O41" s="25"/>
      <c r="P41" s="747">
        <f>P27/P24</f>
        <v>0</v>
      </c>
      <c r="Q41" s="25"/>
      <c r="R41" s="738"/>
      <c r="S41" s="316"/>
    </row>
    <row r="42" spans="1:19">
      <c r="A42" s="285"/>
      <c r="B42" s="285" t="s">
        <v>397</v>
      </c>
      <c r="C42" s="717"/>
      <c r="D42" s="747"/>
      <c r="E42" s="747"/>
      <c r="F42" s="747"/>
      <c r="G42" s="747"/>
      <c r="H42" s="747"/>
      <c r="I42" s="747"/>
      <c r="J42" s="747"/>
      <c r="K42" s="747"/>
      <c r="L42" s="747"/>
      <c r="M42" s="747"/>
      <c r="N42" s="747"/>
      <c r="O42" s="25"/>
      <c r="P42" s="747">
        <f>VLOOKUP("G_target_amortisation",calcdata_20,2,0)</f>
        <v>0</v>
      </c>
      <c r="Q42" s="25"/>
      <c r="R42" s="738"/>
      <c r="S42" s="316"/>
    </row>
    <row r="43" spans="1:19" ht="13">
      <c r="A43" s="285"/>
      <c r="B43" s="285" t="s">
        <v>30</v>
      </c>
      <c r="C43" s="763"/>
      <c r="D43" s="764">
        <f>+D32</f>
        <v>812.19</v>
      </c>
      <c r="E43" s="764"/>
      <c r="F43" s="764">
        <f>+F32</f>
        <v>812.19</v>
      </c>
      <c r="G43" s="764"/>
      <c r="H43" s="764">
        <f>+H32</f>
        <v>812.19</v>
      </c>
      <c r="I43" s="764"/>
      <c r="J43" s="764">
        <f>+J32</f>
        <v>812.19</v>
      </c>
      <c r="K43" s="764"/>
      <c r="L43" s="764">
        <f>+L32</f>
        <v>812.19</v>
      </c>
      <c r="M43" s="764"/>
      <c r="N43" s="764">
        <f>+N32</f>
        <v>812.19</v>
      </c>
      <c r="O43" s="24"/>
      <c r="P43" s="764">
        <f>+P32</f>
        <v>0</v>
      </c>
      <c r="Q43" s="24"/>
      <c r="R43" s="765"/>
      <c r="S43" s="316"/>
    </row>
    <row r="44" spans="1:19">
      <c r="A44" s="285"/>
      <c r="B44" s="285" t="s">
        <v>29</v>
      </c>
      <c r="C44" s="763"/>
      <c r="D44" s="747">
        <f>D41-D43</f>
        <v>14539.830000000013</v>
      </c>
      <c r="E44" s="747"/>
      <c r="F44" s="747">
        <f>F41-F43</f>
        <v>14539.830000000007</v>
      </c>
      <c r="G44" s="747"/>
      <c r="H44" s="747">
        <f>H41-H43</f>
        <v>14539.829999999996</v>
      </c>
      <c r="I44" s="747"/>
      <c r="J44" s="747">
        <f>J41-J43</f>
        <v>14539.829999999998</v>
      </c>
      <c r="K44" s="747"/>
      <c r="L44" s="747">
        <f>L41-L43</f>
        <v>14539.829999999996</v>
      </c>
      <c r="M44" s="747"/>
      <c r="N44" s="747">
        <f>N41-N43</f>
        <v>14539.83</v>
      </c>
      <c r="O44" s="25"/>
      <c r="P44" s="747">
        <f>P41-P43</f>
        <v>0</v>
      </c>
      <c r="Q44" s="25"/>
      <c r="R44" s="738"/>
      <c r="S44" s="316"/>
    </row>
    <row r="45" spans="1:19" ht="13">
      <c r="A45" s="285"/>
      <c r="B45" s="285" t="s">
        <v>88</v>
      </c>
      <c r="C45" s="766"/>
      <c r="D45" s="764">
        <f>-'19. PoP + Transaction Costs'!E59</f>
        <v>-547082.1</v>
      </c>
      <c r="E45" s="764"/>
      <c r="F45" s="764">
        <f>-'19. PoP + Transaction Costs'!G59</f>
        <v>-43526.700000000004</v>
      </c>
      <c r="G45" s="747"/>
      <c r="H45" s="764">
        <f>-'19. PoP + Transaction Costs'!I59</f>
        <v>-58860</v>
      </c>
      <c r="I45" s="747"/>
      <c r="J45" s="764">
        <f>-'19. PoP + Transaction Costs'!K59</f>
        <v>-52698.6</v>
      </c>
      <c r="K45" s="747"/>
      <c r="L45" s="764">
        <f>-'19. PoP + Transaction Costs'!M59</f>
        <v>-45770.400000000001</v>
      </c>
      <c r="M45" s="764"/>
      <c r="N45" s="764">
        <f>-'19. PoP + Transaction Costs'!O59</f>
        <v>-47007</v>
      </c>
      <c r="O45" s="25"/>
      <c r="P45" s="764">
        <f>-'19. PoP + Transaction Costs'!Q59</f>
        <v>0</v>
      </c>
      <c r="Q45" s="25"/>
      <c r="R45" s="738"/>
      <c r="S45" s="316"/>
    </row>
    <row r="46" spans="1:19" ht="13">
      <c r="A46" s="285"/>
      <c r="B46" s="285" t="s">
        <v>97</v>
      </c>
      <c r="C46" s="766"/>
      <c r="D46" s="764">
        <f>VLOOKUP("A_Interests",calcdata_20,2,0)</f>
        <v>547082.1</v>
      </c>
      <c r="E46" s="764"/>
      <c r="F46" s="764">
        <f>VLOOKUP("B_Interests",calcdata_20,2,0)</f>
        <v>43526.700000000004</v>
      </c>
      <c r="G46" s="747"/>
      <c r="H46" s="764">
        <f>VLOOKUP("C_Interests",calcdata_20,2,0)</f>
        <v>58860</v>
      </c>
      <c r="I46" s="747"/>
      <c r="J46" s="764">
        <f>VLOOKUP("D_Interests",calcdata_20,2,0)</f>
        <v>52698.6</v>
      </c>
      <c r="K46" s="747"/>
      <c r="L46" s="764">
        <f>VLOOKUP("E_Interests",calcdata_20,2,0)</f>
        <v>45770.400000000001</v>
      </c>
      <c r="M46" s="764"/>
      <c r="N46" s="764">
        <f>VLOOKUP("F_Interests",calcdata_20,2,0)</f>
        <v>47007</v>
      </c>
      <c r="O46" s="25"/>
      <c r="P46" s="764">
        <f>VLOOKUP("G_Interests",calcdata_20,2,0)</f>
        <v>0</v>
      </c>
      <c r="Q46" s="25"/>
      <c r="R46" s="738"/>
      <c r="S46" s="316"/>
    </row>
    <row r="47" spans="1:19" ht="13">
      <c r="A47" s="285"/>
      <c r="B47" s="350" t="s">
        <v>89</v>
      </c>
      <c r="C47" s="40"/>
      <c r="D47" s="767">
        <f>D46/D24</f>
        <v>39.729999999999997</v>
      </c>
      <c r="E47" s="767"/>
      <c r="F47" s="767">
        <f>F46/F24</f>
        <v>46.06</v>
      </c>
      <c r="G47" s="768"/>
      <c r="H47" s="767">
        <f>H46/H24</f>
        <v>54.5</v>
      </c>
      <c r="I47" s="768"/>
      <c r="J47" s="767">
        <f>J46/J24</f>
        <v>65.06</v>
      </c>
      <c r="K47" s="768"/>
      <c r="L47" s="767">
        <f>L46/L24</f>
        <v>84.76</v>
      </c>
      <c r="M47" s="767"/>
      <c r="N47" s="767">
        <f>N46/N24</f>
        <v>104.46</v>
      </c>
      <c r="O47" s="40"/>
      <c r="P47" s="767">
        <f>P46/P24</f>
        <v>0</v>
      </c>
      <c r="Q47" s="40"/>
      <c r="R47" s="769"/>
      <c r="S47" s="316"/>
    </row>
    <row r="48" spans="1:19" ht="13">
      <c r="A48" s="285"/>
      <c r="G48" s="770"/>
      <c r="H48" s="770"/>
      <c r="I48" s="770"/>
      <c r="J48" s="770"/>
      <c r="K48" s="770"/>
      <c r="L48" s="770"/>
      <c r="M48" s="770"/>
      <c r="N48" s="770"/>
      <c r="O48" s="770"/>
      <c r="P48" s="770"/>
      <c r="Q48" s="770"/>
      <c r="R48" s="770"/>
      <c r="S48" s="316"/>
    </row>
    <row r="49" spans="1:19">
      <c r="A49" s="285"/>
      <c r="B49" s="25"/>
      <c r="C49" s="717"/>
      <c r="D49" s="717"/>
      <c r="E49" s="25"/>
      <c r="F49" s="717"/>
      <c r="G49" s="25"/>
      <c r="H49" s="25"/>
      <c r="I49" s="25"/>
      <c r="J49" s="25"/>
      <c r="K49" s="25"/>
      <c r="L49" s="717"/>
      <c r="M49" s="717"/>
      <c r="N49" s="717"/>
      <c r="O49" s="25"/>
      <c r="P49" s="25"/>
      <c r="Q49" s="25"/>
      <c r="R49" s="717"/>
      <c r="S49" s="316"/>
    </row>
    <row r="50" spans="1:19" ht="18">
      <c r="A50" s="285"/>
      <c r="B50" s="276" t="s">
        <v>31</v>
      </c>
      <c r="C50" s="25"/>
      <c r="D50" s="719" t="s">
        <v>5</v>
      </c>
      <c r="E50" s="719"/>
      <c r="F50" s="719" t="s">
        <v>6</v>
      </c>
      <c r="G50" s="25"/>
      <c r="H50" s="719" t="s">
        <v>192</v>
      </c>
      <c r="I50" s="719"/>
      <c r="J50" s="719" t="s">
        <v>193</v>
      </c>
      <c r="K50" s="719"/>
      <c r="L50" s="719" t="s">
        <v>194</v>
      </c>
      <c r="M50" s="719"/>
      <c r="N50" s="719" t="s">
        <v>244</v>
      </c>
      <c r="O50" s="25"/>
      <c r="P50" s="719" t="s">
        <v>256</v>
      </c>
      <c r="Q50" s="25"/>
      <c r="R50" s="25"/>
      <c r="S50" s="316"/>
    </row>
    <row r="51" spans="1:19">
      <c r="A51" s="285"/>
      <c r="B51" s="236" t="s">
        <v>53</v>
      </c>
      <c r="C51" s="237"/>
      <c r="D51" s="771">
        <f>F17+H17+J17+L17+N17+P17</f>
        <v>0.23499999999999996</v>
      </c>
      <c r="E51" s="771"/>
      <c r="F51" s="771">
        <f>H17+J17+L17+N17+P17</f>
        <v>0.1825</v>
      </c>
      <c r="G51" s="771"/>
      <c r="H51" s="771">
        <f>J17+L17+N17+P17</f>
        <v>0.1225</v>
      </c>
      <c r="I51" s="771"/>
      <c r="J51" s="771">
        <f>L17+N17+P17</f>
        <v>7.7499999999999999E-2</v>
      </c>
      <c r="K51" s="771"/>
      <c r="L51" s="771">
        <f>N17+P17</f>
        <v>4.7500000000000001E-2</v>
      </c>
      <c r="M51" s="771"/>
      <c r="N51" s="771">
        <f>P17</f>
        <v>2.2499999999999999E-2</v>
      </c>
      <c r="O51" s="771"/>
      <c r="P51" s="771">
        <v>0</v>
      </c>
      <c r="Q51" s="771"/>
      <c r="R51" s="772"/>
      <c r="S51" s="316"/>
    </row>
    <row r="52" spans="1:19">
      <c r="A52" s="285"/>
      <c r="B52" s="350" t="s">
        <v>245</v>
      </c>
      <c r="C52" s="40"/>
      <c r="D52" s="773">
        <f>1-'5. Outstanding Notes'!D33/'1. Portfolio Information'!$F$32</f>
        <v>0.32435257408583484</v>
      </c>
      <c r="E52" s="774"/>
      <c r="F52" s="773">
        <f>1-SUM('5. Outstanding Notes'!F33,D33)/'1. Portfolio Information'!$F$32</f>
        <v>0.27798461348388237</v>
      </c>
      <c r="G52" s="774"/>
      <c r="H52" s="773">
        <f>1-SUM('5. Outstanding Notes'!H33,F33,D33)/'1. Portfolio Information'!$F$32</f>
        <v>0.22499265851022232</v>
      </c>
      <c r="I52" s="774"/>
      <c r="J52" s="773">
        <f>1-SUM('5. Outstanding Notes'!J33,H33,F33,D33)/'1. Portfolio Information'!$F$32</f>
        <v>0.18524869227997731</v>
      </c>
      <c r="K52" s="774"/>
      <c r="L52" s="773">
        <f>1-SUM('5. Outstanding Notes'!L33,J33,H33,F33,D33)/'1. Portfolio Information'!$F$32</f>
        <v>0.15875271479314745</v>
      </c>
      <c r="M52" s="774"/>
      <c r="N52" s="773">
        <f>1-SUM(L33,J33,H33,F33,D33,'5. Outstanding Notes'!N33)/'1. Portfolio Information'!$F$32</f>
        <v>0.13667273355412246</v>
      </c>
      <c r="O52" s="773"/>
      <c r="P52" s="773">
        <f>1-SUM('5. Outstanding Notes'!P33,N33,L33,J33,H33,F33,D33)/'1. Portfolio Information'!$F$32</f>
        <v>0.13667273355412246</v>
      </c>
      <c r="Q52" s="773"/>
      <c r="R52" s="775"/>
      <c r="S52" s="316"/>
    </row>
    <row r="53" spans="1:19">
      <c r="A53" s="285"/>
      <c r="B53" s="25"/>
      <c r="C53" s="25"/>
      <c r="D53" s="763"/>
      <c r="E53" s="763"/>
      <c r="F53" s="763"/>
      <c r="G53" s="763"/>
      <c r="H53" s="763"/>
      <c r="I53" s="763"/>
      <c r="J53" s="763"/>
      <c r="K53" s="763"/>
      <c r="L53" s="763"/>
      <c r="M53" s="763"/>
      <c r="N53" s="763"/>
      <c r="O53" s="763"/>
      <c r="P53" s="763"/>
      <c r="Q53" s="763"/>
      <c r="R53" s="763"/>
      <c r="S53" s="316"/>
    </row>
    <row r="54" spans="1:19">
      <c r="A54" s="285"/>
      <c r="B54" s="73" t="s">
        <v>968</v>
      </c>
      <c r="C54" s="25"/>
      <c r="D54" s="763"/>
      <c r="E54" s="763"/>
      <c r="F54" s="763"/>
      <c r="G54" s="763"/>
      <c r="H54" s="763"/>
      <c r="I54" s="763"/>
      <c r="J54" s="763"/>
      <c r="K54" s="763"/>
      <c r="L54" s="763"/>
      <c r="M54" s="763"/>
      <c r="N54" s="763"/>
      <c r="O54" s="763"/>
      <c r="P54" s="763"/>
      <c r="Q54" s="763"/>
      <c r="R54" s="763"/>
      <c r="S54" s="316"/>
    </row>
    <row r="55" spans="1:19" ht="13.5" customHeight="1">
      <c r="A55" s="350"/>
      <c r="B55" s="40"/>
      <c r="C55" s="40"/>
      <c r="D55" s="40"/>
      <c r="E55" s="40"/>
      <c r="F55" s="40"/>
      <c r="G55" s="40"/>
      <c r="H55" s="40"/>
      <c r="I55" s="40"/>
      <c r="J55" s="40"/>
      <c r="K55" s="40"/>
      <c r="L55" s="40"/>
      <c r="M55" s="40"/>
      <c r="N55" s="40"/>
      <c r="O55" s="40"/>
      <c r="P55" s="40"/>
      <c r="Q55" s="40"/>
      <c r="R55" s="40"/>
      <c r="S55" s="354"/>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22" style="146" customWidth="1"/>
    <col min="5" max="5" width="18.54296875" style="146" customWidth="1"/>
    <col min="6" max="6" width="17.1796875" style="146" customWidth="1"/>
    <col min="7" max="8" width="19" style="146" customWidth="1"/>
    <col min="9" max="9" width="9.1796875" style="146" customWidth="1"/>
    <col min="10" max="10" width="15.453125" style="146" customWidth="1"/>
    <col min="11" max="11" width="1.1796875" style="146" customWidth="1"/>
    <col min="12" max="12" width="4.1796875" style="146" customWidth="1"/>
    <col min="13" max="13" width="22" style="146" customWidth="1"/>
    <col min="14" max="14" width="18.54296875" style="146" customWidth="1"/>
    <col min="15" max="15" width="17.1796875" style="146" customWidth="1"/>
    <col min="16" max="17" width="19" style="146" customWidth="1"/>
    <col min="18"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55</v>
      </c>
      <c r="G4" s="116"/>
      <c r="H4" s="121"/>
      <c r="I4" s="116"/>
      <c r="J4" s="122"/>
      <c r="K4" s="362"/>
      <c r="M4" s="166"/>
      <c r="N4" s="21"/>
      <c r="O4" s="230"/>
      <c r="P4" s="21"/>
      <c r="Q4" s="166"/>
      <c r="R4" s="21"/>
    </row>
    <row r="5" spans="1:18" s="106" customFormat="1" ht="18">
      <c r="A5" s="107"/>
      <c r="B5" s="162" t="s">
        <v>174</v>
      </c>
      <c r="C5" s="123"/>
      <c r="D5" s="115" t="str">
        <f>'Cover Sheet'!D5</f>
        <v>Monthly Period</v>
      </c>
      <c r="E5" s="116"/>
      <c r="F5" s="124">
        <f>'Cover Sheet'!F5</f>
        <v>45824</v>
      </c>
      <c r="G5" s="116"/>
      <c r="H5" s="121"/>
      <c r="I5" s="116"/>
      <c r="J5" s="122"/>
      <c r="K5" s="128"/>
      <c r="M5" s="166"/>
      <c r="N5" s="21"/>
      <c r="O5" s="502"/>
      <c r="P5" s="21"/>
      <c r="Q5" s="166"/>
      <c r="R5" s="21"/>
    </row>
    <row r="6" spans="1:18"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c r="R6" s="21"/>
    </row>
    <row r="7" spans="1:18"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c r="R7" s="21"/>
    </row>
    <row r="8" spans="1:18" s="106" customFormat="1" ht="13">
      <c r="A8" s="107"/>
      <c r="B8" s="101"/>
      <c r="C8" s="101"/>
      <c r="D8" s="101"/>
      <c r="E8" s="137"/>
      <c r="F8" s="136"/>
      <c r="G8" s="137"/>
      <c r="H8" s="101"/>
      <c r="I8" s="169"/>
      <c r="J8" s="101"/>
      <c r="K8" s="128"/>
      <c r="M8" s="21"/>
      <c r="N8" s="481"/>
      <c r="O8" s="230"/>
      <c r="P8" s="481"/>
      <c r="Q8" s="21"/>
      <c r="R8" s="21"/>
    </row>
    <row r="9" spans="1:18" s="106" customFormat="1">
      <c r="A9" s="107"/>
      <c r="K9" s="113"/>
      <c r="M9" s="21"/>
      <c r="N9" s="21"/>
      <c r="O9" s="21"/>
      <c r="P9" s="21"/>
      <c r="Q9" s="21"/>
      <c r="R9" s="21"/>
    </row>
    <row r="10" spans="1:18" s="106" customFormat="1">
      <c r="A10" s="107"/>
      <c r="B10" s="101"/>
      <c r="C10" s="101"/>
      <c r="D10" s="101"/>
      <c r="E10" s="101"/>
      <c r="F10" s="147"/>
      <c r="G10" s="101"/>
      <c r="H10" s="101"/>
      <c r="I10" s="21"/>
      <c r="J10" s="21"/>
      <c r="K10" s="113"/>
      <c r="M10" s="21"/>
      <c r="N10" s="21"/>
      <c r="O10" s="175"/>
      <c r="P10" s="21"/>
      <c r="Q10" s="21"/>
      <c r="R10" s="21"/>
    </row>
    <row r="11" spans="1:18" s="106" customFormat="1" ht="18">
      <c r="A11" s="107"/>
      <c r="B11" s="171"/>
      <c r="C11" s="101"/>
      <c r="D11" s="101"/>
      <c r="E11" s="101"/>
      <c r="F11" s="21"/>
      <c r="G11" s="364"/>
      <c r="H11" s="364"/>
      <c r="I11" s="21"/>
      <c r="K11" s="113"/>
      <c r="M11" s="47"/>
      <c r="N11" s="21"/>
      <c r="O11" s="21"/>
      <c r="P11" s="365"/>
      <c r="Q11" s="365"/>
      <c r="R11" s="21"/>
    </row>
    <row r="12" spans="1:18" s="106" customFormat="1" ht="13" thickBot="1">
      <c r="A12" s="107"/>
      <c r="B12" s="101"/>
      <c r="C12" s="101"/>
      <c r="D12" s="101"/>
      <c r="E12" s="101"/>
      <c r="F12" s="21"/>
      <c r="G12" s="364"/>
      <c r="H12" s="364"/>
      <c r="I12" s="21"/>
      <c r="K12" s="113"/>
      <c r="M12" s="21"/>
      <c r="N12" s="21"/>
      <c r="O12" s="21"/>
      <c r="P12" s="365"/>
      <c r="Q12" s="365"/>
      <c r="R12" s="21"/>
    </row>
    <row r="13" spans="1:18" s="106" customFormat="1" ht="45" customHeight="1" thickBot="1">
      <c r="A13" s="107"/>
      <c r="B13" s="499"/>
      <c r="C13" s="21"/>
      <c r="D13" s="698" t="s">
        <v>67</v>
      </c>
      <c r="E13" s="690" t="s">
        <v>68</v>
      </c>
      <c r="F13" s="483" t="s">
        <v>118</v>
      </c>
      <c r="G13" s="690" t="s">
        <v>61</v>
      </c>
      <c r="H13" s="664" t="s">
        <v>119</v>
      </c>
      <c r="I13" s="175"/>
      <c r="K13" s="113"/>
      <c r="M13" s="217"/>
      <c r="N13" s="500"/>
      <c r="O13" s="216"/>
      <c r="P13" s="500"/>
      <c r="Q13" s="500"/>
      <c r="R13" s="21"/>
    </row>
    <row r="14" spans="1:18" s="106" customFormat="1">
      <c r="A14" s="107"/>
      <c r="B14" s="174"/>
      <c r="C14" s="174"/>
      <c r="D14" s="691" t="s">
        <v>565</v>
      </c>
      <c r="E14" s="692">
        <f t="shared" ref="E14:E45" si="0">VLOOKUP(CONCATENATE("OPB_",D14),Assets_20,3,0)</f>
        <v>1136284.4799999993</v>
      </c>
      <c r="F14" s="693">
        <f>E14/$E$65</f>
        <v>1.4378311100788112E-3</v>
      </c>
      <c r="G14" s="694">
        <f t="shared" ref="G14:G45" si="1">VLOOKUP(CONCATENATE("OPB_",D14),Assets_20,2,0)</f>
        <v>866</v>
      </c>
      <c r="H14" s="695">
        <f>G14/$G$65</f>
        <v>2.0246417132303088E-2</v>
      </c>
      <c r="I14" s="175"/>
      <c r="K14" s="113"/>
      <c r="M14" s="198"/>
      <c r="N14" s="13"/>
      <c r="O14" s="199"/>
      <c r="P14" s="200"/>
      <c r="Q14" s="199"/>
      <c r="R14" s="21"/>
    </row>
    <row r="15" spans="1:18">
      <c r="A15" s="182"/>
      <c r="B15" s="14"/>
      <c r="C15" s="13"/>
      <c r="D15" s="691" t="s">
        <v>566</v>
      </c>
      <c r="E15" s="692">
        <f t="shared" si="0"/>
        <v>9800971.9499999546</v>
      </c>
      <c r="F15" s="693">
        <f t="shared" ref="F15:F64" si="2">E15/$E$65</f>
        <v>1.2401949183288795E-2</v>
      </c>
      <c r="G15" s="694">
        <f t="shared" si="1"/>
        <v>3316</v>
      </c>
      <c r="H15" s="695">
        <f t="shared" ref="H15:H64" si="3">G15/$G$65</f>
        <v>7.752554181376102E-2</v>
      </c>
      <c r="I15" s="175"/>
      <c r="K15" s="176"/>
      <c r="M15" s="198"/>
      <c r="N15" s="13"/>
      <c r="O15" s="199"/>
      <c r="P15" s="200"/>
      <c r="Q15" s="199"/>
      <c r="R15" s="21"/>
    </row>
    <row r="16" spans="1:18">
      <c r="A16" s="182"/>
      <c r="B16" s="14"/>
      <c r="C16" s="13"/>
      <c r="D16" s="691" t="s">
        <v>567</v>
      </c>
      <c r="E16" s="692">
        <f t="shared" si="0"/>
        <v>21600457.690000027</v>
      </c>
      <c r="F16" s="693">
        <f t="shared" si="2"/>
        <v>2.7332776787220705E-2</v>
      </c>
      <c r="G16" s="694">
        <f t="shared" si="1"/>
        <v>4384</v>
      </c>
      <c r="H16" s="695">
        <f t="shared" si="3"/>
        <v>0.1024945643279639</v>
      </c>
      <c r="I16" s="175"/>
      <c r="K16" s="176"/>
      <c r="M16" s="198"/>
      <c r="N16" s="13"/>
      <c r="O16" s="199"/>
      <c r="P16" s="200"/>
      <c r="Q16" s="199"/>
      <c r="R16" s="21"/>
    </row>
    <row r="17" spans="1:18">
      <c r="A17" s="182"/>
      <c r="B17" s="14"/>
      <c r="C17" s="13"/>
      <c r="D17" s="691" t="s">
        <v>568</v>
      </c>
      <c r="E17" s="692">
        <f t="shared" si="0"/>
        <v>23193149.520000074</v>
      </c>
      <c r="F17" s="693">
        <f t="shared" si="2"/>
        <v>2.9348136410844557E-2</v>
      </c>
      <c r="G17" s="694">
        <f t="shared" si="1"/>
        <v>3400</v>
      </c>
      <c r="H17" s="695">
        <f t="shared" si="3"/>
        <v>7.948939751712529E-2</v>
      </c>
      <c r="I17" s="175"/>
      <c r="K17" s="176"/>
      <c r="M17" s="198"/>
      <c r="N17" s="13"/>
      <c r="O17" s="199"/>
      <c r="P17" s="200"/>
      <c r="Q17" s="199"/>
      <c r="R17" s="21"/>
    </row>
    <row r="18" spans="1:18">
      <c r="A18" s="182"/>
      <c r="B18" s="14"/>
      <c r="C18" s="13"/>
      <c r="D18" s="691" t="s">
        <v>569</v>
      </c>
      <c r="E18" s="692">
        <f t="shared" si="0"/>
        <v>23545525.040000025</v>
      </c>
      <c r="F18" s="693">
        <f t="shared" si="2"/>
        <v>2.9794025177261683E-2</v>
      </c>
      <c r="G18" s="694">
        <f t="shared" si="1"/>
        <v>2668</v>
      </c>
      <c r="H18" s="695">
        <f t="shared" si="3"/>
        <v>6.2375797816379489E-2</v>
      </c>
      <c r="I18" s="175"/>
      <c r="K18" s="176"/>
      <c r="M18" s="198"/>
      <c r="N18" s="13"/>
      <c r="O18" s="199"/>
      <c r="P18" s="200"/>
      <c r="Q18" s="199"/>
      <c r="R18" s="21"/>
    </row>
    <row r="19" spans="1:18">
      <c r="A19" s="182"/>
      <c r="B19" s="14"/>
      <c r="C19" s="13"/>
      <c r="D19" s="691" t="s">
        <v>570</v>
      </c>
      <c r="E19" s="692">
        <f t="shared" si="0"/>
        <v>39178118.870000042</v>
      </c>
      <c r="F19" s="693">
        <f t="shared" si="2"/>
        <v>4.9575189256876775E-2</v>
      </c>
      <c r="G19" s="694">
        <f t="shared" si="1"/>
        <v>3671</v>
      </c>
      <c r="H19" s="695">
        <f t="shared" si="3"/>
        <v>8.5825170083931451E-2</v>
      </c>
      <c r="I19" s="175"/>
      <c r="K19" s="176"/>
      <c r="M19" s="198"/>
      <c r="N19" s="13"/>
      <c r="O19" s="199"/>
      <c r="P19" s="200"/>
      <c r="Q19" s="199"/>
      <c r="R19" s="21"/>
    </row>
    <row r="20" spans="1:18">
      <c r="A20" s="182"/>
      <c r="B20" s="14"/>
      <c r="C20" s="13"/>
      <c r="D20" s="691" t="s">
        <v>571</v>
      </c>
      <c r="E20" s="692">
        <f t="shared" si="0"/>
        <v>30526189.750000007</v>
      </c>
      <c r="F20" s="693">
        <f t="shared" si="2"/>
        <v>3.862721533846785E-2</v>
      </c>
      <c r="G20" s="694">
        <f t="shared" si="1"/>
        <v>2383</v>
      </c>
      <c r="H20" s="695">
        <f t="shared" si="3"/>
        <v>5.5712715965679283E-2</v>
      </c>
      <c r="I20" s="175"/>
      <c r="K20" s="176"/>
      <c r="M20" s="198"/>
      <c r="N20" s="13"/>
      <c r="O20" s="199"/>
      <c r="P20" s="200"/>
      <c r="Q20" s="199"/>
      <c r="R20" s="21"/>
    </row>
    <row r="21" spans="1:18">
      <c r="A21" s="182"/>
      <c r="B21" s="14"/>
      <c r="C21" s="13"/>
      <c r="D21" s="691" t="s">
        <v>572</v>
      </c>
      <c r="E21" s="692">
        <f t="shared" si="0"/>
        <v>37346330.170000009</v>
      </c>
      <c r="F21" s="693">
        <f t="shared" si="2"/>
        <v>4.7257281350618234E-2</v>
      </c>
      <c r="G21" s="694">
        <f t="shared" si="1"/>
        <v>2496</v>
      </c>
      <c r="H21" s="695">
        <f t="shared" si="3"/>
        <v>5.8354569471395508E-2</v>
      </c>
      <c r="I21" s="175"/>
      <c r="K21" s="176"/>
      <c r="M21" s="198"/>
      <c r="N21" s="13"/>
      <c r="O21" s="199"/>
      <c r="P21" s="200"/>
      <c r="Q21" s="199"/>
      <c r="R21" s="21"/>
    </row>
    <row r="22" spans="1:18">
      <c r="A22" s="182"/>
      <c r="B22" s="14"/>
      <c r="C22" s="13"/>
      <c r="D22" s="691" t="s">
        <v>573</v>
      </c>
      <c r="E22" s="692">
        <f t="shared" si="0"/>
        <v>34356211.340000041</v>
      </c>
      <c r="F22" s="693">
        <f t="shared" si="2"/>
        <v>4.347364622026214E-2</v>
      </c>
      <c r="G22" s="694">
        <f t="shared" si="1"/>
        <v>2029</v>
      </c>
      <c r="H22" s="695">
        <f t="shared" si="3"/>
        <v>4.743646693007271E-2</v>
      </c>
      <c r="I22" s="175"/>
      <c r="K22" s="176"/>
      <c r="M22" s="198"/>
      <c r="N22" s="13"/>
      <c r="O22" s="199"/>
      <c r="P22" s="200"/>
      <c r="Q22" s="199"/>
      <c r="R22" s="21"/>
    </row>
    <row r="23" spans="1:18">
      <c r="A23" s="182"/>
      <c r="B23" s="14"/>
      <c r="C23" s="13"/>
      <c r="D23" s="691" t="s">
        <v>574</v>
      </c>
      <c r="E23" s="692">
        <f t="shared" si="0"/>
        <v>32227396.259999998</v>
      </c>
      <c r="F23" s="693">
        <f t="shared" si="2"/>
        <v>4.0779887215801412E-2</v>
      </c>
      <c r="G23" s="694">
        <f t="shared" si="1"/>
        <v>1708</v>
      </c>
      <c r="H23" s="695">
        <f t="shared" si="3"/>
        <v>3.9931732635073526E-2</v>
      </c>
      <c r="I23" s="175"/>
      <c r="K23" s="176"/>
      <c r="M23" s="198"/>
      <c r="N23" s="13"/>
      <c r="O23" s="199"/>
      <c r="P23" s="200"/>
      <c r="Q23" s="199"/>
      <c r="R23" s="21"/>
    </row>
    <row r="24" spans="1:18">
      <c r="A24" s="182"/>
      <c r="B24" s="14"/>
      <c r="C24" s="13"/>
      <c r="D24" s="691" t="s">
        <v>575</v>
      </c>
      <c r="E24" s="692">
        <f t="shared" si="0"/>
        <v>49429727.749999881</v>
      </c>
      <c r="F24" s="693">
        <f t="shared" si="2"/>
        <v>6.2547365182419629E-2</v>
      </c>
      <c r="G24" s="694">
        <f t="shared" si="1"/>
        <v>2396</v>
      </c>
      <c r="H24" s="695">
        <f t="shared" si="3"/>
        <v>5.6016646015009469E-2</v>
      </c>
      <c r="I24" s="175"/>
      <c r="K24" s="176"/>
      <c r="M24" s="198"/>
      <c r="N24" s="13"/>
      <c r="O24" s="199"/>
      <c r="P24" s="200"/>
      <c r="Q24" s="199"/>
      <c r="R24" s="21"/>
    </row>
    <row r="25" spans="1:18">
      <c r="A25" s="182"/>
      <c r="B25" s="14"/>
      <c r="C25" s="13"/>
      <c r="D25" s="691" t="s">
        <v>576</v>
      </c>
      <c r="E25" s="692">
        <f t="shared" si="0"/>
        <v>34845939.500000037</v>
      </c>
      <c r="F25" s="693">
        <f t="shared" si="2"/>
        <v>4.4093338204376581E-2</v>
      </c>
      <c r="G25" s="694">
        <f t="shared" si="1"/>
        <v>1520</v>
      </c>
      <c r="H25" s="695">
        <f t="shared" si="3"/>
        <v>3.5536436537067777E-2</v>
      </c>
      <c r="I25" s="175"/>
      <c r="K25" s="176"/>
      <c r="M25" s="198"/>
      <c r="N25" s="13"/>
      <c r="O25" s="199"/>
      <c r="P25" s="200"/>
      <c r="Q25" s="199"/>
      <c r="R25" s="21"/>
    </row>
    <row r="26" spans="1:18">
      <c r="A26" s="182"/>
      <c r="B26" s="14"/>
      <c r="C26" s="13"/>
      <c r="D26" s="691" t="s">
        <v>577</v>
      </c>
      <c r="E26" s="692">
        <f t="shared" si="0"/>
        <v>46196589.26000008</v>
      </c>
      <c r="F26" s="693">
        <f t="shared" si="2"/>
        <v>5.8456217951301105E-2</v>
      </c>
      <c r="G26" s="694">
        <f t="shared" si="1"/>
        <v>1852</v>
      </c>
      <c r="H26" s="695">
        <f t="shared" si="3"/>
        <v>4.3298342412269424E-2</v>
      </c>
      <c r="I26" s="175"/>
      <c r="K26" s="176"/>
      <c r="M26" s="198"/>
      <c r="N26" s="13"/>
      <c r="O26" s="199"/>
      <c r="P26" s="200"/>
      <c r="Q26" s="199"/>
      <c r="R26" s="21"/>
    </row>
    <row r="27" spans="1:18">
      <c r="A27" s="182"/>
      <c r="B27" s="14"/>
      <c r="C27" s="13"/>
      <c r="D27" s="691" t="s">
        <v>578</v>
      </c>
      <c r="E27" s="692">
        <f t="shared" si="0"/>
        <v>32895659.359999999</v>
      </c>
      <c r="F27" s="693">
        <f t="shared" si="2"/>
        <v>4.1625493656626607E-2</v>
      </c>
      <c r="G27" s="694">
        <f t="shared" si="1"/>
        <v>1222</v>
      </c>
      <c r="H27" s="695">
        <f t="shared" si="3"/>
        <v>2.8569424637037384E-2</v>
      </c>
      <c r="I27" s="175"/>
      <c r="K27" s="176"/>
      <c r="M27" s="198"/>
      <c r="N27" s="13"/>
      <c r="O27" s="199"/>
      <c r="P27" s="200"/>
      <c r="Q27" s="199"/>
      <c r="R27" s="21"/>
    </row>
    <row r="28" spans="1:18">
      <c r="A28" s="182"/>
      <c r="B28" s="14"/>
      <c r="C28" s="13"/>
      <c r="D28" s="691" t="s">
        <v>579</v>
      </c>
      <c r="E28" s="692">
        <f t="shared" si="0"/>
        <v>30989621.240000017</v>
      </c>
      <c r="F28" s="693">
        <f t="shared" si="2"/>
        <v>3.9213632054915647E-2</v>
      </c>
      <c r="G28" s="694">
        <f t="shared" si="1"/>
        <v>1070</v>
      </c>
      <c r="H28" s="695">
        <f t="shared" si="3"/>
        <v>2.5015780983330606E-2</v>
      </c>
      <c r="I28" s="175"/>
      <c r="K28" s="176"/>
      <c r="M28" s="198"/>
      <c r="N28" s="13"/>
      <c r="O28" s="199"/>
      <c r="P28" s="200"/>
      <c r="Q28" s="199"/>
      <c r="R28" s="21"/>
    </row>
    <row r="29" spans="1:18">
      <c r="A29" s="182"/>
      <c r="B29" s="14"/>
      <c r="C29" s="13"/>
      <c r="D29" s="691" t="s">
        <v>580</v>
      </c>
      <c r="E29" s="692">
        <f t="shared" si="0"/>
        <v>34701138.159999982</v>
      </c>
      <c r="F29" s="693">
        <f t="shared" si="2"/>
        <v>4.3910109554247366E-2</v>
      </c>
      <c r="G29" s="694">
        <f t="shared" si="1"/>
        <v>1132</v>
      </c>
      <c r="H29" s="695">
        <f t="shared" si="3"/>
        <v>2.646529352628995E-2</v>
      </c>
      <c r="I29" s="175"/>
      <c r="K29" s="176"/>
      <c r="M29" s="198"/>
      <c r="N29" s="13"/>
      <c r="O29" s="199"/>
      <c r="P29" s="200"/>
      <c r="Q29" s="199"/>
      <c r="R29" s="21"/>
    </row>
    <row r="30" spans="1:18">
      <c r="A30" s="182"/>
      <c r="B30" s="14"/>
      <c r="C30" s="13"/>
      <c r="D30" s="691" t="s">
        <v>581</v>
      </c>
      <c r="E30" s="692">
        <f t="shared" si="0"/>
        <v>23532942.079999961</v>
      </c>
      <c r="F30" s="693">
        <f t="shared" si="2"/>
        <v>2.9778102957374486E-2</v>
      </c>
      <c r="G30" s="694">
        <f t="shared" si="1"/>
        <v>716</v>
      </c>
      <c r="H30" s="695">
        <f t="shared" si="3"/>
        <v>1.6739531947724033E-2</v>
      </c>
      <c r="I30" s="175"/>
      <c r="J30" s="175"/>
      <c r="K30" s="176"/>
      <c r="M30" s="198"/>
      <c r="N30" s="13"/>
      <c r="O30" s="199"/>
      <c r="P30" s="200"/>
      <c r="Q30" s="199"/>
      <c r="R30" s="21"/>
    </row>
    <row r="31" spans="1:18">
      <c r="A31" s="182"/>
      <c r="B31" s="14"/>
      <c r="C31" s="13"/>
      <c r="D31" s="691" t="s">
        <v>582</v>
      </c>
      <c r="E31" s="692">
        <f t="shared" si="0"/>
        <v>27367053.990000013</v>
      </c>
      <c r="F31" s="693">
        <f t="shared" si="2"/>
        <v>3.4629709646327743E-2</v>
      </c>
      <c r="G31" s="694">
        <f t="shared" si="1"/>
        <v>783</v>
      </c>
      <c r="H31" s="695">
        <f t="shared" si="3"/>
        <v>1.8305940663502676E-2</v>
      </c>
      <c r="I31" s="175"/>
      <c r="J31" s="175"/>
      <c r="K31" s="176"/>
      <c r="M31" s="198"/>
      <c r="N31" s="13"/>
      <c r="O31" s="199"/>
      <c r="P31" s="200"/>
      <c r="Q31" s="199"/>
      <c r="R31" s="21"/>
    </row>
    <row r="32" spans="1:18">
      <c r="A32" s="182"/>
      <c r="B32" s="14"/>
      <c r="C32" s="13"/>
      <c r="D32" s="691" t="s">
        <v>583</v>
      </c>
      <c r="E32" s="692">
        <f t="shared" si="0"/>
        <v>20614552.730000015</v>
      </c>
      <c r="F32" s="693">
        <f t="shared" si="2"/>
        <v>2.6085232842002846E-2</v>
      </c>
      <c r="G32" s="694">
        <f t="shared" si="1"/>
        <v>558</v>
      </c>
      <c r="H32" s="695">
        <f t="shared" si="3"/>
        <v>1.3045612886634092E-2</v>
      </c>
      <c r="I32" s="175"/>
      <c r="J32" s="175"/>
      <c r="K32" s="176"/>
      <c r="M32" s="198"/>
      <c r="N32" s="13"/>
      <c r="O32" s="199"/>
      <c r="P32" s="200"/>
      <c r="Q32" s="199"/>
      <c r="R32" s="21"/>
    </row>
    <row r="33" spans="1:18">
      <c r="A33" s="182"/>
      <c r="B33" s="14"/>
      <c r="C33" s="13"/>
      <c r="D33" s="691" t="s">
        <v>584</v>
      </c>
      <c r="E33" s="692">
        <f t="shared" si="0"/>
        <v>19940085.169999994</v>
      </c>
      <c r="F33" s="693">
        <f t="shared" si="2"/>
        <v>2.5231775404559911E-2</v>
      </c>
      <c r="G33" s="694">
        <f t="shared" si="1"/>
        <v>512</v>
      </c>
      <c r="H33" s="695">
        <f t="shared" si="3"/>
        <v>1.1970168096696513E-2</v>
      </c>
      <c r="I33" s="175"/>
      <c r="J33" s="175"/>
      <c r="K33" s="176"/>
      <c r="M33" s="198"/>
      <c r="N33" s="13"/>
      <c r="O33" s="199"/>
      <c r="P33" s="200"/>
      <c r="Q33" s="199"/>
      <c r="R33" s="21"/>
    </row>
    <row r="34" spans="1:18">
      <c r="A34" s="182"/>
      <c r="B34" s="14"/>
      <c r="C34" s="13"/>
      <c r="D34" s="691" t="s">
        <v>585</v>
      </c>
      <c r="E34" s="692">
        <f t="shared" si="0"/>
        <v>23724555.509999983</v>
      </c>
      <c r="F34" s="693">
        <f t="shared" si="2"/>
        <v>3.0020566667486009E-2</v>
      </c>
      <c r="G34" s="694">
        <f t="shared" si="1"/>
        <v>583</v>
      </c>
      <c r="H34" s="695">
        <f t="shared" si="3"/>
        <v>1.36300937507306E-2</v>
      </c>
      <c r="I34" s="175"/>
      <c r="J34" s="175"/>
      <c r="K34" s="176"/>
      <c r="M34" s="198"/>
      <c r="N34" s="13"/>
      <c r="O34" s="199"/>
      <c r="P34" s="200"/>
      <c r="Q34" s="199"/>
      <c r="R34" s="21"/>
    </row>
    <row r="35" spans="1:18">
      <c r="A35" s="182"/>
      <c r="B35" s="14"/>
      <c r="C35" s="13"/>
      <c r="D35" s="691" t="s">
        <v>586</v>
      </c>
      <c r="E35" s="692">
        <f t="shared" si="0"/>
        <v>16301505.610000014</v>
      </c>
      <c r="F35" s="693">
        <f t="shared" si="2"/>
        <v>2.0627591346827425E-2</v>
      </c>
      <c r="G35" s="694">
        <f t="shared" si="1"/>
        <v>380</v>
      </c>
      <c r="H35" s="695">
        <f t="shared" si="3"/>
        <v>8.8841091342669442E-3</v>
      </c>
      <c r="I35" s="175"/>
      <c r="J35" s="175"/>
      <c r="K35" s="176"/>
      <c r="M35" s="198"/>
      <c r="N35" s="13"/>
      <c r="O35" s="199"/>
      <c r="P35" s="200"/>
      <c r="Q35" s="199"/>
      <c r="R35" s="21"/>
    </row>
    <row r="36" spans="1:18">
      <c r="A36" s="182"/>
      <c r="B36" s="14"/>
      <c r="C36" s="13"/>
      <c r="D36" s="691" t="s">
        <v>587</v>
      </c>
      <c r="E36" s="692">
        <f t="shared" si="0"/>
        <v>17583738.909999993</v>
      </c>
      <c r="F36" s="693">
        <f t="shared" si="2"/>
        <v>2.2250103104727161E-2</v>
      </c>
      <c r="G36" s="694">
        <f t="shared" si="1"/>
        <v>391</v>
      </c>
      <c r="H36" s="695">
        <f t="shared" si="3"/>
        <v>9.1412807144694089E-3</v>
      </c>
      <c r="I36" s="175"/>
      <c r="J36" s="175"/>
      <c r="K36" s="176"/>
      <c r="M36" s="198"/>
      <c r="N36" s="13"/>
      <c r="O36" s="199"/>
      <c r="P36" s="200"/>
      <c r="Q36" s="199"/>
      <c r="R36" s="21"/>
    </row>
    <row r="37" spans="1:18">
      <c r="A37" s="182"/>
      <c r="B37" s="14"/>
      <c r="C37" s="13"/>
      <c r="D37" s="691" t="s">
        <v>588</v>
      </c>
      <c r="E37" s="692">
        <f t="shared" si="0"/>
        <v>12953834.76</v>
      </c>
      <c r="F37" s="693">
        <f t="shared" si="2"/>
        <v>1.6391517212967919E-2</v>
      </c>
      <c r="G37" s="694">
        <f t="shared" si="1"/>
        <v>276</v>
      </c>
      <c r="H37" s="695">
        <f t="shared" si="3"/>
        <v>6.452668739625465E-3</v>
      </c>
      <c r="I37" s="175"/>
      <c r="J37" s="175"/>
      <c r="K37" s="176"/>
      <c r="M37" s="198"/>
      <c r="N37" s="13"/>
      <c r="O37" s="199"/>
      <c r="P37" s="200"/>
      <c r="Q37" s="199"/>
      <c r="R37" s="21"/>
    </row>
    <row r="38" spans="1:18">
      <c r="A38" s="182"/>
      <c r="B38" s="14"/>
      <c r="C38" s="13"/>
      <c r="D38" s="691" t="s">
        <v>589</v>
      </c>
      <c r="E38" s="692">
        <f t="shared" si="0"/>
        <v>13269912.119999994</v>
      </c>
      <c r="F38" s="693">
        <f t="shared" si="2"/>
        <v>1.6791475031101254E-2</v>
      </c>
      <c r="G38" s="694">
        <f t="shared" si="1"/>
        <v>271</v>
      </c>
      <c r="H38" s="695">
        <f t="shared" si="3"/>
        <v>6.3357725668061627E-3</v>
      </c>
      <c r="I38" s="175"/>
      <c r="J38" s="175"/>
      <c r="K38" s="176"/>
      <c r="M38" s="198"/>
      <c r="N38" s="13"/>
      <c r="O38" s="199"/>
      <c r="P38" s="200"/>
      <c r="Q38" s="199"/>
      <c r="R38" s="21"/>
    </row>
    <row r="39" spans="1:18">
      <c r="A39" s="182"/>
      <c r="B39" s="14"/>
      <c r="C39" s="13"/>
      <c r="D39" s="691" t="s">
        <v>590</v>
      </c>
      <c r="E39" s="692">
        <f t="shared" si="0"/>
        <v>22207080.570000004</v>
      </c>
      <c r="F39" s="693">
        <f t="shared" si="2"/>
        <v>2.8100384956039112E-2</v>
      </c>
      <c r="G39" s="694">
        <f t="shared" si="1"/>
        <v>440</v>
      </c>
      <c r="H39" s="695">
        <f t="shared" si="3"/>
        <v>1.0286863208098566E-2</v>
      </c>
      <c r="I39" s="175"/>
      <c r="J39" s="175"/>
      <c r="K39" s="176"/>
      <c r="M39" s="198"/>
      <c r="N39" s="13"/>
      <c r="O39" s="199"/>
      <c r="P39" s="200"/>
      <c r="Q39" s="199"/>
      <c r="R39" s="21"/>
    </row>
    <row r="40" spans="1:18">
      <c r="A40" s="182"/>
      <c r="B40" s="14"/>
      <c r="C40" s="13"/>
      <c r="D40" s="691" t="s">
        <v>591</v>
      </c>
      <c r="E40" s="692">
        <f t="shared" si="0"/>
        <v>12625750.150000002</v>
      </c>
      <c r="F40" s="693">
        <f t="shared" si="2"/>
        <v>1.5976365666591021E-2</v>
      </c>
      <c r="G40" s="694">
        <f t="shared" si="1"/>
        <v>238</v>
      </c>
      <c r="H40" s="695">
        <f t="shared" si="3"/>
        <v>5.5642578261987704E-3</v>
      </c>
      <c r="I40" s="175"/>
      <c r="J40" s="21"/>
      <c r="K40" s="176"/>
      <c r="M40" s="198"/>
      <c r="N40" s="13"/>
      <c r="O40" s="199"/>
      <c r="P40" s="200"/>
      <c r="Q40" s="199"/>
      <c r="R40" s="21"/>
    </row>
    <row r="41" spans="1:18">
      <c r="A41" s="182"/>
      <c r="B41" s="14"/>
      <c r="C41" s="13"/>
      <c r="D41" s="691" t="s">
        <v>592</v>
      </c>
      <c r="E41" s="692">
        <f t="shared" si="0"/>
        <v>12460780.679999996</v>
      </c>
      <c r="F41" s="693">
        <f t="shared" si="2"/>
        <v>1.5767616677799742E-2</v>
      </c>
      <c r="G41" s="694">
        <f t="shared" si="1"/>
        <v>227</v>
      </c>
      <c r="H41" s="695">
        <f t="shared" si="3"/>
        <v>5.3070862459963057E-3</v>
      </c>
      <c r="I41" s="175"/>
      <c r="J41" s="21"/>
      <c r="K41" s="176"/>
      <c r="M41" s="198"/>
      <c r="N41" s="13"/>
      <c r="O41" s="199"/>
      <c r="P41" s="200"/>
      <c r="Q41" s="199"/>
      <c r="R41" s="21"/>
    </row>
    <row r="42" spans="1:18">
      <c r="A42" s="182"/>
      <c r="B42" s="14"/>
      <c r="C42" s="13"/>
      <c r="D42" s="691" t="s">
        <v>593</v>
      </c>
      <c r="E42" s="692">
        <f t="shared" si="0"/>
        <v>8991121.5499999989</v>
      </c>
      <c r="F42" s="693">
        <f t="shared" si="2"/>
        <v>1.1377181072727515E-2</v>
      </c>
      <c r="G42" s="694">
        <f t="shared" si="1"/>
        <v>158</v>
      </c>
      <c r="H42" s="695">
        <f t="shared" si="3"/>
        <v>3.6939190610899399E-3</v>
      </c>
      <c r="I42" s="175"/>
      <c r="J42" s="21"/>
      <c r="K42" s="176"/>
      <c r="M42" s="198"/>
      <c r="N42" s="13"/>
      <c r="O42" s="199"/>
      <c r="P42" s="200"/>
      <c r="Q42" s="199"/>
      <c r="R42" s="21"/>
    </row>
    <row r="43" spans="1:18">
      <c r="A43" s="182"/>
      <c r="B43" s="14"/>
      <c r="C43" s="13"/>
      <c r="D43" s="691" t="s">
        <v>594</v>
      </c>
      <c r="E43" s="692">
        <f t="shared" si="0"/>
        <v>8072264.3399999971</v>
      </c>
      <c r="F43" s="693">
        <f t="shared" si="2"/>
        <v>1.0214477977233134E-2</v>
      </c>
      <c r="G43" s="694">
        <f t="shared" si="1"/>
        <v>137</v>
      </c>
      <c r="H43" s="695">
        <f t="shared" si="3"/>
        <v>3.2029551352488719E-3</v>
      </c>
      <c r="I43" s="175"/>
      <c r="J43" s="21"/>
      <c r="K43" s="176"/>
      <c r="M43" s="198"/>
      <c r="N43" s="13"/>
      <c r="O43" s="199"/>
      <c r="P43" s="200"/>
      <c r="Q43" s="199"/>
      <c r="R43" s="21"/>
    </row>
    <row r="44" spans="1:18">
      <c r="A44" s="182"/>
      <c r="B44" s="14"/>
      <c r="C44" s="13"/>
      <c r="D44" s="691" t="s">
        <v>595</v>
      </c>
      <c r="E44" s="692">
        <f t="shared" si="0"/>
        <v>15579327.130000001</v>
      </c>
      <c r="F44" s="693">
        <f t="shared" si="2"/>
        <v>1.9713761488328041E-2</v>
      </c>
      <c r="G44" s="694">
        <f t="shared" si="1"/>
        <v>258</v>
      </c>
      <c r="H44" s="695">
        <f t="shared" si="3"/>
        <v>6.0318425174759778E-3</v>
      </c>
      <c r="I44" s="175"/>
      <c r="J44" s="21"/>
      <c r="K44" s="176"/>
      <c r="M44" s="198"/>
      <c r="N44" s="13"/>
      <c r="O44" s="199"/>
      <c r="P44" s="200"/>
      <c r="Q44" s="199"/>
      <c r="R44" s="21"/>
    </row>
    <row r="45" spans="1:18" s="106" customFormat="1" ht="12.75" customHeight="1">
      <c r="A45" s="107"/>
      <c r="B45" s="14"/>
      <c r="C45" s="13"/>
      <c r="D45" s="691" t="s">
        <v>596</v>
      </c>
      <c r="E45" s="692">
        <f t="shared" si="0"/>
        <v>6426453.5899999999</v>
      </c>
      <c r="F45" s="693">
        <f t="shared" si="2"/>
        <v>8.1319027601078082E-3</v>
      </c>
      <c r="G45" s="694">
        <f t="shared" si="1"/>
        <v>102</v>
      </c>
      <c r="H45" s="695">
        <f t="shared" si="3"/>
        <v>2.3846819255137586E-3</v>
      </c>
      <c r="I45" s="147"/>
      <c r="J45" s="101"/>
      <c r="K45" s="113"/>
      <c r="M45" s="198"/>
      <c r="N45" s="13"/>
      <c r="O45" s="199"/>
      <c r="P45" s="200"/>
      <c r="Q45" s="199"/>
      <c r="R45" s="21"/>
    </row>
    <row r="46" spans="1:18" s="106" customFormat="1">
      <c r="A46" s="107"/>
      <c r="B46" s="14"/>
      <c r="C46" s="13"/>
      <c r="D46" s="691" t="s">
        <v>597</v>
      </c>
      <c r="E46" s="692">
        <f t="shared" ref="E46:E64" si="4">VLOOKUP(CONCATENATE("OPB_",D46),Assets_20,3,0)</f>
        <v>7387954.4600000009</v>
      </c>
      <c r="F46" s="693">
        <f t="shared" si="2"/>
        <v>9.348566269631273E-3</v>
      </c>
      <c r="G46" s="694">
        <f t="shared" ref="G46:G64" si="5">VLOOKUP(CONCATENATE("OPB_",D46),Assets_20,2,0)</f>
        <v>114</v>
      </c>
      <c r="H46" s="695">
        <f t="shared" si="3"/>
        <v>2.6652327402800833E-3</v>
      </c>
      <c r="I46" s="147"/>
      <c r="J46" s="101"/>
      <c r="K46" s="113"/>
      <c r="M46" s="198"/>
      <c r="N46" s="13"/>
      <c r="O46" s="199"/>
      <c r="P46" s="200"/>
      <c r="Q46" s="199"/>
      <c r="R46" s="21"/>
    </row>
    <row r="47" spans="1:18">
      <c r="A47" s="182"/>
      <c r="B47" s="14"/>
      <c r="C47" s="13"/>
      <c r="D47" s="691" t="s">
        <v>598</v>
      </c>
      <c r="E47" s="692">
        <f t="shared" si="4"/>
        <v>4341500.0799999991</v>
      </c>
      <c r="F47" s="693">
        <f t="shared" si="2"/>
        <v>5.4936452880476284E-3</v>
      </c>
      <c r="G47" s="694">
        <f t="shared" si="5"/>
        <v>65</v>
      </c>
      <c r="H47" s="695">
        <f t="shared" si="3"/>
        <v>1.5196502466509247E-3</v>
      </c>
      <c r="I47" s="175"/>
      <c r="J47" s="21"/>
      <c r="K47" s="176"/>
      <c r="M47" s="198"/>
      <c r="N47" s="13"/>
      <c r="O47" s="199"/>
      <c r="P47" s="200"/>
      <c r="Q47" s="199"/>
      <c r="R47" s="21"/>
    </row>
    <row r="48" spans="1:18">
      <c r="A48" s="182"/>
      <c r="B48" s="14"/>
      <c r="C48" s="13"/>
      <c r="D48" s="691" t="s">
        <v>599</v>
      </c>
      <c r="E48" s="692">
        <f t="shared" si="4"/>
        <v>5518602.0599999996</v>
      </c>
      <c r="F48" s="693">
        <f t="shared" si="2"/>
        <v>6.9831260266909724E-3</v>
      </c>
      <c r="G48" s="694">
        <f t="shared" si="5"/>
        <v>80</v>
      </c>
      <c r="H48" s="695">
        <f t="shared" si="3"/>
        <v>1.8703387651088303E-3</v>
      </c>
      <c r="I48" s="175"/>
      <c r="J48" s="21"/>
      <c r="K48" s="176"/>
      <c r="M48" s="198"/>
      <c r="N48" s="13"/>
      <c r="O48" s="199"/>
      <c r="P48" s="200"/>
      <c r="Q48" s="199"/>
      <c r="R48" s="21"/>
    </row>
    <row r="49" spans="1:18">
      <c r="A49" s="182"/>
      <c r="B49" s="14"/>
      <c r="C49" s="13"/>
      <c r="D49" s="691" t="s">
        <v>600</v>
      </c>
      <c r="E49" s="692">
        <f t="shared" si="4"/>
        <v>4891857.5699999994</v>
      </c>
      <c r="F49" s="693">
        <f t="shared" si="2"/>
        <v>6.1900563846656945E-3</v>
      </c>
      <c r="G49" s="694">
        <f t="shared" si="5"/>
        <v>69</v>
      </c>
      <c r="H49" s="695">
        <f t="shared" si="3"/>
        <v>1.6131671849063662E-3</v>
      </c>
      <c r="I49" s="175"/>
      <c r="J49" s="21"/>
      <c r="K49" s="176"/>
      <c r="M49" s="198"/>
      <c r="N49" s="13"/>
      <c r="O49" s="199"/>
      <c r="P49" s="200"/>
      <c r="Q49" s="199"/>
      <c r="R49" s="21"/>
    </row>
    <row r="50" spans="1:18">
      <c r="A50" s="182"/>
      <c r="B50" s="14"/>
      <c r="C50" s="13"/>
      <c r="D50" s="691" t="s">
        <v>601</v>
      </c>
      <c r="E50" s="692">
        <f t="shared" si="4"/>
        <v>3943786.43</v>
      </c>
      <c r="F50" s="693">
        <f t="shared" si="2"/>
        <v>4.9903865804456424E-3</v>
      </c>
      <c r="G50" s="694">
        <f t="shared" si="5"/>
        <v>54</v>
      </c>
      <c r="H50" s="695">
        <f t="shared" si="3"/>
        <v>1.2624786664484605E-3</v>
      </c>
      <c r="I50" s="175"/>
      <c r="J50" s="21"/>
      <c r="K50" s="176"/>
      <c r="M50" s="198"/>
      <c r="N50" s="13"/>
      <c r="O50" s="199"/>
      <c r="P50" s="200"/>
      <c r="Q50" s="199"/>
      <c r="R50" s="21"/>
    </row>
    <row r="51" spans="1:18">
      <c r="A51" s="182"/>
      <c r="B51" s="14"/>
      <c r="C51" s="13"/>
      <c r="D51" s="691" t="s">
        <v>602</v>
      </c>
      <c r="E51" s="692">
        <f t="shared" si="4"/>
        <v>4720116.88</v>
      </c>
      <c r="F51" s="693">
        <f t="shared" si="2"/>
        <v>5.9727392327598621E-3</v>
      </c>
      <c r="G51" s="694">
        <f t="shared" si="5"/>
        <v>63</v>
      </c>
      <c r="H51" s="695">
        <f t="shared" si="3"/>
        <v>1.4728917775232039E-3</v>
      </c>
      <c r="I51" s="175"/>
      <c r="J51" s="21"/>
      <c r="K51" s="176"/>
      <c r="M51" s="198"/>
      <c r="N51" s="13"/>
      <c r="O51" s="199"/>
      <c r="P51" s="200"/>
      <c r="Q51" s="199"/>
      <c r="R51" s="21"/>
    </row>
    <row r="52" spans="1:18">
      <c r="A52" s="182"/>
      <c r="B52" s="14"/>
      <c r="C52" s="13"/>
      <c r="D52" s="691" t="s">
        <v>603</v>
      </c>
      <c r="E52" s="692">
        <f t="shared" si="4"/>
        <v>1542426.7700000003</v>
      </c>
      <c r="F52" s="693">
        <f t="shared" si="2"/>
        <v>1.9517552461196838E-3</v>
      </c>
      <c r="G52" s="694">
        <f t="shared" si="5"/>
        <v>20</v>
      </c>
      <c r="H52" s="695">
        <f t="shared" si="3"/>
        <v>4.6758469127720757E-4</v>
      </c>
      <c r="I52" s="175"/>
      <c r="J52" s="21"/>
      <c r="K52" s="176"/>
      <c r="M52" s="198"/>
      <c r="N52" s="13"/>
      <c r="O52" s="199"/>
      <c r="P52" s="200"/>
      <c r="Q52" s="199"/>
      <c r="R52" s="21"/>
    </row>
    <row r="53" spans="1:18">
      <c r="A53" s="182"/>
      <c r="B53" s="14"/>
      <c r="C53" s="13"/>
      <c r="D53" s="691" t="s">
        <v>604</v>
      </c>
      <c r="E53" s="692">
        <f t="shared" si="4"/>
        <v>1895204.4000000001</v>
      </c>
      <c r="F53" s="693">
        <f t="shared" si="2"/>
        <v>2.3981528342957295E-3</v>
      </c>
      <c r="G53" s="694">
        <f t="shared" si="5"/>
        <v>24</v>
      </c>
      <c r="H53" s="695">
        <f t="shared" si="3"/>
        <v>5.6110162953264915E-4</v>
      </c>
      <c r="I53" s="175"/>
      <c r="J53" s="21"/>
      <c r="K53" s="176"/>
      <c r="M53" s="198"/>
      <c r="N53" s="13"/>
      <c r="O53" s="199"/>
      <c r="P53" s="200"/>
      <c r="Q53" s="199"/>
      <c r="R53" s="21"/>
    </row>
    <row r="54" spans="1:18">
      <c r="A54" s="182"/>
      <c r="B54" s="14"/>
      <c r="C54" s="13"/>
      <c r="D54" s="691" t="s">
        <v>605</v>
      </c>
      <c r="E54" s="692">
        <f t="shared" si="4"/>
        <v>2349334.2999999998</v>
      </c>
      <c r="F54" s="693">
        <f t="shared" si="2"/>
        <v>2.9727995092524969E-3</v>
      </c>
      <c r="G54" s="694">
        <f t="shared" si="5"/>
        <v>29</v>
      </c>
      <c r="H54" s="695">
        <f t="shared" si="3"/>
        <v>6.77997802351951E-4</v>
      </c>
      <c r="I54" s="175"/>
      <c r="J54" s="21"/>
      <c r="K54" s="176"/>
      <c r="M54" s="198"/>
      <c r="N54" s="13"/>
      <c r="O54" s="199"/>
      <c r="P54" s="200"/>
      <c r="Q54" s="199"/>
      <c r="R54" s="21"/>
    </row>
    <row r="55" spans="1:18">
      <c r="A55" s="182"/>
      <c r="B55" s="14"/>
      <c r="C55" s="13"/>
      <c r="D55" s="691" t="s">
        <v>606</v>
      </c>
      <c r="E55" s="692">
        <f t="shared" si="4"/>
        <v>1826280.97</v>
      </c>
      <c r="F55" s="693">
        <f t="shared" si="2"/>
        <v>2.3109385375138713E-3</v>
      </c>
      <c r="G55" s="694">
        <f t="shared" si="5"/>
        <v>22</v>
      </c>
      <c r="H55" s="695">
        <f t="shared" si="3"/>
        <v>5.1434316040492839E-4</v>
      </c>
      <c r="I55" s="175"/>
      <c r="J55" s="21"/>
      <c r="K55" s="176"/>
      <c r="M55" s="198"/>
      <c r="N55" s="13"/>
      <c r="O55" s="199"/>
      <c r="P55" s="200"/>
      <c r="Q55" s="199"/>
      <c r="R55" s="21"/>
    </row>
    <row r="56" spans="1:18">
      <c r="A56" s="182"/>
      <c r="B56" s="14"/>
      <c r="C56" s="13"/>
      <c r="D56" s="691" t="s">
        <v>607</v>
      </c>
      <c r="E56" s="692">
        <f t="shared" si="4"/>
        <v>2800459.5300000003</v>
      </c>
      <c r="F56" s="693">
        <f t="shared" si="2"/>
        <v>3.5436441363263967E-3</v>
      </c>
      <c r="G56" s="694">
        <f t="shared" si="5"/>
        <v>33</v>
      </c>
      <c r="H56" s="695">
        <f t="shared" si="3"/>
        <v>7.7151474060739252E-4</v>
      </c>
      <c r="I56" s="175"/>
      <c r="J56" s="21"/>
      <c r="K56" s="176"/>
      <c r="M56" s="198"/>
      <c r="N56" s="13"/>
      <c r="O56" s="199"/>
      <c r="P56" s="200"/>
      <c r="Q56" s="199"/>
      <c r="R56" s="21"/>
    </row>
    <row r="57" spans="1:18">
      <c r="A57" s="182"/>
      <c r="B57" s="14"/>
      <c r="C57" s="13"/>
      <c r="D57" s="691" t="s">
        <v>608</v>
      </c>
      <c r="E57" s="692">
        <f t="shared" si="4"/>
        <v>1044437.9500000001</v>
      </c>
      <c r="F57" s="693">
        <f t="shared" si="2"/>
        <v>1.3216103920181493E-3</v>
      </c>
      <c r="G57" s="694">
        <f t="shared" si="5"/>
        <v>12</v>
      </c>
      <c r="H57" s="695">
        <f t="shared" si="3"/>
        <v>2.8055081476632457E-4</v>
      </c>
      <c r="I57" s="175"/>
      <c r="J57" s="21"/>
      <c r="K57" s="176"/>
      <c r="M57" s="198"/>
      <c r="N57" s="13"/>
      <c r="O57" s="199"/>
      <c r="P57" s="200"/>
      <c r="Q57" s="199"/>
      <c r="R57" s="21"/>
    </row>
    <row r="58" spans="1:18">
      <c r="A58" s="182"/>
      <c r="B58" s="14"/>
      <c r="C58" s="13"/>
      <c r="D58" s="691" t="s">
        <v>609</v>
      </c>
      <c r="E58" s="692">
        <f t="shared" si="4"/>
        <v>800259.36</v>
      </c>
      <c r="F58" s="693">
        <f t="shared" si="2"/>
        <v>1.0126318049682062E-3</v>
      </c>
      <c r="G58" s="694">
        <f t="shared" si="5"/>
        <v>9</v>
      </c>
      <c r="H58" s="695">
        <f t="shared" si="3"/>
        <v>2.104131110747434E-4</v>
      </c>
      <c r="I58" s="175"/>
      <c r="J58" s="21"/>
      <c r="K58" s="176"/>
      <c r="M58" s="198"/>
      <c r="N58" s="13"/>
      <c r="O58" s="199"/>
      <c r="P58" s="200"/>
      <c r="Q58" s="199"/>
      <c r="R58" s="21"/>
    </row>
    <row r="59" spans="1:18">
      <c r="A59" s="182"/>
      <c r="B59" s="14"/>
      <c r="C59" s="13"/>
      <c r="D59" s="691" t="s">
        <v>610</v>
      </c>
      <c r="E59" s="692">
        <f t="shared" si="4"/>
        <v>181070.93</v>
      </c>
      <c r="F59" s="693">
        <f t="shared" si="2"/>
        <v>2.2912344652010284E-4</v>
      </c>
      <c r="G59" s="694">
        <f t="shared" si="5"/>
        <v>2</v>
      </c>
      <c r="H59" s="695">
        <f t="shared" si="3"/>
        <v>4.6758469127720756E-5</v>
      </c>
      <c r="I59" s="175"/>
      <c r="J59" s="21"/>
      <c r="K59" s="176"/>
      <c r="M59" s="198"/>
      <c r="N59" s="13"/>
      <c r="O59" s="199"/>
      <c r="P59" s="200"/>
      <c r="Q59" s="199"/>
      <c r="R59" s="21"/>
    </row>
    <row r="60" spans="1:18">
      <c r="A60" s="182"/>
      <c r="B60" s="14"/>
      <c r="C60" s="13"/>
      <c r="D60" s="691" t="s">
        <v>611</v>
      </c>
      <c r="E60" s="692">
        <f t="shared" si="4"/>
        <v>556845.49</v>
      </c>
      <c r="F60" s="693">
        <f t="shared" si="2"/>
        <v>7.0462087894492757E-4</v>
      </c>
      <c r="G60" s="694">
        <f t="shared" si="5"/>
        <v>6</v>
      </c>
      <c r="H60" s="695">
        <f t="shared" si="3"/>
        <v>1.4027540738316229E-4</v>
      </c>
      <c r="I60" s="175"/>
      <c r="J60" s="21"/>
      <c r="K60" s="176"/>
      <c r="M60" s="198"/>
      <c r="N60" s="13"/>
      <c r="O60" s="199"/>
      <c r="P60" s="200"/>
      <c r="Q60" s="199"/>
      <c r="R60" s="21"/>
    </row>
    <row r="61" spans="1:18">
      <c r="A61" s="182"/>
      <c r="B61" s="14"/>
      <c r="C61" s="13"/>
      <c r="D61" s="691" t="s">
        <v>612</v>
      </c>
      <c r="E61" s="692">
        <f t="shared" si="4"/>
        <v>380063.87</v>
      </c>
      <c r="F61" s="693">
        <f t="shared" si="2"/>
        <v>4.8092503745448439E-4</v>
      </c>
      <c r="G61" s="694">
        <f t="shared" si="5"/>
        <v>4</v>
      </c>
      <c r="H61" s="695">
        <f t="shared" si="3"/>
        <v>9.3516938255441511E-5</v>
      </c>
      <c r="I61" s="175"/>
      <c r="J61" s="21"/>
      <c r="K61" s="176"/>
      <c r="M61" s="198"/>
      <c r="N61" s="13"/>
      <c r="O61" s="199"/>
      <c r="P61" s="200"/>
      <c r="Q61" s="199"/>
      <c r="R61" s="21"/>
    </row>
    <row r="62" spans="1:18">
      <c r="A62" s="182"/>
      <c r="B62" s="14"/>
      <c r="C62" s="13"/>
      <c r="D62" s="691" t="s">
        <v>613</v>
      </c>
      <c r="E62" s="692">
        <f t="shared" si="4"/>
        <v>581644.27</v>
      </c>
      <c r="F62" s="693">
        <f t="shared" si="2"/>
        <v>7.3600074728212453E-4</v>
      </c>
      <c r="G62" s="694">
        <f t="shared" si="5"/>
        <v>6</v>
      </c>
      <c r="H62" s="695">
        <f t="shared" si="3"/>
        <v>1.4027540738316229E-4</v>
      </c>
      <c r="I62" s="175"/>
      <c r="J62" s="21"/>
      <c r="K62" s="176"/>
      <c r="M62" s="198"/>
      <c r="N62" s="13"/>
      <c r="O62" s="199"/>
      <c r="P62" s="200"/>
      <c r="Q62" s="199"/>
      <c r="R62" s="21"/>
    </row>
    <row r="63" spans="1:18">
      <c r="A63" s="182"/>
      <c r="B63" s="14"/>
      <c r="C63" s="13"/>
      <c r="D63" s="691" t="s">
        <v>614</v>
      </c>
      <c r="E63" s="692">
        <f t="shared" si="4"/>
        <v>496306.37</v>
      </c>
      <c r="F63" s="693">
        <f t="shared" si="2"/>
        <v>6.2801591632782449E-4</v>
      </c>
      <c r="G63" s="694">
        <f t="shared" si="5"/>
        <v>5</v>
      </c>
      <c r="H63" s="695">
        <f t="shared" si="3"/>
        <v>1.1689617281930189E-4</v>
      </c>
      <c r="I63" s="175"/>
      <c r="J63" s="21"/>
      <c r="K63" s="176"/>
      <c r="M63" s="198"/>
      <c r="N63" s="13"/>
      <c r="O63" s="199"/>
      <c r="P63" s="200"/>
      <c r="Q63" s="199"/>
      <c r="R63" s="21"/>
    </row>
    <row r="64" spans="1:18" ht="13" thickBot="1">
      <c r="A64" s="182"/>
      <c r="B64" s="14"/>
      <c r="C64" s="13"/>
      <c r="D64" s="691" t="s">
        <v>615</v>
      </c>
      <c r="E64" s="692">
        <f t="shared" si="4"/>
        <v>1398317.45</v>
      </c>
      <c r="F64" s="693">
        <f t="shared" si="2"/>
        <v>1.7694022639260845E-3</v>
      </c>
      <c r="G64" s="694">
        <f t="shared" si="5"/>
        <v>13</v>
      </c>
      <c r="H64" s="695">
        <f t="shared" si="3"/>
        <v>3.0393004933018496E-4</v>
      </c>
      <c r="I64" s="175"/>
      <c r="J64" s="21"/>
      <c r="K64" s="176"/>
      <c r="M64" s="198"/>
      <c r="N64" s="13"/>
      <c r="O64" s="199"/>
      <c r="P64" s="200"/>
      <c r="Q64" s="199"/>
      <c r="R64" s="21"/>
    </row>
    <row r="65" spans="1:18" ht="14" thickTop="1" thickBot="1">
      <c r="A65" s="182"/>
      <c r="B65" s="205"/>
      <c r="C65" s="234"/>
      <c r="D65" s="699" t="s">
        <v>36</v>
      </c>
      <c r="E65" s="700">
        <f>SUM(E14:E64)</f>
        <v>790276738.37</v>
      </c>
      <c r="F65" s="701">
        <f>SUM(F14:F64)</f>
        <v>1</v>
      </c>
      <c r="G65" s="702">
        <f>SUM(G14:G64)</f>
        <v>42773</v>
      </c>
      <c r="H65" s="703">
        <f>SUM(H14:H64)</f>
        <v>0.99999999999999956</v>
      </c>
      <c r="I65" s="175"/>
      <c r="J65" s="21"/>
      <c r="K65" s="176"/>
      <c r="M65" s="704"/>
      <c r="N65" s="705"/>
      <c r="O65" s="706"/>
      <c r="P65" s="707"/>
      <c r="Q65" s="706"/>
      <c r="R65" s="21"/>
    </row>
    <row r="66" spans="1:18" ht="13">
      <c r="A66" s="182"/>
      <c r="B66" s="205"/>
      <c r="C66" s="234"/>
      <c r="D66" s="704"/>
      <c r="E66" s="705"/>
      <c r="F66" s="706"/>
      <c r="G66" s="707"/>
      <c r="H66" s="706"/>
      <c r="I66" s="175"/>
      <c r="J66" s="21"/>
      <c r="K66" s="176"/>
      <c r="M66" s="704"/>
      <c r="N66" s="705"/>
      <c r="O66" s="706"/>
      <c r="P66" s="707"/>
      <c r="Q66" s="706"/>
      <c r="R66" s="21"/>
    </row>
    <row r="67" spans="1:18" ht="13">
      <c r="A67" s="182"/>
      <c r="B67" s="205"/>
      <c r="C67" s="234"/>
      <c r="D67" s="704"/>
      <c r="E67" s="705"/>
      <c r="F67" s="706"/>
      <c r="G67" s="707"/>
      <c r="H67" s="706"/>
      <c r="I67" s="175"/>
      <c r="J67" s="21"/>
      <c r="K67" s="176"/>
      <c r="M67" s="704"/>
      <c r="N67" s="705"/>
      <c r="O67" s="706"/>
      <c r="P67" s="707"/>
      <c r="Q67" s="706"/>
      <c r="R67" s="21"/>
    </row>
    <row r="68" spans="1:18" ht="13.5" thickBot="1">
      <c r="A68" s="182"/>
      <c r="B68" s="211"/>
      <c r="C68" s="234"/>
      <c r="D68" s="580" t="s">
        <v>69</v>
      </c>
      <c r="E68" s="580" t="s">
        <v>59</v>
      </c>
      <c r="F68" s="106"/>
      <c r="G68" s="106"/>
      <c r="H68" s="106"/>
      <c r="I68" s="175"/>
      <c r="J68" s="21"/>
      <c r="K68" s="176"/>
      <c r="M68" s="513"/>
      <c r="N68" s="513"/>
      <c r="O68" s="21"/>
      <c r="P68" s="21"/>
      <c r="Q68" s="21"/>
      <c r="R68" s="21"/>
    </row>
    <row r="69" spans="1:18" ht="13" thickBot="1">
      <c r="A69" s="182"/>
      <c r="B69" s="211"/>
      <c r="C69" s="234"/>
      <c r="D69" s="520" t="s">
        <v>60</v>
      </c>
      <c r="E69" s="521">
        <f>E65/G65</f>
        <v>18476.065236714749</v>
      </c>
      <c r="F69" s="106"/>
      <c r="G69" s="106"/>
      <c r="H69" s="106"/>
      <c r="I69" s="175"/>
      <c r="J69" s="21"/>
      <c r="K69" s="176"/>
      <c r="M69" s="205"/>
      <c r="N69" s="234"/>
      <c r="O69" s="21"/>
      <c r="P69" s="21"/>
      <c r="Q69" s="21"/>
      <c r="R69" s="21"/>
    </row>
    <row r="70" spans="1:18">
      <c r="A70" s="182"/>
      <c r="B70" s="21"/>
      <c r="I70" s="501"/>
      <c r="J70" s="21"/>
      <c r="K70" s="176"/>
      <c r="M70" s="21"/>
      <c r="N70" s="21"/>
      <c r="O70" s="21"/>
      <c r="P70" s="21"/>
      <c r="Q70" s="21"/>
      <c r="R70" s="21"/>
    </row>
    <row r="71" spans="1:18">
      <c r="A71" s="196"/>
      <c r="B71" s="56"/>
      <c r="C71" s="56"/>
      <c r="D71" s="56"/>
      <c r="E71" s="56"/>
      <c r="F71" s="56"/>
      <c r="G71" s="56"/>
      <c r="H71" s="56"/>
      <c r="I71" s="394"/>
      <c r="J71" s="56"/>
      <c r="K71" s="197"/>
      <c r="M71" s="21"/>
      <c r="N71" s="21"/>
      <c r="O71" s="21"/>
      <c r="P71" s="21"/>
      <c r="Q71" s="21"/>
      <c r="R71" s="21"/>
    </row>
    <row r="72" spans="1:18">
      <c r="I72" s="501"/>
      <c r="M72" s="21"/>
      <c r="N72" s="21"/>
      <c r="O72" s="21"/>
      <c r="P72" s="21"/>
      <c r="Q72" s="21"/>
      <c r="R72" s="21"/>
    </row>
    <row r="73" spans="1:18">
      <c r="I73" s="501"/>
      <c r="M73" s="21"/>
      <c r="N73" s="21"/>
      <c r="O73" s="21"/>
      <c r="P73" s="21"/>
      <c r="Q73" s="21"/>
      <c r="R73" s="21"/>
    </row>
    <row r="74" spans="1:18">
      <c r="I74" s="501"/>
      <c r="M74" s="21"/>
      <c r="N74" s="21"/>
      <c r="O74" s="21"/>
      <c r="P74" s="21"/>
      <c r="Q74" s="21"/>
      <c r="R74" s="21"/>
    </row>
    <row r="75" spans="1:18">
      <c r="I75" s="501"/>
      <c r="M75" s="21"/>
      <c r="N75" s="21"/>
      <c r="O75" s="21"/>
      <c r="P75" s="21"/>
      <c r="Q75" s="21"/>
      <c r="R75" s="21"/>
    </row>
    <row r="76" spans="1:18">
      <c r="I76" s="501"/>
      <c r="M76" s="21"/>
      <c r="N76" s="21"/>
      <c r="O76" s="21"/>
      <c r="P76" s="21"/>
      <c r="Q76" s="21"/>
      <c r="R76" s="21"/>
    </row>
    <row r="77" spans="1:18">
      <c r="I77" s="501"/>
      <c r="M77" s="21"/>
      <c r="N77" s="21"/>
      <c r="O77" s="21"/>
      <c r="P77" s="21"/>
      <c r="Q77" s="21"/>
      <c r="R77" s="21"/>
    </row>
    <row r="78" spans="1:18">
      <c r="I78" s="501"/>
      <c r="M78" s="21"/>
      <c r="N78" s="21"/>
      <c r="O78" s="21"/>
      <c r="P78" s="21"/>
      <c r="Q78" s="21"/>
      <c r="R78" s="21"/>
    </row>
    <row r="79" spans="1:18">
      <c r="I79" s="501"/>
      <c r="M79" s="21"/>
      <c r="N79" s="21"/>
      <c r="O79" s="21"/>
      <c r="P79" s="21"/>
      <c r="Q79" s="21"/>
      <c r="R79" s="21"/>
    </row>
    <row r="80" spans="1:18">
      <c r="I80" s="501"/>
      <c r="M80" s="21"/>
      <c r="N80" s="21"/>
      <c r="O80" s="21"/>
      <c r="P80" s="21"/>
      <c r="Q80" s="21"/>
      <c r="R80" s="21"/>
    </row>
    <row r="81" spans="9:18">
      <c r="I81" s="501"/>
      <c r="M81" s="21"/>
      <c r="N81" s="21"/>
      <c r="O81" s="21"/>
      <c r="P81" s="21"/>
      <c r="Q81" s="21"/>
      <c r="R81" s="21"/>
    </row>
    <row r="82" spans="9:18">
      <c r="I82" s="501"/>
      <c r="M82" s="21"/>
      <c r="N82" s="21"/>
      <c r="O82" s="21"/>
      <c r="P82" s="21"/>
      <c r="Q82" s="21"/>
      <c r="R82" s="21"/>
    </row>
    <row r="83" spans="9:18">
      <c r="I83" s="501"/>
      <c r="M83" s="21"/>
      <c r="N83" s="21"/>
      <c r="O83" s="21"/>
      <c r="P83" s="21"/>
      <c r="Q83" s="21"/>
      <c r="R83" s="21"/>
    </row>
    <row r="84" spans="9:18">
      <c r="I84" s="501"/>
      <c r="M84" s="21"/>
      <c r="N84" s="21"/>
      <c r="O84" s="21"/>
      <c r="P84" s="21"/>
      <c r="Q84" s="21"/>
      <c r="R84" s="21"/>
    </row>
    <row r="85" spans="9:18">
      <c r="I85" s="501"/>
      <c r="M85" s="21"/>
      <c r="N85" s="21"/>
      <c r="O85" s="21"/>
      <c r="P85" s="21"/>
      <c r="Q85" s="21"/>
      <c r="R85" s="21"/>
    </row>
    <row r="86" spans="9:18">
      <c r="I86" s="501"/>
      <c r="M86" s="21"/>
      <c r="N86" s="21"/>
      <c r="O86" s="21"/>
      <c r="P86" s="21"/>
      <c r="Q86" s="21"/>
      <c r="R86" s="21"/>
    </row>
    <row r="87" spans="9:18">
      <c r="I87" s="501"/>
      <c r="M87" s="21"/>
      <c r="N87" s="21"/>
      <c r="O87" s="21"/>
      <c r="P87" s="21"/>
      <c r="Q87" s="21"/>
      <c r="R87" s="21"/>
    </row>
    <row r="88" spans="9:18">
      <c r="I88" s="501"/>
      <c r="M88" s="21"/>
      <c r="N88" s="21"/>
      <c r="O88" s="21"/>
      <c r="P88" s="21"/>
      <c r="Q88" s="21"/>
      <c r="R88" s="21"/>
    </row>
    <row r="89" spans="9:18">
      <c r="I89" s="501"/>
      <c r="M89" s="21"/>
      <c r="N89" s="21"/>
      <c r="O89" s="21"/>
      <c r="P89" s="21"/>
      <c r="Q89" s="21"/>
      <c r="R89" s="21"/>
    </row>
    <row r="90" spans="9:18">
      <c r="I90" s="501"/>
      <c r="M90" s="21"/>
      <c r="N90" s="21"/>
      <c r="O90" s="21"/>
      <c r="P90" s="21"/>
      <c r="Q90" s="21"/>
      <c r="R90" s="21"/>
    </row>
    <row r="91" spans="9:18">
      <c r="I91" s="501"/>
      <c r="M91" s="21"/>
      <c r="N91" s="21"/>
      <c r="O91" s="21"/>
      <c r="P91" s="21"/>
      <c r="Q91" s="21"/>
      <c r="R91" s="21"/>
    </row>
    <row r="92" spans="9:18">
      <c r="I92" s="501"/>
      <c r="M92" s="21"/>
      <c r="N92" s="21"/>
      <c r="O92" s="21"/>
      <c r="P92" s="21"/>
      <c r="Q92" s="21"/>
      <c r="R92" s="21"/>
    </row>
    <row r="93" spans="9:18">
      <c r="I93" s="501"/>
      <c r="M93" s="21"/>
      <c r="N93" s="21"/>
      <c r="O93" s="21"/>
      <c r="P93" s="21"/>
      <c r="Q93" s="21"/>
      <c r="R93" s="21"/>
    </row>
    <row r="94" spans="9:18">
      <c r="I94" s="501"/>
      <c r="M94" s="21"/>
      <c r="N94" s="21"/>
      <c r="O94" s="21"/>
      <c r="P94" s="21"/>
      <c r="Q94" s="21"/>
      <c r="R94" s="21"/>
    </row>
    <row r="95" spans="9:18">
      <c r="I95" s="501"/>
      <c r="M95" s="21"/>
      <c r="N95" s="21"/>
      <c r="O95" s="21"/>
      <c r="P95" s="21"/>
      <c r="Q95" s="21"/>
      <c r="R95" s="21"/>
    </row>
    <row r="96" spans="9:18">
      <c r="I96" s="501"/>
      <c r="M96" s="21"/>
      <c r="N96" s="21"/>
      <c r="O96" s="21"/>
      <c r="P96" s="21"/>
      <c r="Q96" s="21"/>
      <c r="R96" s="21"/>
    </row>
    <row r="97" spans="9:18">
      <c r="I97" s="501"/>
      <c r="M97" s="21"/>
      <c r="N97" s="21"/>
      <c r="O97" s="21"/>
      <c r="P97" s="21"/>
      <c r="Q97" s="21"/>
      <c r="R97" s="21"/>
    </row>
    <row r="98" spans="9:18">
      <c r="I98" s="501"/>
      <c r="M98" s="21"/>
      <c r="N98" s="21"/>
      <c r="O98" s="21"/>
      <c r="P98" s="21"/>
      <c r="Q98" s="21"/>
      <c r="R98" s="21"/>
    </row>
    <row r="99" spans="9:18">
      <c r="I99" s="501"/>
      <c r="M99" s="21"/>
      <c r="N99" s="21"/>
      <c r="O99" s="21"/>
      <c r="P99" s="21"/>
      <c r="Q99" s="21"/>
      <c r="R99" s="21"/>
    </row>
    <row r="100" spans="9:18">
      <c r="I100" s="501"/>
      <c r="M100" s="21"/>
      <c r="N100" s="21"/>
      <c r="O100" s="21"/>
      <c r="P100" s="21"/>
      <c r="Q100" s="21"/>
      <c r="R100" s="21"/>
    </row>
    <row r="101" spans="9:18">
      <c r="I101" s="501"/>
      <c r="M101" s="21"/>
      <c r="N101" s="21"/>
      <c r="O101" s="21"/>
      <c r="P101" s="21"/>
      <c r="Q101" s="21"/>
      <c r="R101" s="21"/>
    </row>
    <row r="102" spans="9:18">
      <c r="I102" s="501"/>
      <c r="M102" s="21"/>
      <c r="N102" s="21"/>
      <c r="O102" s="21"/>
      <c r="P102" s="21"/>
      <c r="Q102" s="21"/>
      <c r="R102" s="21"/>
    </row>
    <row r="103" spans="9:18">
      <c r="I103" s="501"/>
      <c r="M103" s="21"/>
      <c r="N103" s="21"/>
      <c r="O103" s="21"/>
      <c r="P103" s="21"/>
      <c r="Q103" s="21"/>
      <c r="R103" s="21"/>
    </row>
    <row r="104" spans="9:18">
      <c r="I104" s="501"/>
      <c r="M104" s="21"/>
      <c r="N104" s="21"/>
      <c r="O104" s="21"/>
      <c r="P104" s="21"/>
      <c r="Q104" s="21"/>
      <c r="R104" s="21"/>
    </row>
    <row r="105" spans="9:18">
      <c r="I105" s="501"/>
      <c r="M105" s="21"/>
      <c r="N105" s="21"/>
      <c r="O105" s="21"/>
      <c r="P105" s="21"/>
      <c r="Q105" s="21"/>
      <c r="R105" s="21"/>
    </row>
    <row r="106" spans="9:18">
      <c r="I106" s="501"/>
      <c r="M106" s="21"/>
      <c r="N106" s="21"/>
      <c r="O106" s="21"/>
      <c r="P106" s="21"/>
      <c r="Q106" s="21"/>
      <c r="R106" s="21"/>
    </row>
    <row r="107" spans="9:18">
      <c r="I107" s="501"/>
      <c r="M107" s="21"/>
      <c r="N107" s="21"/>
      <c r="O107" s="21"/>
      <c r="P107" s="21"/>
      <c r="Q107" s="21"/>
      <c r="R107" s="21"/>
    </row>
    <row r="108" spans="9:18">
      <c r="I108" s="501"/>
      <c r="M108" s="21"/>
      <c r="N108" s="21"/>
      <c r="O108" s="21"/>
      <c r="P108" s="21"/>
      <c r="Q108" s="21"/>
      <c r="R108" s="21"/>
    </row>
    <row r="109" spans="9:18">
      <c r="I109" s="501"/>
      <c r="M109" s="21"/>
      <c r="N109" s="21"/>
      <c r="O109" s="21"/>
      <c r="P109" s="21"/>
      <c r="Q109" s="21"/>
      <c r="R109" s="21"/>
    </row>
    <row r="110" spans="9:18">
      <c r="I110" s="501"/>
      <c r="M110" s="21"/>
      <c r="N110" s="21"/>
      <c r="O110" s="21"/>
      <c r="P110" s="21"/>
      <c r="Q110" s="21"/>
      <c r="R110" s="21"/>
    </row>
    <row r="111" spans="9:18">
      <c r="I111" s="501"/>
      <c r="M111" s="21"/>
      <c r="N111" s="21"/>
      <c r="O111" s="21"/>
      <c r="P111" s="21"/>
      <c r="Q111" s="21"/>
      <c r="R111" s="21"/>
    </row>
    <row r="112" spans="9:18">
      <c r="I112" s="501"/>
      <c r="M112" s="21"/>
      <c r="N112" s="21"/>
      <c r="O112" s="21"/>
      <c r="P112" s="21"/>
      <c r="Q112" s="21"/>
      <c r="R112" s="21"/>
    </row>
    <row r="113" spans="9:18">
      <c r="I113" s="501"/>
      <c r="M113" s="21"/>
      <c r="N113" s="21"/>
      <c r="O113" s="21"/>
      <c r="P113" s="21"/>
      <c r="Q113" s="21"/>
      <c r="R113" s="21"/>
    </row>
    <row r="114" spans="9:18">
      <c r="I114" s="501"/>
      <c r="M114" s="21"/>
      <c r="N114" s="21"/>
      <c r="O114" s="21"/>
      <c r="P114" s="21"/>
      <c r="Q114" s="21"/>
      <c r="R114" s="21"/>
    </row>
    <row r="115" spans="9:18">
      <c r="I115" s="501"/>
      <c r="M115" s="21"/>
      <c r="N115" s="21"/>
      <c r="O115" s="21"/>
      <c r="P115" s="21"/>
      <c r="Q115" s="21"/>
      <c r="R115" s="21"/>
    </row>
    <row r="116" spans="9:18">
      <c r="I116" s="501"/>
      <c r="M116" s="21"/>
      <c r="N116" s="21"/>
      <c r="O116" s="21"/>
      <c r="P116" s="21"/>
      <c r="Q116" s="21"/>
      <c r="R116" s="21"/>
    </row>
    <row r="117" spans="9:18">
      <c r="I117" s="501"/>
      <c r="M117" s="21"/>
      <c r="N117" s="21"/>
      <c r="O117" s="21"/>
      <c r="P117" s="21"/>
      <c r="Q117" s="21"/>
      <c r="R117" s="21"/>
    </row>
    <row r="118" spans="9:18">
      <c r="I118" s="501"/>
      <c r="M118" s="21"/>
      <c r="N118" s="21"/>
      <c r="O118" s="21"/>
      <c r="P118" s="21"/>
      <c r="Q118" s="21"/>
      <c r="R118" s="21"/>
    </row>
    <row r="119" spans="9:18">
      <c r="I119" s="501"/>
      <c r="M119" s="21"/>
      <c r="N119" s="21"/>
      <c r="O119" s="21"/>
      <c r="P119" s="21"/>
      <c r="Q119" s="21"/>
      <c r="R119" s="21"/>
    </row>
    <row r="120" spans="9:18">
      <c r="I120" s="501"/>
      <c r="M120" s="21"/>
      <c r="N120" s="21"/>
      <c r="O120" s="21"/>
      <c r="P120" s="21"/>
      <c r="Q120" s="21"/>
      <c r="R120" s="21"/>
    </row>
    <row r="121" spans="9:18">
      <c r="I121" s="501"/>
      <c r="M121" s="21"/>
      <c r="N121" s="21"/>
      <c r="O121" s="21"/>
      <c r="P121" s="21"/>
      <c r="Q121" s="21"/>
      <c r="R121" s="21"/>
    </row>
    <row r="122" spans="9:18">
      <c r="I122" s="501"/>
      <c r="M122" s="21"/>
      <c r="N122" s="21"/>
      <c r="O122" s="21"/>
      <c r="P122" s="21"/>
      <c r="Q122" s="21"/>
      <c r="R122" s="21"/>
    </row>
    <row r="123" spans="9:18">
      <c r="I123" s="501"/>
      <c r="M123" s="21"/>
      <c r="N123" s="21"/>
      <c r="O123" s="21"/>
      <c r="P123" s="21"/>
      <c r="Q123" s="21"/>
      <c r="R123" s="21"/>
    </row>
    <row r="124" spans="9:18">
      <c r="I124" s="501"/>
      <c r="M124" s="21"/>
      <c r="N124" s="21"/>
      <c r="O124" s="21"/>
      <c r="P124" s="21"/>
      <c r="Q124" s="21"/>
      <c r="R124" s="21"/>
    </row>
    <row r="125" spans="9:18">
      <c r="I125" s="501"/>
      <c r="M125" s="21"/>
      <c r="N125" s="21"/>
      <c r="O125" s="21"/>
      <c r="P125" s="21"/>
      <c r="Q125" s="21"/>
      <c r="R125" s="21"/>
    </row>
    <row r="126" spans="9:18">
      <c r="I126" s="501"/>
      <c r="M126" s="21"/>
      <c r="N126" s="21"/>
      <c r="O126" s="21"/>
      <c r="P126" s="21"/>
      <c r="Q126" s="21"/>
      <c r="R126" s="21"/>
    </row>
    <row r="127" spans="9:18">
      <c r="I127" s="501"/>
      <c r="M127" s="21"/>
      <c r="N127" s="21"/>
      <c r="O127" s="21"/>
      <c r="P127" s="21"/>
      <c r="Q127" s="21"/>
      <c r="R127" s="21"/>
    </row>
    <row r="128" spans="9:18">
      <c r="I128" s="501"/>
      <c r="M128" s="21"/>
      <c r="N128" s="21"/>
      <c r="O128" s="21"/>
      <c r="P128" s="21"/>
      <c r="Q128" s="21"/>
      <c r="R128" s="21"/>
    </row>
    <row r="129" spans="9:18">
      <c r="I129" s="501"/>
      <c r="M129" s="21"/>
      <c r="N129" s="21"/>
      <c r="O129" s="21"/>
      <c r="P129" s="21"/>
      <c r="Q129" s="21"/>
      <c r="R129" s="21"/>
    </row>
    <row r="130" spans="9:18">
      <c r="I130" s="501"/>
      <c r="M130" s="21"/>
      <c r="N130" s="21"/>
      <c r="O130" s="21"/>
      <c r="P130" s="21"/>
      <c r="Q130" s="21"/>
      <c r="R130" s="21"/>
    </row>
    <row r="131" spans="9:18">
      <c r="I131" s="501"/>
      <c r="M131" s="21"/>
      <c r="N131" s="21"/>
      <c r="O131" s="21"/>
      <c r="P131" s="21"/>
      <c r="Q131" s="21"/>
      <c r="R131" s="21"/>
    </row>
    <row r="132" spans="9:18">
      <c r="I132" s="501"/>
      <c r="M132" s="21"/>
      <c r="N132" s="21"/>
      <c r="O132" s="21"/>
      <c r="P132" s="21"/>
      <c r="Q132" s="21"/>
      <c r="R132" s="21"/>
    </row>
    <row r="133" spans="9:18">
      <c r="I133" s="501"/>
      <c r="M133" s="21"/>
      <c r="N133" s="21"/>
      <c r="O133" s="21"/>
      <c r="P133" s="21"/>
      <c r="Q133" s="21"/>
      <c r="R133" s="21"/>
    </row>
    <row r="134" spans="9:18">
      <c r="I134" s="501"/>
      <c r="M134" s="21"/>
      <c r="N134" s="21"/>
      <c r="O134" s="21"/>
      <c r="P134" s="21"/>
      <c r="Q134" s="21"/>
      <c r="R134" s="21"/>
    </row>
    <row r="135" spans="9:18">
      <c r="I135" s="501"/>
      <c r="M135" s="21"/>
      <c r="N135" s="21"/>
      <c r="O135" s="21"/>
      <c r="P135" s="21"/>
      <c r="Q135" s="21"/>
      <c r="R135" s="21"/>
    </row>
    <row r="136" spans="9:18">
      <c r="I136" s="501"/>
      <c r="M136" s="21"/>
      <c r="N136" s="21"/>
      <c r="O136" s="21"/>
      <c r="P136" s="21"/>
      <c r="Q136" s="21"/>
      <c r="R136" s="21"/>
    </row>
    <row r="137" spans="9:18">
      <c r="I137" s="501"/>
      <c r="M137" s="21"/>
      <c r="N137" s="21"/>
      <c r="O137" s="21"/>
      <c r="P137" s="21"/>
      <c r="Q137" s="21"/>
      <c r="R137" s="21"/>
    </row>
    <row r="138" spans="9:18">
      <c r="I138" s="501"/>
      <c r="M138" s="21"/>
      <c r="N138" s="21"/>
      <c r="O138" s="21"/>
      <c r="P138" s="21"/>
      <c r="Q138" s="21"/>
      <c r="R138" s="21"/>
    </row>
    <row r="139" spans="9:18">
      <c r="I139" s="501"/>
      <c r="M139" s="21"/>
      <c r="N139" s="21"/>
      <c r="O139" s="21"/>
      <c r="P139" s="21"/>
      <c r="Q139" s="21"/>
      <c r="R139" s="21"/>
    </row>
    <row r="140" spans="9:18">
      <c r="I140" s="501"/>
      <c r="M140" s="21"/>
      <c r="N140" s="21"/>
      <c r="O140" s="21"/>
      <c r="P140" s="21"/>
      <c r="Q140" s="21"/>
      <c r="R140" s="21"/>
    </row>
    <row r="141" spans="9:18">
      <c r="I141" s="501"/>
      <c r="M141" s="21"/>
      <c r="N141" s="21"/>
      <c r="O141" s="21"/>
      <c r="P141" s="21"/>
      <c r="Q141" s="21"/>
      <c r="R141" s="21"/>
    </row>
    <row r="142" spans="9:18">
      <c r="I142" s="501"/>
      <c r="M142" s="21"/>
      <c r="N142" s="21"/>
      <c r="O142" s="21"/>
      <c r="P142" s="21"/>
      <c r="Q142" s="21"/>
      <c r="R142" s="21"/>
    </row>
    <row r="143" spans="9:18">
      <c r="I143" s="501"/>
      <c r="M143" s="21"/>
      <c r="N143" s="21"/>
      <c r="O143" s="21"/>
      <c r="P143" s="21"/>
      <c r="Q143" s="21"/>
      <c r="R143" s="21"/>
    </row>
    <row r="144" spans="9:18">
      <c r="I144" s="501"/>
      <c r="M144" s="21"/>
      <c r="N144" s="21"/>
      <c r="O144" s="21"/>
      <c r="P144" s="21"/>
      <c r="Q144" s="21"/>
      <c r="R144" s="21"/>
    </row>
    <row r="145" spans="9:18">
      <c r="I145" s="501"/>
      <c r="M145" s="21"/>
      <c r="N145" s="21"/>
      <c r="O145" s="21"/>
      <c r="P145" s="21"/>
      <c r="Q145" s="21"/>
      <c r="R145" s="21"/>
    </row>
    <row r="146" spans="9:18">
      <c r="I146" s="501"/>
      <c r="M146" s="21"/>
      <c r="N146" s="21"/>
      <c r="O146" s="21"/>
      <c r="P146" s="21"/>
      <c r="Q146" s="21"/>
      <c r="R146" s="21"/>
    </row>
    <row r="147" spans="9:18">
      <c r="I147" s="501"/>
      <c r="M147" s="21"/>
      <c r="N147" s="21"/>
      <c r="O147" s="21"/>
      <c r="P147" s="21"/>
      <c r="Q147" s="21"/>
      <c r="R147" s="21"/>
    </row>
    <row r="148" spans="9:18">
      <c r="I148" s="501"/>
      <c r="M148" s="21"/>
      <c r="N148" s="21"/>
      <c r="O148" s="21"/>
      <c r="P148" s="21"/>
      <c r="Q148" s="21"/>
      <c r="R148" s="21"/>
    </row>
    <row r="149" spans="9:18">
      <c r="I149" s="501"/>
      <c r="M149" s="21"/>
      <c r="N149" s="21"/>
      <c r="O149" s="21"/>
      <c r="P149" s="21"/>
      <c r="Q149" s="21"/>
      <c r="R149" s="21"/>
    </row>
    <row r="150" spans="9:18">
      <c r="I150" s="501"/>
      <c r="M150" s="21"/>
      <c r="N150" s="21"/>
      <c r="O150" s="21"/>
      <c r="P150" s="21"/>
      <c r="Q150" s="21"/>
      <c r="R150" s="21"/>
    </row>
    <row r="151" spans="9:18">
      <c r="I151" s="501"/>
      <c r="M151" s="21"/>
      <c r="N151" s="21"/>
      <c r="O151" s="21"/>
      <c r="P151" s="21"/>
      <c r="Q151" s="21"/>
      <c r="R151" s="21"/>
    </row>
    <row r="152" spans="9:18">
      <c r="I152" s="501"/>
      <c r="M152" s="21"/>
      <c r="N152" s="21"/>
      <c r="O152" s="21"/>
      <c r="P152" s="21"/>
      <c r="Q152" s="21"/>
      <c r="R152" s="21"/>
    </row>
    <row r="153" spans="9:18">
      <c r="I153" s="501"/>
      <c r="M153" s="21"/>
      <c r="N153" s="21"/>
      <c r="O153" s="21"/>
      <c r="P153" s="21"/>
      <c r="Q153" s="21"/>
      <c r="R153" s="21"/>
    </row>
    <row r="154" spans="9:18">
      <c r="I154" s="501"/>
      <c r="M154" s="21"/>
      <c r="N154" s="21"/>
      <c r="O154" s="21"/>
      <c r="P154" s="21"/>
      <c r="Q154" s="21"/>
      <c r="R154" s="21"/>
    </row>
    <row r="155" spans="9:18">
      <c r="I155" s="501"/>
      <c r="M155" s="21"/>
      <c r="N155" s="21"/>
      <c r="O155" s="21"/>
      <c r="P155" s="21"/>
      <c r="Q155" s="21"/>
      <c r="R155" s="21"/>
    </row>
    <row r="156" spans="9:18">
      <c r="I156" s="501"/>
      <c r="M156" s="21"/>
      <c r="N156" s="21"/>
      <c r="O156" s="21"/>
      <c r="P156" s="21"/>
      <c r="Q156" s="21"/>
      <c r="R156" s="21"/>
    </row>
    <row r="157" spans="9:18">
      <c r="I157" s="501"/>
      <c r="M157" s="21"/>
      <c r="N157" s="21"/>
      <c r="O157" s="21"/>
      <c r="P157" s="21"/>
      <c r="Q157" s="21"/>
      <c r="R157" s="21"/>
    </row>
    <row r="158" spans="9:18">
      <c r="I158" s="501"/>
      <c r="M158" s="21"/>
      <c r="N158" s="21"/>
      <c r="O158" s="21"/>
      <c r="P158" s="21"/>
      <c r="Q158" s="21"/>
      <c r="R158" s="21"/>
    </row>
    <row r="159" spans="9:18">
      <c r="I159" s="501"/>
      <c r="M159" s="21"/>
      <c r="N159" s="21"/>
      <c r="O159" s="21"/>
      <c r="P159" s="21"/>
      <c r="Q159" s="21"/>
      <c r="R159" s="21"/>
    </row>
    <row r="160" spans="9:18">
      <c r="I160" s="501"/>
      <c r="M160" s="21"/>
      <c r="N160" s="21"/>
      <c r="O160" s="21"/>
      <c r="P160" s="21"/>
      <c r="Q160" s="21"/>
      <c r="R160" s="21"/>
    </row>
    <row r="161" spans="9:18">
      <c r="I161" s="501"/>
      <c r="M161" s="21"/>
      <c r="N161" s="21"/>
      <c r="O161" s="21"/>
      <c r="P161" s="21"/>
      <c r="Q161" s="21"/>
      <c r="R161" s="21"/>
    </row>
    <row r="162" spans="9:18">
      <c r="I162" s="501"/>
      <c r="M162" s="21"/>
      <c r="N162" s="21"/>
      <c r="O162" s="21"/>
      <c r="P162" s="21"/>
      <c r="Q162" s="21"/>
      <c r="R162" s="21"/>
    </row>
    <row r="163" spans="9:18">
      <c r="I163" s="501"/>
      <c r="M163" s="21"/>
      <c r="N163" s="21"/>
      <c r="O163" s="21"/>
      <c r="P163" s="21"/>
      <c r="Q163" s="21"/>
      <c r="R163" s="21"/>
    </row>
    <row r="164" spans="9:18">
      <c r="I164" s="501"/>
      <c r="M164" s="21"/>
      <c r="N164" s="21"/>
      <c r="O164" s="21"/>
      <c r="P164" s="21"/>
      <c r="Q164" s="21"/>
      <c r="R164" s="21"/>
    </row>
    <row r="165" spans="9:18">
      <c r="I165" s="501"/>
      <c r="M165" s="21"/>
      <c r="N165" s="21"/>
      <c r="O165" s="21"/>
      <c r="P165" s="21"/>
      <c r="Q165" s="21"/>
      <c r="R165" s="21"/>
    </row>
    <row r="166" spans="9:18">
      <c r="I166" s="501"/>
      <c r="M166" s="21"/>
      <c r="N166" s="21"/>
      <c r="O166" s="21"/>
      <c r="P166" s="21"/>
      <c r="Q166" s="21"/>
      <c r="R166" s="21"/>
    </row>
    <row r="167" spans="9:18">
      <c r="I167" s="501"/>
      <c r="M167" s="21"/>
      <c r="N167" s="21"/>
      <c r="O167" s="21"/>
      <c r="P167" s="21"/>
      <c r="Q167" s="21"/>
      <c r="R167" s="21"/>
    </row>
    <row r="168" spans="9:18">
      <c r="I168" s="501"/>
      <c r="M168" s="21"/>
      <c r="N168" s="21"/>
      <c r="O168" s="21"/>
      <c r="P168" s="21"/>
      <c r="Q168" s="21"/>
      <c r="R168" s="21"/>
    </row>
    <row r="169" spans="9:18">
      <c r="I169" s="501"/>
      <c r="M169" s="21"/>
      <c r="N169" s="21"/>
      <c r="O169" s="21"/>
      <c r="P169" s="21"/>
      <c r="Q169" s="21"/>
      <c r="R169" s="21"/>
    </row>
    <row r="170" spans="9:18">
      <c r="I170" s="501"/>
      <c r="M170" s="21"/>
      <c r="N170" s="21"/>
      <c r="O170" s="21"/>
      <c r="P170" s="21"/>
      <c r="Q170" s="21"/>
      <c r="R170" s="21"/>
    </row>
    <row r="171" spans="9:18">
      <c r="I171" s="501"/>
      <c r="M171" s="21"/>
      <c r="N171" s="21"/>
      <c r="O171" s="21"/>
      <c r="P171" s="21"/>
      <c r="Q171" s="21"/>
      <c r="R171" s="21"/>
    </row>
    <row r="172" spans="9:18">
      <c r="I172" s="501"/>
      <c r="M172" s="21"/>
      <c r="N172" s="21"/>
      <c r="O172" s="21"/>
      <c r="P172" s="21"/>
      <c r="Q172" s="21"/>
      <c r="R172" s="21"/>
    </row>
    <row r="173" spans="9:18">
      <c r="I173" s="501"/>
      <c r="M173" s="21"/>
      <c r="N173" s="21"/>
      <c r="O173" s="21"/>
      <c r="P173" s="21"/>
      <c r="Q173" s="21"/>
      <c r="R173" s="21"/>
    </row>
    <row r="174" spans="9:18">
      <c r="I174" s="501"/>
      <c r="M174" s="21"/>
      <c r="N174" s="21"/>
      <c r="O174" s="21"/>
      <c r="P174" s="21"/>
      <c r="Q174" s="21"/>
      <c r="R174" s="21"/>
    </row>
    <row r="175" spans="9:18">
      <c r="I175" s="501"/>
      <c r="M175" s="21"/>
      <c r="N175" s="21"/>
      <c r="O175" s="21"/>
      <c r="P175" s="21"/>
      <c r="Q175" s="21"/>
      <c r="R175" s="21"/>
    </row>
    <row r="176" spans="9:18">
      <c r="I176" s="501"/>
      <c r="M176" s="21"/>
      <c r="N176" s="21"/>
      <c r="O176" s="21"/>
      <c r="P176" s="21"/>
      <c r="Q176" s="21"/>
      <c r="R176" s="21"/>
    </row>
    <row r="177" spans="9:18">
      <c r="I177" s="501"/>
      <c r="M177" s="21"/>
      <c r="N177" s="21"/>
      <c r="O177" s="21"/>
      <c r="P177" s="21"/>
      <c r="Q177" s="21"/>
      <c r="R177" s="21"/>
    </row>
    <row r="178" spans="9:18">
      <c r="I178" s="501"/>
      <c r="M178" s="21"/>
      <c r="N178" s="21"/>
      <c r="O178" s="21"/>
      <c r="P178" s="21"/>
      <c r="Q178" s="21"/>
      <c r="R178" s="21"/>
    </row>
    <row r="179" spans="9:18">
      <c r="I179" s="501"/>
      <c r="M179" s="21"/>
      <c r="N179" s="21"/>
      <c r="O179" s="21"/>
      <c r="P179" s="21"/>
      <c r="Q179" s="21"/>
      <c r="R179" s="21"/>
    </row>
    <row r="180" spans="9:18">
      <c r="I180" s="501"/>
      <c r="M180" s="21"/>
      <c r="N180" s="21"/>
      <c r="O180" s="21"/>
      <c r="P180" s="21"/>
      <c r="Q180" s="21"/>
      <c r="R180" s="21"/>
    </row>
    <row r="181" spans="9:18">
      <c r="I181" s="501"/>
      <c r="M181" s="21"/>
      <c r="N181" s="21"/>
      <c r="O181" s="21"/>
      <c r="P181" s="21"/>
      <c r="Q181" s="21"/>
      <c r="R181" s="21"/>
    </row>
    <row r="182" spans="9:18">
      <c r="I182" s="501"/>
      <c r="M182" s="21"/>
      <c r="N182" s="21"/>
      <c r="O182" s="21"/>
      <c r="P182" s="21"/>
      <c r="Q182" s="21"/>
      <c r="R182" s="21"/>
    </row>
    <row r="183" spans="9:18">
      <c r="I183" s="501"/>
      <c r="M183" s="21"/>
      <c r="N183" s="21"/>
      <c r="O183" s="21"/>
      <c r="P183" s="21"/>
      <c r="Q183" s="21"/>
      <c r="R183" s="21"/>
    </row>
    <row r="184" spans="9:18">
      <c r="I184" s="501"/>
      <c r="M184" s="21"/>
      <c r="N184" s="21"/>
      <c r="O184" s="21"/>
      <c r="P184" s="21"/>
      <c r="Q184" s="21"/>
      <c r="R184" s="21"/>
    </row>
    <row r="185" spans="9:18">
      <c r="I185" s="501"/>
      <c r="M185" s="21"/>
      <c r="N185" s="21"/>
      <c r="O185" s="21"/>
      <c r="P185" s="21"/>
      <c r="Q185" s="21"/>
      <c r="R185" s="21"/>
    </row>
    <row r="186" spans="9:18">
      <c r="I186" s="501"/>
      <c r="M186" s="21"/>
      <c r="N186" s="21"/>
      <c r="O186" s="21"/>
      <c r="P186" s="21"/>
      <c r="Q186" s="21"/>
      <c r="R186" s="21"/>
    </row>
    <row r="187" spans="9:18">
      <c r="I187" s="501"/>
      <c r="M187" s="21"/>
      <c r="N187" s="21"/>
      <c r="O187" s="21"/>
      <c r="P187" s="21"/>
      <c r="Q187" s="21"/>
      <c r="R187" s="21"/>
    </row>
    <row r="188" spans="9:18">
      <c r="I188" s="501"/>
      <c r="M188" s="21"/>
      <c r="N188" s="21"/>
      <c r="O188" s="21"/>
      <c r="P188" s="21"/>
      <c r="Q188" s="21"/>
      <c r="R188" s="21"/>
    </row>
    <row r="189" spans="9:18">
      <c r="I189" s="501"/>
      <c r="M189" s="21"/>
      <c r="N189" s="21"/>
      <c r="O189" s="21"/>
      <c r="P189" s="21"/>
      <c r="Q189" s="21"/>
      <c r="R189" s="21"/>
    </row>
    <row r="190" spans="9:18">
      <c r="I190" s="501"/>
      <c r="M190" s="21"/>
      <c r="N190" s="21"/>
      <c r="O190" s="21"/>
      <c r="P190" s="21"/>
      <c r="Q190" s="21"/>
      <c r="R190" s="21"/>
    </row>
    <row r="191" spans="9:18">
      <c r="I191" s="501"/>
      <c r="M191" s="21"/>
      <c r="N191" s="21"/>
      <c r="O191" s="21"/>
      <c r="P191" s="21"/>
      <c r="Q191" s="21"/>
      <c r="R191" s="21"/>
    </row>
    <row r="192" spans="9:18">
      <c r="I192" s="501"/>
      <c r="M192" s="21"/>
      <c r="N192" s="21"/>
      <c r="O192" s="21"/>
      <c r="P192" s="21"/>
      <c r="Q192" s="21"/>
      <c r="R192" s="21"/>
    </row>
    <row r="193" spans="9:18">
      <c r="I193" s="501"/>
      <c r="M193" s="21"/>
      <c r="N193" s="21"/>
      <c r="O193" s="21"/>
      <c r="P193" s="21"/>
      <c r="Q193" s="21"/>
      <c r="R193" s="21"/>
    </row>
    <row r="194" spans="9:18">
      <c r="I194" s="501"/>
      <c r="M194" s="21"/>
      <c r="N194" s="21"/>
      <c r="O194" s="21"/>
      <c r="P194" s="21"/>
      <c r="Q194" s="21"/>
      <c r="R194" s="21"/>
    </row>
    <row r="195" spans="9:18">
      <c r="I195" s="501"/>
      <c r="M195" s="21"/>
      <c r="N195" s="21"/>
      <c r="O195" s="21"/>
      <c r="P195" s="21"/>
      <c r="Q195" s="21"/>
      <c r="R195" s="21"/>
    </row>
    <row r="196" spans="9:18">
      <c r="I196" s="501"/>
      <c r="M196" s="21"/>
      <c r="N196" s="21"/>
      <c r="O196" s="21"/>
      <c r="P196" s="21"/>
      <c r="Q196" s="21"/>
      <c r="R196" s="21"/>
    </row>
    <row r="197" spans="9:18">
      <c r="I197" s="501"/>
      <c r="M197" s="21"/>
      <c r="N197" s="21"/>
      <c r="O197" s="21"/>
      <c r="P197" s="21"/>
      <c r="Q197" s="21"/>
      <c r="R197" s="21"/>
    </row>
    <row r="198" spans="9:18">
      <c r="I198" s="501"/>
      <c r="M198" s="21"/>
      <c r="N198" s="21"/>
      <c r="O198" s="21"/>
      <c r="P198" s="21"/>
      <c r="Q198" s="21"/>
      <c r="R198" s="21"/>
    </row>
    <row r="199" spans="9:18">
      <c r="I199" s="501"/>
      <c r="M199" s="21"/>
      <c r="N199" s="21"/>
      <c r="O199" s="21"/>
      <c r="P199" s="21"/>
      <c r="Q199" s="21"/>
      <c r="R199" s="21"/>
    </row>
    <row r="200" spans="9:18">
      <c r="I200" s="501"/>
      <c r="M200" s="21"/>
      <c r="N200" s="21"/>
      <c r="O200" s="21"/>
      <c r="P200" s="21"/>
      <c r="Q200" s="21"/>
      <c r="R200" s="21"/>
    </row>
    <row r="201" spans="9:18">
      <c r="I201" s="501"/>
      <c r="M201" s="21"/>
      <c r="N201" s="21"/>
      <c r="O201" s="21"/>
      <c r="P201" s="21"/>
      <c r="Q201" s="21"/>
      <c r="R201" s="21"/>
    </row>
    <row r="202" spans="9:18">
      <c r="I202" s="501"/>
      <c r="M202" s="21"/>
      <c r="N202" s="21"/>
      <c r="O202" s="21"/>
      <c r="P202" s="21"/>
      <c r="Q202" s="21"/>
      <c r="R202" s="21"/>
    </row>
    <row r="203" spans="9:18">
      <c r="I203" s="501"/>
      <c r="M203" s="21"/>
      <c r="N203" s="21"/>
      <c r="O203" s="21"/>
      <c r="P203" s="21"/>
      <c r="Q203" s="21"/>
      <c r="R203" s="21"/>
    </row>
    <row r="204" spans="9:18">
      <c r="I204" s="501"/>
      <c r="M204" s="21"/>
      <c r="N204" s="21"/>
      <c r="O204" s="21"/>
      <c r="P204" s="21"/>
      <c r="Q204" s="21"/>
      <c r="R204" s="21"/>
    </row>
    <row r="205" spans="9:18">
      <c r="I205" s="501"/>
      <c r="M205" s="21"/>
      <c r="N205" s="21"/>
      <c r="O205" s="21"/>
      <c r="P205" s="21"/>
      <c r="Q205" s="21"/>
      <c r="R205" s="21"/>
    </row>
    <row r="206" spans="9:18">
      <c r="I206" s="501"/>
      <c r="M206" s="21"/>
      <c r="N206" s="21"/>
      <c r="O206" s="21"/>
      <c r="P206" s="21"/>
      <c r="Q206" s="21"/>
      <c r="R206" s="21"/>
    </row>
    <row r="207" spans="9:18">
      <c r="I207" s="501"/>
      <c r="M207" s="21"/>
      <c r="N207" s="21"/>
      <c r="O207" s="21"/>
      <c r="P207" s="21"/>
      <c r="Q207" s="21"/>
      <c r="R207" s="21"/>
    </row>
    <row r="208" spans="9:18">
      <c r="I208" s="501"/>
      <c r="M208" s="21"/>
      <c r="N208" s="21"/>
      <c r="O208" s="21"/>
      <c r="P208" s="21"/>
      <c r="Q208" s="21"/>
      <c r="R208" s="21"/>
    </row>
    <row r="209" spans="9:18">
      <c r="I209" s="501"/>
      <c r="M209" s="21"/>
      <c r="N209" s="21"/>
      <c r="O209" s="21"/>
      <c r="P209" s="21"/>
      <c r="Q209" s="21"/>
      <c r="R209" s="21"/>
    </row>
    <row r="210" spans="9:18">
      <c r="I210" s="501"/>
      <c r="M210" s="21"/>
      <c r="N210" s="21"/>
      <c r="O210" s="21"/>
      <c r="P210" s="21"/>
      <c r="Q210" s="21"/>
      <c r="R210" s="21"/>
    </row>
    <row r="211" spans="9:18">
      <c r="I211" s="501"/>
      <c r="M211" s="21"/>
      <c r="N211" s="21"/>
      <c r="O211" s="21"/>
      <c r="P211" s="21"/>
      <c r="Q211" s="21"/>
      <c r="R211" s="21"/>
    </row>
    <row r="212" spans="9:18">
      <c r="I212" s="501"/>
      <c r="M212" s="21"/>
      <c r="N212" s="21"/>
      <c r="O212" s="21"/>
      <c r="P212" s="21"/>
      <c r="Q212" s="21"/>
      <c r="R212" s="21"/>
    </row>
    <row r="213" spans="9:18">
      <c r="I213" s="501"/>
      <c r="M213" s="21"/>
      <c r="N213" s="21"/>
      <c r="O213" s="21"/>
      <c r="P213" s="21"/>
      <c r="Q213" s="21"/>
      <c r="R213" s="21"/>
    </row>
    <row r="214" spans="9:18">
      <c r="I214" s="501"/>
      <c r="M214" s="21"/>
      <c r="N214" s="21"/>
      <c r="O214" s="21"/>
      <c r="P214" s="21"/>
      <c r="Q214" s="21"/>
      <c r="R214" s="21"/>
    </row>
    <row r="215" spans="9:18">
      <c r="I215" s="501"/>
      <c r="M215" s="21"/>
      <c r="N215" s="21"/>
      <c r="O215" s="21"/>
      <c r="P215" s="21"/>
      <c r="Q215" s="21"/>
      <c r="R215" s="21"/>
    </row>
    <row r="216" spans="9:18">
      <c r="I216" s="501"/>
      <c r="M216" s="21"/>
      <c r="N216" s="21"/>
      <c r="O216" s="21"/>
      <c r="P216" s="21"/>
      <c r="Q216" s="21"/>
      <c r="R216" s="21"/>
    </row>
    <row r="217" spans="9:18">
      <c r="I217" s="501"/>
      <c r="M217" s="21"/>
      <c r="N217" s="21"/>
      <c r="O217" s="21"/>
      <c r="P217" s="21"/>
      <c r="Q217" s="21"/>
      <c r="R217" s="21"/>
    </row>
    <row r="218" spans="9:18">
      <c r="I218" s="501"/>
      <c r="M218" s="21"/>
      <c r="N218" s="21"/>
      <c r="O218" s="21"/>
      <c r="P218" s="21"/>
      <c r="Q218" s="21"/>
      <c r="R218" s="21"/>
    </row>
    <row r="219" spans="9:18">
      <c r="I219" s="501"/>
      <c r="M219" s="21"/>
      <c r="N219" s="21"/>
      <c r="O219" s="21"/>
      <c r="P219" s="21"/>
      <c r="Q219" s="21"/>
      <c r="R219" s="21"/>
    </row>
    <row r="220" spans="9:18">
      <c r="I220" s="501"/>
      <c r="M220" s="21"/>
      <c r="N220" s="21"/>
      <c r="O220" s="21"/>
      <c r="P220" s="21"/>
      <c r="Q220" s="21"/>
      <c r="R220" s="21"/>
    </row>
    <row r="221" spans="9:18">
      <c r="I221" s="501"/>
      <c r="M221" s="21"/>
      <c r="N221" s="21"/>
      <c r="O221" s="21"/>
      <c r="P221" s="21"/>
      <c r="Q221" s="21"/>
      <c r="R221" s="21"/>
    </row>
    <row r="222" spans="9:18">
      <c r="I222" s="501"/>
      <c r="M222" s="21"/>
      <c r="N222" s="21"/>
      <c r="O222" s="21"/>
      <c r="P222" s="21"/>
      <c r="Q222" s="21"/>
      <c r="R222" s="21"/>
    </row>
    <row r="223" spans="9:18">
      <c r="I223" s="501"/>
      <c r="M223" s="21"/>
      <c r="N223" s="21"/>
      <c r="O223" s="21"/>
      <c r="P223" s="21"/>
      <c r="Q223" s="21"/>
      <c r="R223" s="21"/>
    </row>
    <row r="224" spans="9:18">
      <c r="I224" s="501"/>
      <c r="M224" s="21"/>
      <c r="N224" s="21"/>
      <c r="O224" s="21"/>
      <c r="P224" s="21"/>
      <c r="Q224" s="21"/>
      <c r="R224" s="21"/>
    </row>
    <row r="225" spans="9:18">
      <c r="I225" s="501"/>
      <c r="M225" s="21"/>
      <c r="N225" s="21"/>
      <c r="O225" s="21"/>
      <c r="P225" s="21"/>
      <c r="Q225" s="21"/>
      <c r="R225" s="21"/>
    </row>
    <row r="226" spans="9:18">
      <c r="I226" s="501"/>
      <c r="M226" s="21"/>
      <c r="N226" s="21"/>
      <c r="O226" s="21"/>
      <c r="P226" s="21"/>
      <c r="Q226" s="21"/>
      <c r="R226" s="21"/>
    </row>
    <row r="227" spans="9:18">
      <c r="I227" s="501"/>
      <c r="M227" s="21"/>
      <c r="N227" s="21"/>
      <c r="O227" s="21"/>
      <c r="P227" s="21"/>
      <c r="Q227" s="21"/>
      <c r="R227" s="21"/>
    </row>
    <row r="228" spans="9:18">
      <c r="I228" s="501"/>
      <c r="M228" s="21"/>
      <c r="N228" s="21"/>
      <c r="O228" s="21"/>
      <c r="P228" s="21"/>
      <c r="Q228" s="21"/>
      <c r="R228" s="21"/>
    </row>
    <row r="229" spans="9:18">
      <c r="I229" s="501"/>
      <c r="M229" s="21"/>
      <c r="N229" s="21"/>
      <c r="O229" s="21"/>
      <c r="P229" s="21"/>
      <c r="Q229" s="21"/>
      <c r="R229" s="21"/>
    </row>
    <row r="230" spans="9:18">
      <c r="I230" s="501"/>
      <c r="M230" s="21"/>
      <c r="N230" s="21"/>
      <c r="O230" s="21"/>
      <c r="P230" s="21"/>
      <c r="Q230" s="21"/>
      <c r="R230" s="21"/>
    </row>
    <row r="231" spans="9:18">
      <c r="I231" s="501"/>
      <c r="M231" s="21"/>
      <c r="N231" s="21"/>
      <c r="O231" s="21"/>
      <c r="P231" s="21"/>
      <c r="Q231" s="21"/>
      <c r="R231" s="21"/>
    </row>
    <row r="232" spans="9:18">
      <c r="I232" s="501"/>
      <c r="M232" s="21"/>
      <c r="N232" s="21"/>
      <c r="O232" s="21"/>
      <c r="P232" s="21"/>
      <c r="Q232" s="21"/>
      <c r="R232" s="21"/>
    </row>
    <row r="233" spans="9:18">
      <c r="I233" s="501"/>
      <c r="M233" s="21"/>
      <c r="N233" s="21"/>
      <c r="O233" s="21"/>
      <c r="P233" s="21"/>
      <c r="Q233" s="21"/>
      <c r="R233" s="21"/>
    </row>
    <row r="234" spans="9:18">
      <c r="I234" s="501"/>
      <c r="M234" s="21"/>
      <c r="N234" s="21"/>
      <c r="O234" s="21"/>
      <c r="P234" s="21"/>
      <c r="Q234" s="21"/>
      <c r="R234" s="21"/>
    </row>
    <row r="235" spans="9:18">
      <c r="I235" s="501"/>
      <c r="M235" s="21"/>
      <c r="N235" s="21"/>
      <c r="O235" s="21"/>
      <c r="P235" s="21"/>
      <c r="Q235" s="21"/>
      <c r="R235" s="21"/>
    </row>
    <row r="236" spans="9:18">
      <c r="I236" s="501"/>
      <c r="M236" s="21"/>
      <c r="N236" s="21"/>
      <c r="O236" s="21"/>
      <c r="P236" s="21"/>
      <c r="Q236" s="21"/>
      <c r="R236" s="21"/>
    </row>
    <row r="237" spans="9:18">
      <c r="I237" s="501"/>
      <c r="M237" s="21"/>
      <c r="N237" s="21"/>
      <c r="O237" s="21"/>
      <c r="P237" s="21"/>
      <c r="Q237" s="21"/>
      <c r="R237" s="21"/>
    </row>
    <row r="238" spans="9:18">
      <c r="I238" s="501"/>
      <c r="M238" s="21"/>
      <c r="N238" s="21"/>
      <c r="O238" s="21"/>
      <c r="P238" s="21"/>
      <c r="Q238" s="21"/>
      <c r="R238" s="21"/>
    </row>
    <row r="239" spans="9:18">
      <c r="I239" s="501"/>
      <c r="M239" s="21"/>
      <c r="N239" s="21"/>
      <c r="O239" s="21"/>
      <c r="P239" s="21"/>
      <c r="Q239" s="21"/>
      <c r="R239" s="21"/>
    </row>
    <row r="240" spans="9:18">
      <c r="I240" s="501"/>
      <c r="M240" s="21"/>
      <c r="N240" s="21"/>
      <c r="O240" s="21"/>
      <c r="P240" s="21"/>
      <c r="Q240" s="21"/>
      <c r="R240" s="21"/>
    </row>
    <row r="241" spans="9:18">
      <c r="I241" s="501"/>
      <c r="M241" s="21"/>
      <c r="N241" s="21"/>
      <c r="O241" s="21"/>
      <c r="P241" s="21"/>
      <c r="Q241" s="21"/>
      <c r="R241" s="21"/>
    </row>
    <row r="242" spans="9:18">
      <c r="I242" s="501"/>
      <c r="M242" s="21"/>
      <c r="N242" s="21"/>
      <c r="O242" s="21"/>
      <c r="P242" s="21"/>
      <c r="Q242" s="21"/>
      <c r="R242" s="21"/>
    </row>
    <row r="243" spans="9:18">
      <c r="I243" s="501"/>
      <c r="M243" s="21"/>
      <c r="N243" s="21"/>
      <c r="O243" s="21"/>
      <c r="P243" s="21"/>
      <c r="Q243" s="21"/>
      <c r="R243" s="21"/>
    </row>
    <row r="244" spans="9:18">
      <c r="I244" s="501"/>
      <c r="M244" s="21"/>
      <c r="N244" s="21"/>
      <c r="O244" s="21"/>
      <c r="P244" s="21"/>
      <c r="Q244" s="21"/>
      <c r="R244" s="21"/>
    </row>
    <row r="245" spans="9:18">
      <c r="I245" s="501"/>
      <c r="M245" s="21"/>
      <c r="N245" s="21"/>
      <c r="O245" s="21"/>
      <c r="P245" s="21"/>
      <c r="Q245" s="21"/>
      <c r="R245" s="21"/>
    </row>
    <row r="246" spans="9:18">
      <c r="I246" s="501"/>
      <c r="M246" s="21"/>
      <c r="N246" s="21"/>
      <c r="O246" s="21"/>
      <c r="P246" s="21"/>
      <c r="Q246" s="21"/>
      <c r="R246" s="21"/>
    </row>
    <row r="247" spans="9:18">
      <c r="I247" s="501"/>
      <c r="M247" s="21"/>
      <c r="N247" s="21"/>
      <c r="O247" s="21"/>
      <c r="P247" s="21"/>
      <c r="Q247" s="21"/>
      <c r="R247" s="21"/>
    </row>
    <row r="248" spans="9:18">
      <c r="I248" s="501"/>
      <c r="M248" s="21"/>
      <c r="N248" s="21"/>
      <c r="O248" s="21"/>
      <c r="P248" s="21"/>
      <c r="Q248" s="21"/>
      <c r="R248" s="21"/>
    </row>
    <row r="249" spans="9:18">
      <c r="I249" s="501"/>
      <c r="M249" s="21"/>
      <c r="N249" s="21"/>
      <c r="O249" s="21"/>
      <c r="P249" s="21"/>
      <c r="Q249" s="21"/>
      <c r="R249" s="21"/>
    </row>
    <row r="250" spans="9:18">
      <c r="I250" s="501"/>
      <c r="M250" s="21"/>
      <c r="N250" s="21"/>
      <c r="O250" s="21"/>
      <c r="P250" s="21"/>
      <c r="Q250" s="21"/>
      <c r="R250" s="21"/>
    </row>
    <row r="251" spans="9:18">
      <c r="I251" s="501"/>
      <c r="M251" s="21"/>
      <c r="N251" s="21"/>
      <c r="O251" s="21"/>
      <c r="P251" s="21"/>
      <c r="Q251" s="21"/>
      <c r="R251" s="21"/>
    </row>
    <row r="252" spans="9:18">
      <c r="I252" s="501"/>
      <c r="M252" s="21"/>
      <c r="N252" s="21"/>
      <c r="O252" s="21"/>
      <c r="P252" s="21"/>
      <c r="Q252" s="21"/>
      <c r="R252" s="21"/>
    </row>
    <row r="253" spans="9:18">
      <c r="I253" s="501"/>
      <c r="M253" s="21"/>
      <c r="N253" s="21"/>
      <c r="O253" s="21"/>
      <c r="P253" s="21"/>
      <c r="Q253" s="21"/>
      <c r="R253" s="21"/>
    </row>
    <row r="254" spans="9:18">
      <c r="I254" s="501"/>
      <c r="M254" s="21"/>
      <c r="N254" s="21"/>
      <c r="O254" s="21"/>
      <c r="P254" s="21"/>
      <c r="Q254" s="21"/>
      <c r="R254" s="21"/>
    </row>
    <row r="255" spans="9:18">
      <c r="I255" s="501"/>
      <c r="M255" s="21"/>
      <c r="N255" s="21"/>
      <c r="O255" s="21"/>
      <c r="P255" s="21"/>
      <c r="Q255" s="21"/>
      <c r="R255" s="21"/>
    </row>
    <row r="256" spans="9:18">
      <c r="I256" s="501"/>
      <c r="M256" s="21"/>
      <c r="N256" s="21"/>
      <c r="O256" s="21"/>
      <c r="P256" s="21"/>
      <c r="Q256" s="21"/>
      <c r="R256" s="21"/>
    </row>
    <row r="257" spans="9:18">
      <c r="I257" s="501"/>
      <c r="M257" s="21"/>
      <c r="N257" s="21"/>
      <c r="O257" s="21"/>
      <c r="P257" s="21"/>
      <c r="Q257" s="21"/>
      <c r="R257" s="21"/>
    </row>
    <row r="258" spans="9:18">
      <c r="I258" s="501"/>
      <c r="M258" s="21"/>
      <c r="N258" s="21"/>
      <c r="O258" s="21"/>
      <c r="P258" s="21"/>
      <c r="Q258" s="21"/>
      <c r="R258" s="21"/>
    </row>
    <row r="259" spans="9:18">
      <c r="I259" s="501"/>
      <c r="M259" s="21"/>
      <c r="N259" s="21"/>
      <c r="O259" s="21"/>
      <c r="P259" s="21"/>
      <c r="Q259" s="21"/>
      <c r="R259" s="21"/>
    </row>
    <row r="260" spans="9:18">
      <c r="I260" s="501"/>
      <c r="M260" s="21"/>
      <c r="N260" s="21"/>
      <c r="O260" s="21"/>
      <c r="P260" s="21"/>
      <c r="Q260" s="21"/>
      <c r="R260" s="21"/>
    </row>
    <row r="261" spans="9:18">
      <c r="I261" s="501"/>
      <c r="M261" s="21"/>
      <c r="N261" s="21"/>
      <c r="O261" s="21"/>
      <c r="P261" s="21"/>
      <c r="Q261" s="21"/>
      <c r="R261" s="21"/>
    </row>
    <row r="262" spans="9:18">
      <c r="I262" s="501"/>
      <c r="M262" s="21"/>
      <c r="N262" s="21"/>
      <c r="O262" s="21"/>
      <c r="P262" s="21"/>
      <c r="Q262" s="21"/>
      <c r="R262" s="21"/>
    </row>
    <row r="263" spans="9:18">
      <c r="I263" s="501"/>
      <c r="M263" s="21"/>
      <c r="N263" s="21"/>
      <c r="O263" s="21"/>
      <c r="P263" s="21"/>
      <c r="Q263" s="21"/>
      <c r="R263" s="21"/>
    </row>
    <row r="264" spans="9:18">
      <c r="I264" s="501"/>
      <c r="M264" s="21"/>
      <c r="N264" s="21"/>
      <c r="O264" s="21"/>
      <c r="P264" s="21"/>
      <c r="Q264" s="21"/>
      <c r="R264" s="21"/>
    </row>
    <row r="265" spans="9:18">
      <c r="I265" s="501"/>
      <c r="M265" s="21"/>
      <c r="N265" s="21"/>
      <c r="O265" s="21"/>
      <c r="P265" s="21"/>
      <c r="Q265" s="21"/>
      <c r="R265" s="21"/>
    </row>
    <row r="266" spans="9:18">
      <c r="I266" s="501"/>
      <c r="M266" s="21"/>
      <c r="N266" s="21"/>
      <c r="O266" s="21"/>
      <c r="P266" s="21"/>
      <c r="Q266" s="21"/>
      <c r="R266" s="21"/>
    </row>
    <row r="267" spans="9:18">
      <c r="I267" s="501"/>
      <c r="M267" s="21"/>
      <c r="N267" s="21"/>
      <c r="O267" s="21"/>
      <c r="P267" s="21"/>
      <c r="Q267" s="21"/>
      <c r="R267" s="21"/>
    </row>
    <row r="268" spans="9:18">
      <c r="I268" s="501"/>
      <c r="M268" s="21"/>
      <c r="N268" s="21"/>
      <c r="O268" s="21"/>
      <c r="P268" s="21"/>
      <c r="Q268" s="21"/>
      <c r="R268" s="21"/>
    </row>
    <row r="269" spans="9:18">
      <c r="I269" s="501"/>
      <c r="M269" s="21"/>
      <c r="N269" s="21"/>
      <c r="O269" s="21"/>
      <c r="P269" s="21"/>
      <c r="Q269" s="21"/>
      <c r="R269" s="21"/>
    </row>
    <row r="270" spans="9:18">
      <c r="I270" s="501"/>
      <c r="M270" s="21"/>
      <c r="N270" s="21"/>
      <c r="O270" s="21"/>
      <c r="P270" s="21"/>
      <c r="Q270" s="21"/>
      <c r="R270" s="21"/>
    </row>
    <row r="271" spans="9:18">
      <c r="I271" s="501"/>
      <c r="M271" s="21"/>
      <c r="N271" s="21"/>
      <c r="O271" s="21"/>
      <c r="P271" s="21"/>
      <c r="Q271" s="21"/>
      <c r="R271" s="21"/>
    </row>
    <row r="272" spans="9:18">
      <c r="I272" s="501"/>
      <c r="M272" s="21"/>
      <c r="N272" s="21"/>
      <c r="O272" s="21"/>
      <c r="P272" s="21"/>
      <c r="Q272" s="21"/>
      <c r="R272" s="21"/>
    </row>
    <row r="273" spans="9:18">
      <c r="I273" s="501"/>
      <c r="M273" s="21"/>
      <c r="N273" s="21"/>
      <c r="O273" s="21"/>
      <c r="P273" s="21"/>
      <c r="Q273" s="21"/>
      <c r="R273" s="21"/>
    </row>
    <row r="274" spans="9:18">
      <c r="I274" s="501"/>
      <c r="M274" s="21"/>
      <c r="N274" s="21"/>
      <c r="O274" s="21"/>
      <c r="P274" s="21"/>
      <c r="Q274" s="21"/>
      <c r="R274" s="21"/>
    </row>
    <row r="275" spans="9:18">
      <c r="I275" s="501"/>
      <c r="M275" s="21"/>
      <c r="N275" s="21"/>
      <c r="O275" s="21"/>
      <c r="P275" s="21"/>
      <c r="Q275" s="21"/>
      <c r="R275" s="21"/>
    </row>
    <row r="276" spans="9:18">
      <c r="I276" s="501"/>
      <c r="M276" s="21"/>
      <c r="N276" s="21"/>
      <c r="O276" s="21"/>
      <c r="P276" s="21"/>
      <c r="Q276" s="21"/>
      <c r="R276" s="21"/>
    </row>
    <row r="277" spans="9:18">
      <c r="I277" s="501"/>
      <c r="M277" s="21"/>
      <c r="N277" s="21"/>
      <c r="O277" s="21"/>
      <c r="P277" s="21"/>
      <c r="Q277" s="21"/>
      <c r="R277" s="21"/>
    </row>
    <row r="278" spans="9:18">
      <c r="I278" s="501"/>
      <c r="M278" s="21"/>
      <c r="N278" s="21"/>
      <c r="O278" s="21"/>
      <c r="P278" s="21"/>
      <c r="Q278" s="21"/>
      <c r="R278" s="21"/>
    </row>
    <row r="279" spans="9:18">
      <c r="I279" s="501"/>
      <c r="M279" s="21"/>
      <c r="N279" s="21"/>
      <c r="O279" s="21"/>
      <c r="P279" s="21"/>
      <c r="Q279" s="21"/>
      <c r="R279" s="21"/>
    </row>
    <row r="280" spans="9:18">
      <c r="I280" s="501"/>
      <c r="M280" s="21"/>
      <c r="N280" s="21"/>
      <c r="O280" s="21"/>
      <c r="P280" s="21"/>
      <c r="Q280" s="21"/>
      <c r="R280" s="21"/>
    </row>
    <row r="281" spans="9:18">
      <c r="I281" s="501"/>
      <c r="M281" s="21"/>
      <c r="N281" s="21"/>
      <c r="O281" s="21"/>
      <c r="P281" s="21"/>
      <c r="Q281" s="21"/>
      <c r="R281" s="21"/>
    </row>
    <row r="282" spans="9:18">
      <c r="I282" s="501"/>
      <c r="M282" s="21"/>
      <c r="N282" s="21"/>
      <c r="O282" s="21"/>
      <c r="P282" s="21"/>
      <c r="Q282" s="21"/>
      <c r="R282" s="21"/>
    </row>
    <row r="283" spans="9:18">
      <c r="I283" s="501"/>
      <c r="M283" s="21"/>
      <c r="N283" s="21"/>
      <c r="O283" s="21"/>
      <c r="P283" s="21"/>
      <c r="Q283" s="21"/>
      <c r="R283" s="21"/>
    </row>
    <row r="284" spans="9:18">
      <c r="I284" s="501"/>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175</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8" width="18.81640625" style="146" customWidth="1"/>
    <col min="9" max="9" width="9.1796875" style="146" customWidth="1"/>
    <col min="10" max="10" width="15.453125" style="146" customWidth="1"/>
    <col min="11" max="11" width="1.1796875" style="146" customWidth="1"/>
    <col min="12" max="12" width="3.1796875" style="146" customWidth="1"/>
    <col min="13" max="17" width="18.81640625"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152</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44" thickBot="1">
      <c r="A13" s="107"/>
      <c r="B13" s="499"/>
      <c r="C13" s="21"/>
      <c r="D13" s="482" t="s">
        <v>70</v>
      </c>
      <c r="E13" s="483" t="s">
        <v>71</v>
      </c>
      <c r="F13" s="483" t="s">
        <v>118</v>
      </c>
      <c r="G13" s="690" t="s">
        <v>61</v>
      </c>
      <c r="H13" s="664" t="s">
        <v>119</v>
      </c>
      <c r="I13" s="175"/>
      <c r="K13" s="113"/>
      <c r="M13" s="677"/>
      <c r="N13" s="216"/>
      <c r="O13" s="216"/>
      <c r="P13" s="500"/>
      <c r="Q13" s="500"/>
    </row>
    <row r="14" spans="1:17" s="106" customFormat="1">
      <c r="A14" s="107"/>
      <c r="B14" s="174"/>
      <c r="C14" s="174"/>
      <c r="D14" s="691" t="s">
        <v>616</v>
      </c>
      <c r="E14" s="692">
        <f t="shared" ref="E14:E54" si="0">VLOOKUP(CONCATENATE("CPB_",D14),Assets_20,3,0)</f>
        <v>11148170.939999964</v>
      </c>
      <c r="F14" s="693">
        <f>E14/$E$55</f>
        <v>3.762103262824476E-2</v>
      </c>
      <c r="G14" s="694">
        <f t="shared" ref="G14:G54" si="1">VLOOKUP(CONCATENATE("CPB_",D14),Assets_20,2,0)</f>
        <v>12046</v>
      </c>
      <c r="H14" s="695">
        <f>G14/$G$55</f>
        <v>0.28162625955626214</v>
      </c>
      <c r="I14" s="175"/>
      <c r="K14" s="113"/>
      <c r="M14" s="198"/>
      <c r="N14" s="13"/>
      <c r="O14" s="199"/>
      <c r="P14" s="200"/>
      <c r="Q14" s="199"/>
    </row>
    <row r="15" spans="1:17">
      <c r="A15" s="182"/>
      <c r="B15" s="14"/>
      <c r="C15" s="13"/>
      <c r="D15" s="691" t="s">
        <v>617</v>
      </c>
      <c r="E15" s="692">
        <f t="shared" si="0"/>
        <v>22674635.340000045</v>
      </c>
      <c r="F15" s="693">
        <f t="shared" ref="F15:F54" si="2">E15/$E$55</f>
        <v>7.651866844801862E-2</v>
      </c>
      <c r="G15" s="694">
        <f t="shared" si="1"/>
        <v>7752</v>
      </c>
      <c r="H15" s="695">
        <f t="shared" ref="H15:H54" si="3">G15/$G$55</f>
        <v>0.18123582633904567</v>
      </c>
      <c r="I15" s="175"/>
      <c r="K15" s="176"/>
      <c r="M15" s="198"/>
      <c r="N15" s="13"/>
      <c r="O15" s="199"/>
      <c r="P15" s="200"/>
      <c r="Q15" s="199"/>
    </row>
    <row r="16" spans="1:17">
      <c r="A16" s="182"/>
      <c r="B16" s="14"/>
      <c r="C16" s="13"/>
      <c r="D16" s="691" t="s">
        <v>618</v>
      </c>
      <c r="E16" s="692">
        <f t="shared" si="0"/>
        <v>26350096.600000009</v>
      </c>
      <c r="F16" s="693">
        <f t="shared" si="2"/>
        <v>8.8922016829606029E-2</v>
      </c>
      <c r="G16" s="694">
        <f t="shared" si="1"/>
        <v>5330</v>
      </c>
      <c r="H16" s="695">
        <f t="shared" si="3"/>
        <v>0.12461132022537583</v>
      </c>
      <c r="I16" s="175"/>
      <c r="K16" s="176"/>
      <c r="M16" s="198"/>
      <c r="N16" s="13"/>
      <c r="O16" s="199"/>
      <c r="P16" s="200"/>
      <c r="Q16" s="199"/>
    </row>
    <row r="17" spans="1:17">
      <c r="A17" s="182"/>
      <c r="B17" s="14"/>
      <c r="C17" s="13"/>
      <c r="D17" s="691" t="s">
        <v>619</v>
      </c>
      <c r="E17" s="692">
        <f t="shared" si="0"/>
        <v>28359783.559999913</v>
      </c>
      <c r="F17" s="693">
        <f t="shared" si="2"/>
        <v>9.570398125243669E-2</v>
      </c>
      <c r="G17" s="694">
        <f t="shared" si="1"/>
        <v>4074</v>
      </c>
      <c r="H17" s="695">
        <f t="shared" si="3"/>
        <v>9.5247001613167181E-2</v>
      </c>
      <c r="I17" s="175"/>
      <c r="K17" s="176"/>
      <c r="M17" s="198"/>
      <c r="N17" s="13"/>
      <c r="O17" s="199"/>
      <c r="P17" s="200"/>
      <c r="Q17" s="199"/>
    </row>
    <row r="18" spans="1:17">
      <c r="A18" s="182"/>
      <c r="B18" s="14"/>
      <c r="C18" s="13"/>
      <c r="D18" s="691" t="s">
        <v>620</v>
      </c>
      <c r="E18" s="692">
        <f t="shared" si="0"/>
        <v>29728883.419999987</v>
      </c>
      <c r="F18" s="693">
        <f t="shared" si="2"/>
        <v>0.10032419660270367</v>
      </c>
      <c r="G18" s="694">
        <f t="shared" si="1"/>
        <v>3325</v>
      </c>
      <c r="H18" s="695">
        <f t="shared" si="3"/>
        <v>7.773595492483576E-2</v>
      </c>
      <c r="I18" s="175"/>
      <c r="K18" s="176"/>
      <c r="M18" s="198"/>
      <c r="N18" s="13"/>
      <c r="O18" s="199"/>
      <c r="P18" s="200"/>
      <c r="Q18" s="199"/>
    </row>
    <row r="19" spans="1:17">
      <c r="A19" s="182"/>
      <c r="B19" s="14"/>
      <c r="C19" s="13"/>
      <c r="D19" s="691" t="s">
        <v>621</v>
      </c>
      <c r="E19" s="692">
        <f t="shared" si="0"/>
        <v>27929597.290000029</v>
      </c>
      <c r="F19" s="693">
        <f t="shared" si="2"/>
        <v>9.4252258652649509E-2</v>
      </c>
      <c r="G19" s="694">
        <f t="shared" si="1"/>
        <v>2550</v>
      </c>
      <c r="H19" s="695">
        <f t="shared" si="3"/>
        <v>5.9617048137843964E-2</v>
      </c>
      <c r="I19" s="175"/>
      <c r="K19" s="176"/>
      <c r="M19" s="198"/>
      <c r="N19" s="13"/>
      <c r="O19" s="199"/>
      <c r="P19" s="200"/>
      <c r="Q19" s="199"/>
    </row>
    <row r="20" spans="1:17">
      <c r="A20" s="182"/>
      <c r="B20" s="14"/>
      <c r="C20" s="13"/>
      <c r="D20" s="691" t="s">
        <v>622</v>
      </c>
      <c r="E20" s="692">
        <f t="shared" si="0"/>
        <v>23581331.129999988</v>
      </c>
      <c r="F20" s="693">
        <f t="shared" si="2"/>
        <v>7.9578437811357802E-2</v>
      </c>
      <c r="G20" s="694">
        <f t="shared" si="1"/>
        <v>1821</v>
      </c>
      <c r="H20" s="695">
        <f t="shared" si="3"/>
        <v>4.2573586140789751E-2</v>
      </c>
      <c r="I20" s="175"/>
      <c r="K20" s="176"/>
      <c r="M20" s="198"/>
      <c r="N20" s="13"/>
      <c r="O20" s="199"/>
      <c r="P20" s="200"/>
      <c r="Q20" s="199"/>
    </row>
    <row r="21" spans="1:17">
      <c r="A21" s="182"/>
      <c r="B21" s="14"/>
      <c r="C21" s="13"/>
      <c r="D21" s="691" t="s">
        <v>623</v>
      </c>
      <c r="E21" s="692">
        <f t="shared" si="0"/>
        <v>20041544.730000019</v>
      </c>
      <c r="F21" s="693">
        <f t="shared" si="2"/>
        <v>6.7632942862621725E-2</v>
      </c>
      <c r="G21" s="694">
        <f t="shared" si="1"/>
        <v>1338</v>
      </c>
      <c r="H21" s="695">
        <f t="shared" si="3"/>
        <v>3.1281415846445185E-2</v>
      </c>
      <c r="I21" s="175"/>
      <c r="K21" s="176"/>
      <c r="M21" s="198"/>
      <c r="N21" s="13"/>
      <c r="O21" s="199"/>
      <c r="P21" s="200"/>
      <c r="Q21" s="199"/>
    </row>
    <row r="22" spans="1:17">
      <c r="A22" s="182"/>
      <c r="B22" s="14"/>
      <c r="C22" s="13"/>
      <c r="D22" s="691" t="s">
        <v>624</v>
      </c>
      <c r="E22" s="692">
        <f t="shared" si="0"/>
        <v>17604465.139999993</v>
      </c>
      <c r="F22" s="693">
        <f t="shared" si="2"/>
        <v>5.9408683361536194E-2</v>
      </c>
      <c r="G22" s="694">
        <f t="shared" si="1"/>
        <v>1040</v>
      </c>
      <c r="H22" s="695">
        <f t="shared" si="3"/>
        <v>2.4314403946414796E-2</v>
      </c>
      <c r="I22" s="175"/>
      <c r="K22" s="176"/>
      <c r="M22" s="198"/>
      <c r="N22" s="13"/>
      <c r="O22" s="199"/>
      <c r="P22" s="200"/>
      <c r="Q22" s="199"/>
    </row>
    <row r="23" spans="1:17">
      <c r="A23" s="182"/>
      <c r="B23" s="14"/>
      <c r="C23" s="13"/>
      <c r="D23" s="691" t="s">
        <v>625</v>
      </c>
      <c r="E23" s="692">
        <f t="shared" si="0"/>
        <v>15328364.349999977</v>
      </c>
      <c r="F23" s="693">
        <f t="shared" si="2"/>
        <v>5.1727668911127657E-2</v>
      </c>
      <c r="G23" s="694">
        <f t="shared" si="1"/>
        <v>809</v>
      </c>
      <c r="H23" s="695">
        <f t="shared" si="3"/>
        <v>1.8913800762163046E-2</v>
      </c>
      <c r="I23" s="175"/>
      <c r="K23" s="176"/>
      <c r="M23" s="198"/>
      <c r="N23" s="13"/>
      <c r="O23" s="199"/>
      <c r="P23" s="200"/>
      <c r="Q23" s="199"/>
    </row>
    <row r="24" spans="1:17">
      <c r="A24" s="182"/>
      <c r="B24" s="14"/>
      <c r="C24" s="13"/>
      <c r="D24" s="691" t="s">
        <v>626</v>
      </c>
      <c r="E24" s="692">
        <f t="shared" si="0"/>
        <v>12077444.280000001</v>
      </c>
      <c r="F24" s="693">
        <f t="shared" si="2"/>
        <v>4.075699303223005E-2</v>
      </c>
      <c r="G24" s="694">
        <f t="shared" si="1"/>
        <v>575</v>
      </c>
      <c r="H24" s="695">
        <f t="shared" si="3"/>
        <v>1.3443059874219718E-2</v>
      </c>
      <c r="I24" s="175"/>
      <c r="K24" s="176"/>
      <c r="M24" s="198"/>
      <c r="N24" s="13"/>
      <c r="O24" s="199"/>
      <c r="P24" s="200"/>
      <c r="Q24" s="199"/>
    </row>
    <row r="25" spans="1:17">
      <c r="A25" s="182"/>
      <c r="B25" s="14"/>
      <c r="C25" s="13"/>
      <c r="D25" s="691" t="s">
        <v>627</v>
      </c>
      <c r="E25" s="692">
        <f t="shared" si="0"/>
        <v>11012823.890000002</v>
      </c>
      <c r="F25" s="693">
        <f t="shared" si="2"/>
        <v>3.7164285435221787E-2</v>
      </c>
      <c r="G25" s="694">
        <f t="shared" si="1"/>
        <v>480</v>
      </c>
      <c r="H25" s="695">
        <f t="shared" si="3"/>
        <v>1.1222032590652981E-2</v>
      </c>
      <c r="I25" s="175"/>
      <c r="K25" s="176"/>
      <c r="M25" s="198"/>
      <c r="N25" s="13"/>
      <c r="O25" s="199"/>
      <c r="P25" s="200"/>
      <c r="Q25" s="199"/>
    </row>
    <row r="26" spans="1:17">
      <c r="A26" s="182"/>
      <c r="B26" s="14"/>
      <c r="C26" s="13"/>
      <c r="D26" s="691" t="s">
        <v>628</v>
      </c>
      <c r="E26" s="692">
        <f t="shared" si="0"/>
        <v>9829649.0300000031</v>
      </c>
      <c r="F26" s="693">
        <f t="shared" si="2"/>
        <v>3.31714995107373E-2</v>
      </c>
      <c r="G26" s="694">
        <f t="shared" si="1"/>
        <v>393</v>
      </c>
      <c r="H26" s="695">
        <f t="shared" si="3"/>
        <v>9.1880391835971291E-3</v>
      </c>
      <c r="I26" s="175"/>
      <c r="K26" s="176"/>
      <c r="M26" s="198"/>
      <c r="N26" s="13"/>
      <c r="O26" s="199"/>
      <c r="P26" s="200"/>
      <c r="Q26" s="199"/>
    </row>
    <row r="27" spans="1:17">
      <c r="A27" s="182"/>
      <c r="B27" s="14"/>
      <c r="C27" s="13"/>
      <c r="D27" s="691" t="s">
        <v>629</v>
      </c>
      <c r="E27" s="692">
        <f t="shared" si="0"/>
        <v>7564618.7399999984</v>
      </c>
      <c r="F27" s="693">
        <f t="shared" si="2"/>
        <v>2.5527843981711731E-2</v>
      </c>
      <c r="G27" s="694">
        <f t="shared" si="1"/>
        <v>281</v>
      </c>
      <c r="H27" s="695">
        <f t="shared" si="3"/>
        <v>6.5695649124447664E-3</v>
      </c>
      <c r="I27" s="175"/>
      <c r="K27" s="176"/>
      <c r="M27" s="198"/>
      <c r="N27" s="13"/>
      <c r="O27" s="199"/>
      <c r="P27" s="200"/>
      <c r="Q27" s="199"/>
    </row>
    <row r="28" spans="1:17">
      <c r="A28" s="182"/>
      <c r="B28" s="14"/>
      <c r="C28" s="13"/>
      <c r="D28" s="691" t="s">
        <v>630</v>
      </c>
      <c r="E28" s="692">
        <f t="shared" si="0"/>
        <v>7332062.8599999966</v>
      </c>
      <c r="F28" s="693">
        <f t="shared" si="2"/>
        <v>2.4743052252516173E-2</v>
      </c>
      <c r="G28" s="694">
        <f t="shared" si="1"/>
        <v>253</v>
      </c>
      <c r="H28" s="695">
        <f t="shared" si="3"/>
        <v>5.9149463446566755E-3</v>
      </c>
      <c r="I28" s="175"/>
      <c r="K28" s="176"/>
      <c r="M28" s="198"/>
      <c r="N28" s="13"/>
      <c r="O28" s="199"/>
      <c r="P28" s="200"/>
      <c r="Q28" s="199"/>
    </row>
    <row r="29" spans="1:17">
      <c r="A29" s="182"/>
      <c r="B29" s="14"/>
      <c r="C29" s="13"/>
      <c r="D29" s="691" t="s">
        <v>631</v>
      </c>
      <c r="E29" s="692">
        <f t="shared" si="0"/>
        <v>5846278.1900000004</v>
      </c>
      <c r="F29" s="693">
        <f t="shared" si="2"/>
        <v>1.9729067999004545E-2</v>
      </c>
      <c r="G29" s="694">
        <f t="shared" si="1"/>
        <v>189</v>
      </c>
      <c r="H29" s="695">
        <f t="shared" si="3"/>
        <v>4.418675332569612E-3</v>
      </c>
      <c r="I29" s="175"/>
      <c r="K29" s="176"/>
      <c r="M29" s="198"/>
      <c r="N29" s="13"/>
      <c r="O29" s="199"/>
      <c r="P29" s="200"/>
      <c r="Q29" s="199"/>
    </row>
    <row r="30" spans="1:17">
      <c r="A30" s="182"/>
      <c r="B30" s="14"/>
      <c r="C30" s="13"/>
      <c r="D30" s="691" t="s">
        <v>632</v>
      </c>
      <c r="E30" s="692">
        <f t="shared" si="0"/>
        <v>3981017.7399999993</v>
      </c>
      <c r="F30" s="693">
        <f t="shared" si="2"/>
        <v>1.3434490652882084E-2</v>
      </c>
      <c r="G30" s="694">
        <f t="shared" si="1"/>
        <v>121</v>
      </c>
      <c r="H30" s="695">
        <f t="shared" si="3"/>
        <v>2.8288873822271059E-3</v>
      </c>
      <c r="I30" s="175"/>
      <c r="K30" s="176"/>
      <c r="M30" s="198"/>
      <c r="N30" s="13"/>
      <c r="O30" s="199"/>
      <c r="P30" s="200"/>
      <c r="Q30" s="199"/>
    </row>
    <row r="31" spans="1:17">
      <c r="A31" s="182"/>
      <c r="B31" s="14"/>
      <c r="C31" s="13"/>
      <c r="D31" s="691" t="s">
        <v>633</v>
      </c>
      <c r="E31" s="692">
        <f t="shared" si="0"/>
        <v>3881662.3600000008</v>
      </c>
      <c r="F31" s="693">
        <f t="shared" si="2"/>
        <v>1.3099202289177497E-2</v>
      </c>
      <c r="G31" s="694">
        <f t="shared" si="1"/>
        <v>111</v>
      </c>
      <c r="H31" s="695">
        <f t="shared" si="3"/>
        <v>2.5950950365885021E-3</v>
      </c>
      <c r="I31" s="175"/>
      <c r="K31" s="176"/>
      <c r="M31" s="198"/>
      <c r="N31" s="13"/>
      <c r="O31" s="199"/>
      <c r="P31" s="200"/>
      <c r="Q31" s="199"/>
    </row>
    <row r="32" spans="1:17">
      <c r="A32" s="182"/>
      <c r="B32" s="14"/>
      <c r="C32" s="13"/>
      <c r="D32" s="691" t="s">
        <v>634</v>
      </c>
      <c r="E32" s="692">
        <f t="shared" si="0"/>
        <v>2694416.6099999989</v>
      </c>
      <c r="F32" s="693">
        <f t="shared" si="2"/>
        <v>9.0926785877661585E-3</v>
      </c>
      <c r="G32" s="694">
        <f t="shared" si="1"/>
        <v>73</v>
      </c>
      <c r="H32" s="695">
        <f t="shared" si="3"/>
        <v>1.7066841231618078E-3</v>
      </c>
      <c r="I32" s="175"/>
      <c r="K32" s="176"/>
      <c r="M32" s="198"/>
      <c r="N32" s="13"/>
      <c r="O32" s="199"/>
      <c r="P32" s="200"/>
      <c r="Q32" s="199"/>
    </row>
    <row r="33" spans="1:17">
      <c r="A33" s="182"/>
      <c r="B33" s="14"/>
      <c r="C33" s="13"/>
      <c r="D33" s="691" t="s">
        <v>635</v>
      </c>
      <c r="E33" s="692">
        <f t="shared" si="0"/>
        <v>2723235.6799999997</v>
      </c>
      <c r="F33" s="693">
        <f t="shared" si="2"/>
        <v>9.1899324941352774E-3</v>
      </c>
      <c r="G33" s="694">
        <f t="shared" si="1"/>
        <v>70</v>
      </c>
      <c r="H33" s="695">
        <f t="shared" si="3"/>
        <v>1.6365464194702266E-3</v>
      </c>
      <c r="I33" s="175"/>
      <c r="K33" s="176"/>
      <c r="M33" s="198"/>
      <c r="N33" s="13"/>
      <c r="O33" s="199"/>
      <c r="P33" s="200"/>
      <c r="Q33" s="199"/>
    </row>
    <row r="34" spans="1:17">
      <c r="A34" s="182"/>
      <c r="B34" s="14"/>
      <c r="C34" s="13"/>
      <c r="D34" s="691" t="s">
        <v>636</v>
      </c>
      <c r="E34" s="692">
        <f t="shared" si="0"/>
        <v>1512395.9200000002</v>
      </c>
      <c r="F34" s="693">
        <f t="shared" si="2"/>
        <v>5.1037875683259334E-3</v>
      </c>
      <c r="G34" s="694">
        <f t="shared" si="1"/>
        <v>37</v>
      </c>
      <c r="H34" s="695">
        <f t="shared" si="3"/>
        <v>8.6503167886283405E-4</v>
      </c>
      <c r="I34" s="175"/>
      <c r="K34" s="176"/>
      <c r="M34" s="198"/>
      <c r="N34" s="13"/>
      <c r="O34" s="199"/>
      <c r="P34" s="200"/>
      <c r="Q34" s="199"/>
    </row>
    <row r="35" spans="1:17">
      <c r="A35" s="182"/>
      <c r="B35" s="14"/>
      <c r="C35" s="13"/>
      <c r="D35" s="691" t="s">
        <v>637</v>
      </c>
      <c r="E35" s="692">
        <f t="shared" si="0"/>
        <v>1074565.95</v>
      </c>
      <c r="F35" s="693">
        <f t="shared" si="2"/>
        <v>3.6262702539929799E-3</v>
      </c>
      <c r="G35" s="694">
        <f t="shared" si="1"/>
        <v>25</v>
      </c>
      <c r="H35" s="695">
        <f t="shared" si="3"/>
        <v>5.8448086409650948E-4</v>
      </c>
      <c r="I35" s="175"/>
      <c r="K35" s="176"/>
      <c r="M35" s="198"/>
      <c r="N35" s="13"/>
      <c r="O35" s="199"/>
      <c r="P35" s="200"/>
      <c r="Q35" s="199"/>
    </row>
    <row r="36" spans="1:17">
      <c r="A36" s="182"/>
      <c r="B36" s="14"/>
      <c r="C36" s="13"/>
      <c r="D36" s="691" t="s">
        <v>638</v>
      </c>
      <c r="E36" s="692">
        <f t="shared" si="0"/>
        <v>1071805.1500000001</v>
      </c>
      <c r="F36" s="693">
        <f t="shared" si="2"/>
        <v>3.6169535555462969E-3</v>
      </c>
      <c r="G36" s="694">
        <f t="shared" si="1"/>
        <v>24</v>
      </c>
      <c r="H36" s="695">
        <f t="shared" si="3"/>
        <v>5.6110162953264915E-4</v>
      </c>
      <c r="I36" s="175"/>
      <c r="K36" s="176"/>
      <c r="M36" s="198"/>
      <c r="N36" s="13"/>
      <c r="O36" s="199"/>
      <c r="P36" s="200"/>
      <c r="Q36" s="199"/>
    </row>
    <row r="37" spans="1:17">
      <c r="A37" s="182"/>
      <c r="B37" s="14"/>
      <c r="C37" s="13"/>
      <c r="D37" s="691" t="s">
        <v>639</v>
      </c>
      <c r="E37" s="692">
        <f t="shared" si="0"/>
        <v>521626.06</v>
      </c>
      <c r="F37" s="693">
        <f t="shared" si="2"/>
        <v>1.7602987188320618E-3</v>
      </c>
      <c r="G37" s="694">
        <f t="shared" si="1"/>
        <v>11</v>
      </c>
      <c r="H37" s="695">
        <f t="shared" si="3"/>
        <v>2.5717158020246419E-4</v>
      </c>
      <c r="I37" s="175"/>
      <c r="K37" s="176"/>
      <c r="M37" s="198"/>
      <c r="N37" s="13"/>
      <c r="O37" s="199"/>
      <c r="P37" s="200"/>
      <c r="Q37" s="199"/>
    </row>
    <row r="38" spans="1:17">
      <c r="A38" s="182"/>
      <c r="B38" s="14"/>
      <c r="C38" s="13"/>
      <c r="D38" s="691" t="s">
        <v>640</v>
      </c>
      <c r="E38" s="692">
        <f t="shared" si="0"/>
        <v>488590.38</v>
      </c>
      <c r="F38" s="693">
        <f t="shared" si="2"/>
        <v>1.6488152833998941E-3</v>
      </c>
      <c r="G38" s="694">
        <f t="shared" si="1"/>
        <v>10</v>
      </c>
      <c r="H38" s="695">
        <f t="shared" si="3"/>
        <v>2.3379234563860378E-4</v>
      </c>
      <c r="I38" s="175"/>
      <c r="K38" s="176"/>
      <c r="M38" s="198"/>
      <c r="N38" s="13"/>
      <c r="O38" s="199"/>
      <c r="P38" s="200"/>
      <c r="Q38" s="199"/>
    </row>
    <row r="39" spans="1:17">
      <c r="A39" s="182"/>
      <c r="B39" s="14"/>
      <c r="C39" s="13"/>
      <c r="D39" s="691" t="s">
        <v>641</v>
      </c>
      <c r="E39" s="692">
        <f t="shared" si="0"/>
        <v>611900.79999999993</v>
      </c>
      <c r="F39" s="693">
        <f t="shared" si="2"/>
        <v>2.0649432167793025E-3</v>
      </c>
      <c r="G39" s="694">
        <f t="shared" si="1"/>
        <v>12</v>
      </c>
      <c r="H39" s="695">
        <f t="shared" si="3"/>
        <v>2.8055081476632457E-4</v>
      </c>
      <c r="I39" s="175"/>
      <c r="K39" s="176"/>
      <c r="M39" s="198"/>
      <c r="N39" s="13"/>
      <c r="O39" s="199"/>
      <c r="P39" s="200"/>
      <c r="Q39" s="199"/>
    </row>
    <row r="40" spans="1:17">
      <c r="A40" s="182"/>
      <c r="B40" s="14"/>
      <c r="C40" s="13"/>
      <c r="D40" s="691" t="s">
        <v>642</v>
      </c>
      <c r="E40" s="692">
        <f t="shared" si="0"/>
        <v>213218.88999999998</v>
      </c>
      <c r="F40" s="693">
        <f t="shared" si="2"/>
        <v>7.1953640295079253E-4</v>
      </c>
      <c r="G40" s="694">
        <f t="shared" si="1"/>
        <v>4</v>
      </c>
      <c r="H40" s="695">
        <f t="shared" si="3"/>
        <v>9.3516938255441511E-5</v>
      </c>
      <c r="I40" s="175"/>
      <c r="K40" s="176"/>
      <c r="M40" s="198"/>
      <c r="N40" s="13"/>
      <c r="O40" s="199"/>
      <c r="P40" s="200"/>
      <c r="Q40" s="199"/>
    </row>
    <row r="41" spans="1:17">
      <c r="A41" s="182"/>
      <c r="B41" s="14"/>
      <c r="C41" s="13"/>
      <c r="D41" s="691" t="s">
        <v>643</v>
      </c>
      <c r="E41" s="692">
        <f t="shared" si="0"/>
        <v>220770.46</v>
      </c>
      <c r="F41" s="693">
        <f t="shared" si="2"/>
        <v>7.4502021216878026E-4</v>
      </c>
      <c r="G41" s="694">
        <f t="shared" si="1"/>
        <v>4</v>
      </c>
      <c r="H41" s="695">
        <f t="shared" si="3"/>
        <v>9.3516938255441511E-5</v>
      </c>
      <c r="I41" s="175"/>
      <c r="K41" s="176"/>
      <c r="M41" s="198"/>
      <c r="N41" s="13"/>
      <c r="O41" s="199"/>
      <c r="P41" s="200"/>
      <c r="Q41" s="199"/>
    </row>
    <row r="42" spans="1:17">
      <c r="A42" s="182"/>
      <c r="B42" s="14"/>
      <c r="C42" s="13"/>
      <c r="D42" s="691" t="s">
        <v>644</v>
      </c>
      <c r="E42" s="692">
        <f t="shared" si="0"/>
        <v>285313.02</v>
      </c>
      <c r="F42" s="693">
        <f t="shared" si="2"/>
        <v>9.6282793764580407E-4</v>
      </c>
      <c r="G42" s="694">
        <f t="shared" si="1"/>
        <v>5</v>
      </c>
      <c r="H42" s="695">
        <f t="shared" si="3"/>
        <v>1.1689617281930189E-4</v>
      </c>
      <c r="I42" s="175"/>
      <c r="K42" s="176"/>
      <c r="M42" s="198"/>
      <c r="N42" s="13"/>
      <c r="O42" s="199"/>
      <c r="P42" s="200"/>
      <c r="Q42" s="199"/>
    </row>
    <row r="43" spans="1:17">
      <c r="A43" s="182"/>
      <c r="B43" s="14"/>
      <c r="C43" s="13"/>
      <c r="D43" s="691" t="s">
        <v>645</v>
      </c>
      <c r="E43" s="692">
        <f t="shared" si="0"/>
        <v>116514.86</v>
      </c>
      <c r="F43" s="693">
        <f t="shared" si="2"/>
        <v>3.9319538364877138E-4</v>
      </c>
      <c r="G43" s="694">
        <f t="shared" si="1"/>
        <v>2</v>
      </c>
      <c r="H43" s="695">
        <f t="shared" si="3"/>
        <v>4.6758469127720756E-5</v>
      </c>
      <c r="I43" s="175"/>
      <c r="K43" s="176"/>
      <c r="M43" s="198"/>
      <c r="N43" s="13"/>
      <c r="O43" s="199"/>
      <c r="P43" s="200"/>
      <c r="Q43" s="199"/>
    </row>
    <row r="44" spans="1:17">
      <c r="A44" s="182"/>
      <c r="B44" s="14"/>
      <c r="C44" s="13"/>
      <c r="D44" s="691" t="s">
        <v>646</v>
      </c>
      <c r="E44" s="692">
        <f t="shared" si="0"/>
        <v>183613.86</v>
      </c>
      <c r="F44" s="693">
        <f t="shared" si="2"/>
        <v>6.1963016670948056E-4</v>
      </c>
      <c r="G44" s="694">
        <f t="shared" si="1"/>
        <v>3</v>
      </c>
      <c r="H44" s="695">
        <f t="shared" si="3"/>
        <v>7.0137703691581144E-5</v>
      </c>
      <c r="I44" s="175"/>
      <c r="K44" s="176"/>
      <c r="M44" s="198"/>
      <c r="N44" s="13"/>
      <c r="O44" s="199"/>
      <c r="P44" s="200"/>
      <c r="Q44" s="199"/>
    </row>
    <row r="45" spans="1:17">
      <c r="A45" s="182"/>
      <c r="B45" s="14"/>
      <c r="C45" s="13"/>
      <c r="D45" s="691" t="s">
        <v>647</v>
      </c>
      <c r="E45" s="692">
        <f t="shared" si="0"/>
        <v>0</v>
      </c>
      <c r="F45" s="693">
        <f t="shared" si="2"/>
        <v>0</v>
      </c>
      <c r="G45" s="694">
        <f t="shared" si="1"/>
        <v>0</v>
      </c>
      <c r="H45" s="695">
        <f t="shared" si="3"/>
        <v>0</v>
      </c>
      <c r="I45" s="175"/>
      <c r="K45" s="176"/>
      <c r="M45" s="198"/>
      <c r="N45" s="13"/>
      <c r="O45" s="199"/>
      <c r="P45" s="200"/>
      <c r="Q45" s="199"/>
    </row>
    <row r="46" spans="1:17">
      <c r="A46" s="182"/>
      <c r="B46" s="14"/>
      <c r="C46" s="13"/>
      <c r="D46" s="691" t="s">
        <v>648</v>
      </c>
      <c r="E46" s="692">
        <f t="shared" si="0"/>
        <v>65462.6</v>
      </c>
      <c r="F46" s="693">
        <f t="shared" si="2"/>
        <v>2.2091252670814745E-4</v>
      </c>
      <c r="G46" s="694">
        <f t="shared" si="1"/>
        <v>1</v>
      </c>
      <c r="H46" s="695">
        <f t="shared" si="3"/>
        <v>2.3379234563860378E-5</v>
      </c>
      <c r="I46" s="175"/>
      <c r="K46" s="176"/>
      <c r="M46" s="198"/>
      <c r="N46" s="13"/>
      <c r="O46" s="199"/>
      <c r="P46" s="200"/>
      <c r="Q46" s="199"/>
    </row>
    <row r="47" spans="1:17">
      <c r="A47" s="182"/>
      <c r="B47" s="14"/>
      <c r="C47" s="13"/>
      <c r="D47" s="691" t="s">
        <v>649</v>
      </c>
      <c r="E47" s="692">
        <f t="shared" si="0"/>
        <v>134804.70000000001</v>
      </c>
      <c r="F47" s="693">
        <f t="shared" si="2"/>
        <v>4.5491695852492581E-4</v>
      </c>
      <c r="G47" s="694">
        <f t="shared" si="1"/>
        <v>2</v>
      </c>
      <c r="H47" s="695">
        <f t="shared" si="3"/>
        <v>4.6758469127720756E-5</v>
      </c>
      <c r="I47" s="175"/>
      <c r="K47" s="176"/>
      <c r="M47" s="198"/>
      <c r="N47" s="13"/>
      <c r="O47" s="199"/>
      <c r="P47" s="200"/>
      <c r="Q47" s="199"/>
    </row>
    <row r="48" spans="1:17">
      <c r="A48" s="182"/>
      <c r="B48" s="14"/>
      <c r="C48" s="13"/>
      <c r="D48" s="691" t="s">
        <v>650</v>
      </c>
      <c r="E48" s="692">
        <f t="shared" si="0"/>
        <v>137483.88</v>
      </c>
      <c r="F48" s="693">
        <f t="shared" si="2"/>
        <v>4.6395821908142574E-4</v>
      </c>
      <c r="G48" s="694">
        <f t="shared" si="1"/>
        <v>2</v>
      </c>
      <c r="H48" s="695">
        <f t="shared" si="3"/>
        <v>4.6758469127720756E-5</v>
      </c>
      <c r="I48" s="175"/>
      <c r="K48" s="176"/>
      <c r="M48" s="198"/>
      <c r="N48" s="13"/>
      <c r="O48" s="199"/>
      <c r="P48" s="200"/>
      <c r="Q48" s="199"/>
    </row>
    <row r="49" spans="1:17">
      <c r="A49" s="182"/>
      <c r="B49" s="14"/>
      <c r="C49" s="13"/>
      <c r="D49" s="691" t="s">
        <v>651</v>
      </c>
      <c r="E49" s="692">
        <f t="shared" si="0"/>
        <v>0</v>
      </c>
      <c r="F49" s="693">
        <f t="shared" si="2"/>
        <v>0</v>
      </c>
      <c r="G49" s="694">
        <f t="shared" si="1"/>
        <v>0</v>
      </c>
      <c r="H49" s="695">
        <f t="shared" si="3"/>
        <v>0</v>
      </c>
      <c r="I49" s="175"/>
      <c r="K49" s="176"/>
      <c r="M49" s="198"/>
      <c r="N49" s="13"/>
      <c r="O49" s="199"/>
      <c r="P49" s="200"/>
      <c r="Q49" s="199"/>
    </row>
    <row r="50" spans="1:17">
      <c r="A50" s="182"/>
      <c r="B50" s="14"/>
      <c r="C50" s="13"/>
      <c r="D50" s="691" t="s">
        <v>652</v>
      </c>
      <c r="E50" s="692">
        <f t="shared" si="0"/>
        <v>0</v>
      </c>
      <c r="F50" s="693">
        <f t="shared" si="2"/>
        <v>0</v>
      </c>
      <c r="G50" s="694">
        <f t="shared" si="1"/>
        <v>0</v>
      </c>
      <c r="H50" s="695">
        <f t="shared" si="3"/>
        <v>0</v>
      </c>
      <c r="I50" s="175"/>
      <c r="K50" s="176"/>
      <c r="M50" s="198"/>
      <c r="N50" s="13"/>
      <c r="O50" s="199"/>
      <c r="P50" s="200"/>
      <c r="Q50" s="199"/>
    </row>
    <row r="51" spans="1:17">
      <c r="A51" s="182"/>
      <c r="B51" s="14"/>
      <c r="C51" s="13"/>
      <c r="D51" s="691" t="s">
        <v>653</v>
      </c>
      <c r="E51" s="692">
        <f t="shared" si="0"/>
        <v>0</v>
      </c>
      <c r="F51" s="693">
        <f t="shared" si="2"/>
        <v>0</v>
      </c>
      <c r="G51" s="694">
        <f t="shared" si="1"/>
        <v>0</v>
      </c>
      <c r="H51" s="695">
        <f t="shared" si="3"/>
        <v>0</v>
      </c>
      <c r="I51" s="175"/>
      <c r="K51" s="176"/>
      <c r="M51" s="198"/>
      <c r="N51" s="13"/>
      <c r="O51" s="199"/>
      <c r="P51" s="200"/>
      <c r="Q51" s="199"/>
    </row>
    <row r="52" spans="1:17">
      <c r="A52" s="182"/>
      <c r="B52" s="14"/>
      <c r="C52" s="13"/>
      <c r="D52" s="691" t="s">
        <v>654</v>
      </c>
      <c r="E52" s="692">
        <f t="shared" si="0"/>
        <v>0</v>
      </c>
      <c r="F52" s="693">
        <f t="shared" si="2"/>
        <v>0</v>
      </c>
      <c r="G52" s="694">
        <f t="shared" si="1"/>
        <v>0</v>
      </c>
      <c r="H52" s="695">
        <f t="shared" si="3"/>
        <v>0</v>
      </c>
      <c r="I52" s="175"/>
      <c r="K52" s="176"/>
      <c r="M52" s="198"/>
      <c r="N52" s="13"/>
      <c r="O52" s="199"/>
      <c r="P52" s="200"/>
      <c r="Q52" s="199"/>
    </row>
    <row r="53" spans="1:17">
      <c r="A53" s="182"/>
      <c r="B53" s="14"/>
      <c r="C53" s="13"/>
      <c r="D53" s="691" t="s">
        <v>655</v>
      </c>
      <c r="E53" s="692">
        <f t="shared" si="0"/>
        <v>0</v>
      </c>
      <c r="F53" s="693">
        <f t="shared" si="2"/>
        <v>0</v>
      </c>
      <c r="G53" s="694">
        <f t="shared" si="1"/>
        <v>0</v>
      </c>
      <c r="H53" s="695">
        <f t="shared" si="3"/>
        <v>0</v>
      </c>
      <c r="I53" s="175"/>
      <c r="K53" s="176"/>
      <c r="M53" s="198"/>
      <c r="N53" s="13"/>
      <c r="O53" s="199"/>
      <c r="P53" s="200"/>
      <c r="Q53" s="199"/>
    </row>
    <row r="54" spans="1:17" ht="13" thickBot="1">
      <c r="A54" s="182"/>
      <c r="B54" s="14"/>
      <c r="C54" s="13"/>
      <c r="D54" s="691" t="s">
        <v>656</v>
      </c>
      <c r="E54" s="692">
        <f t="shared" si="0"/>
        <v>0</v>
      </c>
      <c r="F54" s="693">
        <f t="shared" si="2"/>
        <v>0</v>
      </c>
      <c r="G54" s="694">
        <f t="shared" si="1"/>
        <v>0</v>
      </c>
      <c r="H54" s="695">
        <f t="shared" si="3"/>
        <v>0</v>
      </c>
      <c r="I54" s="175"/>
      <c r="K54" s="176"/>
      <c r="M54" s="198"/>
      <c r="N54" s="13"/>
      <c r="O54" s="199"/>
      <c r="P54" s="200"/>
      <c r="Q54" s="199"/>
    </row>
    <row r="55" spans="1:17" ht="14" thickTop="1" thickBot="1">
      <c r="A55" s="182"/>
      <c r="B55" s="201"/>
      <c r="C55" s="202"/>
      <c r="D55" s="603" t="s">
        <v>36</v>
      </c>
      <c r="E55" s="604">
        <f>SUM(E14:E54)</f>
        <v>296328148.40999997</v>
      </c>
      <c r="F55" s="605">
        <f>SUM(F14:F54)</f>
        <v>0.99999999999999978</v>
      </c>
      <c r="G55" s="696">
        <f>SUM(G14:G54)</f>
        <v>42773</v>
      </c>
      <c r="H55" s="697">
        <f>SUM(H14:H54)</f>
        <v>0.99999999999999989</v>
      </c>
      <c r="I55" s="175"/>
      <c r="J55" s="21"/>
      <c r="K55" s="176"/>
      <c r="M55" s="608"/>
      <c r="N55" s="609"/>
      <c r="O55" s="610"/>
      <c r="P55" s="611"/>
      <c r="Q55" s="610"/>
    </row>
    <row r="56" spans="1:17" ht="13">
      <c r="A56" s="182"/>
      <c r="B56" s="201"/>
      <c r="C56" s="202"/>
      <c r="D56" s="619"/>
      <c r="E56" s="620"/>
      <c r="F56" s="621"/>
      <c r="G56" s="611"/>
      <c r="H56" s="610"/>
      <c r="I56" s="175"/>
      <c r="J56" s="21"/>
      <c r="K56" s="176"/>
      <c r="M56" s="608"/>
      <c r="N56" s="609"/>
      <c r="O56" s="610"/>
      <c r="P56" s="611"/>
      <c r="Q56" s="610"/>
    </row>
    <row r="57" spans="1:17" ht="13">
      <c r="A57" s="182"/>
      <c r="B57" s="201"/>
      <c r="C57" s="202"/>
      <c r="D57" s="619"/>
      <c r="E57" s="620"/>
      <c r="F57" s="621"/>
      <c r="G57" s="611"/>
      <c r="H57" s="610"/>
      <c r="I57" s="175"/>
      <c r="J57" s="21"/>
      <c r="K57" s="176"/>
      <c r="M57" s="608"/>
      <c r="N57" s="609"/>
      <c r="O57" s="610"/>
      <c r="P57" s="611"/>
      <c r="Q57" s="610"/>
    </row>
    <row r="58" spans="1:17" ht="13.5" thickBot="1">
      <c r="A58" s="182"/>
      <c r="B58" s="201"/>
      <c r="C58" s="202"/>
      <c r="D58" s="580" t="s">
        <v>69</v>
      </c>
      <c r="E58" s="580" t="s">
        <v>59</v>
      </c>
      <c r="F58" s="612"/>
      <c r="G58" s="612"/>
      <c r="H58" s="612"/>
      <c r="I58" s="175"/>
      <c r="J58" s="21"/>
      <c r="K58" s="176"/>
      <c r="M58" s="513"/>
      <c r="N58" s="513"/>
      <c r="O58" s="201"/>
      <c r="P58" s="201"/>
      <c r="Q58" s="201"/>
    </row>
    <row r="59" spans="1:17" ht="13" thickBot="1">
      <c r="A59" s="182"/>
      <c r="B59" s="201"/>
      <c r="C59" s="202"/>
      <c r="D59" s="520" t="s">
        <v>60</v>
      </c>
      <c r="E59" s="521">
        <f>E55/G55</f>
        <v>6927.9252895518193</v>
      </c>
      <c r="F59" s="612"/>
      <c r="G59" s="612"/>
      <c r="H59" s="612"/>
      <c r="I59" s="175"/>
      <c r="J59" s="21"/>
      <c r="K59" s="176"/>
      <c r="M59" s="205"/>
      <c r="N59" s="234"/>
      <c r="O59" s="201"/>
      <c r="P59" s="201"/>
      <c r="Q59" s="201"/>
    </row>
    <row r="60" spans="1:17">
      <c r="A60" s="182"/>
      <c r="B60" s="21"/>
      <c r="I60" s="501"/>
      <c r="J60" s="21"/>
      <c r="K60" s="176"/>
    </row>
    <row r="61" spans="1:17">
      <c r="A61" s="196"/>
      <c r="B61" s="56"/>
      <c r="C61" s="56"/>
      <c r="D61" s="56"/>
      <c r="E61" s="56"/>
      <c r="F61" s="56"/>
      <c r="G61" s="56"/>
      <c r="H61" s="56"/>
      <c r="I61" s="394"/>
      <c r="J61" s="56"/>
      <c r="K61" s="197"/>
    </row>
    <row r="62" spans="1:17">
      <c r="I62" s="501"/>
    </row>
    <row r="63" spans="1:17">
      <c r="I63" s="501"/>
    </row>
    <row r="64" spans="1:17">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row r="261" spans="9:9">
      <c r="I261" s="501"/>
    </row>
    <row r="262" spans="9:9">
      <c r="I262" s="501"/>
    </row>
    <row r="263" spans="9:9">
      <c r="I263" s="501"/>
    </row>
    <row r="264" spans="9:9">
      <c r="I264" s="501"/>
    </row>
    <row r="265" spans="9:9">
      <c r="I265" s="501"/>
    </row>
    <row r="266" spans="9:9">
      <c r="I266" s="501"/>
    </row>
    <row r="267" spans="9:9">
      <c r="I267" s="501"/>
    </row>
    <row r="268" spans="9:9">
      <c r="I268" s="501"/>
    </row>
    <row r="269" spans="9:9">
      <c r="I269" s="501"/>
    </row>
    <row r="270" spans="9:9">
      <c r="I270" s="501"/>
    </row>
    <row r="271" spans="9:9">
      <c r="I271" s="501"/>
    </row>
    <row r="272" spans="9:9">
      <c r="I272" s="501"/>
    </row>
    <row r="273" spans="9:9">
      <c r="I273" s="501"/>
    </row>
    <row r="274" spans="9:9">
      <c r="I274" s="501"/>
    </row>
    <row r="275" spans="9:9">
      <c r="I275" s="501"/>
    </row>
    <row r="276" spans="9:9">
      <c r="I276" s="50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8164062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176</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453125" style="146" customWidth="1"/>
    <col min="4" max="4" width="18.81640625" style="146" customWidth="1"/>
    <col min="5" max="5" width="18" style="146" customWidth="1"/>
    <col min="6" max="6" width="18.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7.17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177</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29.25" customHeight="1" thickBot="1">
      <c r="A13" s="107"/>
      <c r="B13" s="499"/>
      <c r="C13" s="21"/>
      <c r="E13" s="482" t="s">
        <v>62</v>
      </c>
      <c r="F13" s="676" t="s">
        <v>71</v>
      </c>
      <c r="G13" s="483" t="s">
        <v>118</v>
      </c>
      <c r="H13" s="484" t="s">
        <v>61</v>
      </c>
      <c r="I13" s="175"/>
      <c r="K13" s="113"/>
      <c r="M13" s="677"/>
      <c r="N13" s="216"/>
      <c r="O13" s="216"/>
      <c r="P13" s="216"/>
      <c r="Q13" s="216"/>
    </row>
    <row r="14" spans="1:17" s="106" customFormat="1">
      <c r="A14" s="107"/>
      <c r="B14" s="174"/>
      <c r="C14" s="174"/>
      <c r="E14" s="678">
        <v>1</v>
      </c>
      <c r="F14" s="668">
        <f t="shared" ref="F14:F38" si="0">VLOOKUP(CONCATENATE("Borrower_",E14),Assets_20,3,0)</f>
        <v>68797.86</v>
      </c>
      <c r="G14" s="679">
        <f t="shared" ref="G14:G38" si="1">F14/VLOOKUP("Outstanding_eop_current",calcdata_20,2,0)</f>
        <v>2.3216781925425192E-4</v>
      </c>
      <c r="H14" s="680">
        <f t="shared" ref="H14:H38" si="2">VLOOKUP(CONCATENATE("Borrower_",E14),Assets_20,2,0)</f>
        <v>1</v>
      </c>
      <c r="I14" s="175"/>
      <c r="K14" s="113"/>
      <c r="M14" s="21"/>
      <c r="N14" s="489"/>
      <c r="O14" s="490"/>
      <c r="P14" s="372"/>
      <c r="Q14" s="21"/>
    </row>
    <row r="15" spans="1:17">
      <c r="A15" s="182"/>
      <c r="B15" s="14"/>
      <c r="C15" s="13"/>
      <c r="E15" s="678">
        <f>+E14+1</f>
        <v>2</v>
      </c>
      <c r="F15" s="668">
        <f t="shared" si="0"/>
        <v>68686.02</v>
      </c>
      <c r="G15" s="679">
        <f t="shared" si="1"/>
        <v>2.3179039982717389E-4</v>
      </c>
      <c r="H15" s="680">
        <f t="shared" si="2"/>
        <v>1</v>
      </c>
      <c r="I15" s="175"/>
      <c r="K15" s="176"/>
      <c r="N15" s="489"/>
      <c r="O15" s="490"/>
      <c r="P15" s="372"/>
    </row>
    <row r="16" spans="1:17">
      <c r="A16" s="182"/>
      <c r="B16" s="14"/>
      <c r="C16" s="13"/>
      <c r="E16" s="678">
        <f t="shared" ref="E16:E38" si="3">+E15+1</f>
        <v>3</v>
      </c>
      <c r="F16" s="668">
        <f t="shared" si="0"/>
        <v>67894.710000000006</v>
      </c>
      <c r="G16" s="679">
        <f t="shared" si="1"/>
        <v>2.2912001564583334E-4</v>
      </c>
      <c r="H16" s="680">
        <f t="shared" si="2"/>
        <v>1</v>
      </c>
      <c r="I16" s="175"/>
      <c r="K16" s="176"/>
      <c r="N16" s="489"/>
      <c r="O16" s="490"/>
      <c r="P16" s="372"/>
    </row>
    <row r="17" spans="1:16">
      <c r="A17" s="182"/>
      <c r="B17" s="14"/>
      <c r="C17" s="13"/>
      <c r="E17" s="678">
        <f t="shared" si="3"/>
        <v>4</v>
      </c>
      <c r="F17" s="668">
        <f t="shared" si="0"/>
        <v>66909.990000000005</v>
      </c>
      <c r="G17" s="679">
        <f t="shared" si="1"/>
        <v>2.2579694287909254E-4</v>
      </c>
      <c r="H17" s="680">
        <f t="shared" si="2"/>
        <v>1</v>
      </c>
      <c r="I17" s="175"/>
      <c r="K17" s="176"/>
      <c r="N17" s="489"/>
      <c r="O17" s="490"/>
      <c r="P17" s="372"/>
    </row>
    <row r="18" spans="1:16">
      <c r="A18" s="182"/>
      <c r="B18" s="14"/>
      <c r="C18" s="13"/>
      <c r="E18" s="678">
        <f t="shared" si="3"/>
        <v>5</v>
      </c>
      <c r="F18" s="668">
        <f t="shared" si="0"/>
        <v>65462.6</v>
      </c>
      <c r="G18" s="679">
        <f t="shared" si="1"/>
        <v>2.209125267081475E-4</v>
      </c>
      <c r="H18" s="680">
        <f t="shared" si="2"/>
        <v>1</v>
      </c>
      <c r="I18" s="175"/>
      <c r="K18" s="176"/>
      <c r="N18" s="489"/>
      <c r="O18" s="490"/>
      <c r="P18" s="372"/>
    </row>
    <row r="19" spans="1:16">
      <c r="A19" s="182"/>
      <c r="B19" s="14"/>
      <c r="C19" s="13"/>
      <c r="E19" s="678">
        <f t="shared" si="3"/>
        <v>6</v>
      </c>
      <c r="F19" s="668">
        <f t="shared" si="0"/>
        <v>61924.25</v>
      </c>
      <c r="G19" s="679">
        <f t="shared" si="1"/>
        <v>2.0897187908831916E-4</v>
      </c>
      <c r="H19" s="680">
        <f t="shared" si="2"/>
        <v>1</v>
      </c>
      <c r="I19" s="175"/>
      <c r="K19" s="176"/>
      <c r="N19" s="489"/>
      <c r="O19" s="490"/>
      <c r="P19" s="372"/>
    </row>
    <row r="20" spans="1:16">
      <c r="A20" s="182"/>
      <c r="B20" s="14"/>
      <c r="C20" s="13"/>
      <c r="E20" s="678">
        <f t="shared" si="3"/>
        <v>7</v>
      </c>
      <c r="F20" s="668">
        <f t="shared" si="0"/>
        <v>61008.71</v>
      </c>
      <c r="G20" s="679">
        <f t="shared" si="1"/>
        <v>2.0588226372470121E-4</v>
      </c>
      <c r="H20" s="680">
        <f t="shared" si="2"/>
        <v>1</v>
      </c>
      <c r="I20" s="175"/>
      <c r="K20" s="176"/>
      <c r="N20" s="489"/>
      <c r="O20" s="490"/>
      <c r="P20" s="372"/>
    </row>
    <row r="21" spans="1:16">
      <c r="A21" s="182"/>
      <c r="B21" s="14"/>
      <c r="C21" s="13"/>
      <c r="E21" s="678">
        <f t="shared" si="3"/>
        <v>8</v>
      </c>
      <c r="F21" s="668">
        <f t="shared" si="0"/>
        <v>60680.9</v>
      </c>
      <c r="G21" s="679">
        <f t="shared" si="1"/>
        <v>2.0477602389646038E-4</v>
      </c>
      <c r="H21" s="680">
        <f t="shared" si="2"/>
        <v>1</v>
      </c>
      <c r="I21" s="175"/>
      <c r="K21" s="176"/>
      <c r="N21" s="489"/>
      <c r="O21" s="490"/>
      <c r="P21" s="372"/>
    </row>
    <row r="22" spans="1:16">
      <c r="A22" s="182"/>
      <c r="B22" s="14"/>
      <c r="C22" s="13"/>
      <c r="E22" s="678">
        <f t="shared" si="3"/>
        <v>9</v>
      </c>
      <c r="F22" s="668">
        <f t="shared" si="0"/>
        <v>58266.9</v>
      </c>
      <c r="G22" s="679">
        <f t="shared" si="1"/>
        <v>1.9662964963889243E-4</v>
      </c>
      <c r="H22" s="680">
        <f t="shared" si="2"/>
        <v>1</v>
      </c>
      <c r="I22" s="175"/>
      <c r="K22" s="176"/>
      <c r="N22" s="489"/>
      <c r="O22" s="490"/>
      <c r="P22" s="372"/>
    </row>
    <row r="23" spans="1:16">
      <c r="A23" s="182"/>
      <c r="B23" s="14"/>
      <c r="C23" s="13"/>
      <c r="E23" s="678">
        <f t="shared" si="3"/>
        <v>10</v>
      </c>
      <c r="F23" s="668">
        <f t="shared" si="0"/>
        <v>58247.96</v>
      </c>
      <c r="G23" s="679">
        <f t="shared" si="1"/>
        <v>1.9656573400987903E-4</v>
      </c>
      <c r="H23" s="680">
        <f t="shared" si="2"/>
        <v>1</v>
      </c>
      <c r="I23" s="175"/>
      <c r="K23" s="176"/>
      <c r="N23" s="489"/>
      <c r="O23" s="490"/>
      <c r="P23" s="372"/>
    </row>
    <row r="24" spans="1:16">
      <c r="A24" s="182"/>
      <c r="B24" s="14"/>
      <c r="C24" s="13"/>
      <c r="E24" s="678">
        <f t="shared" si="3"/>
        <v>11</v>
      </c>
      <c r="F24" s="668">
        <f t="shared" si="0"/>
        <v>57623.14</v>
      </c>
      <c r="G24" s="679">
        <f t="shared" si="1"/>
        <v>1.9445719317988169E-4</v>
      </c>
      <c r="H24" s="680">
        <f t="shared" si="2"/>
        <v>1</v>
      </c>
      <c r="I24" s="175"/>
      <c r="K24" s="176"/>
      <c r="N24" s="489"/>
      <c r="O24" s="490"/>
      <c r="P24" s="372"/>
    </row>
    <row r="25" spans="1:16">
      <c r="A25" s="182"/>
      <c r="B25" s="14"/>
      <c r="C25" s="13"/>
      <c r="E25" s="678">
        <f t="shared" si="3"/>
        <v>12</v>
      </c>
      <c r="F25" s="668">
        <f t="shared" si="0"/>
        <v>57387.87</v>
      </c>
      <c r="G25" s="679">
        <f t="shared" si="1"/>
        <v>1.9366324228030504E-4</v>
      </c>
      <c r="H25" s="680">
        <f t="shared" si="2"/>
        <v>1</v>
      </c>
      <c r="I25" s="175"/>
      <c r="K25" s="176"/>
      <c r="N25" s="489"/>
      <c r="O25" s="490"/>
      <c r="P25" s="372"/>
    </row>
    <row r="26" spans="1:16">
      <c r="A26" s="182"/>
      <c r="B26" s="14"/>
      <c r="C26" s="13"/>
      <c r="E26" s="678">
        <f t="shared" si="3"/>
        <v>13</v>
      </c>
      <c r="F26" s="668">
        <f t="shared" si="0"/>
        <v>57141.2</v>
      </c>
      <c r="G26" s="679">
        <f t="shared" si="1"/>
        <v>1.928308205163803E-4</v>
      </c>
      <c r="H26" s="680">
        <f t="shared" si="2"/>
        <v>1</v>
      </c>
      <c r="I26" s="175"/>
      <c r="K26" s="176"/>
      <c r="N26" s="489"/>
      <c r="O26" s="490"/>
      <c r="P26" s="372"/>
    </row>
    <row r="27" spans="1:16">
      <c r="A27" s="182"/>
      <c r="B27" s="14"/>
      <c r="C27" s="13"/>
      <c r="E27" s="678">
        <f t="shared" si="3"/>
        <v>14</v>
      </c>
      <c r="F27" s="668">
        <f t="shared" si="0"/>
        <v>56895.56</v>
      </c>
      <c r="G27" s="679">
        <f t="shared" si="1"/>
        <v>1.9200187462879579E-4</v>
      </c>
      <c r="H27" s="680">
        <f t="shared" si="2"/>
        <v>1</v>
      </c>
      <c r="I27" s="175"/>
      <c r="K27" s="176"/>
      <c r="N27" s="489"/>
      <c r="O27" s="490"/>
      <c r="P27" s="372"/>
    </row>
    <row r="28" spans="1:16">
      <c r="A28" s="182"/>
      <c r="B28" s="14"/>
      <c r="C28" s="13"/>
      <c r="E28" s="678">
        <f t="shared" si="3"/>
        <v>15</v>
      </c>
      <c r="F28" s="668">
        <f t="shared" si="0"/>
        <v>56265.25</v>
      </c>
      <c r="G28" s="679">
        <f t="shared" si="1"/>
        <v>1.8987480704044134E-4</v>
      </c>
      <c r="H28" s="680">
        <f t="shared" si="2"/>
        <v>1</v>
      </c>
      <c r="I28" s="175"/>
      <c r="K28" s="176"/>
      <c r="N28" s="489"/>
      <c r="O28" s="490"/>
      <c r="P28" s="372"/>
    </row>
    <row r="29" spans="1:16">
      <c r="A29" s="182"/>
      <c r="B29" s="14"/>
      <c r="C29" s="13"/>
      <c r="E29" s="678">
        <f t="shared" si="3"/>
        <v>16</v>
      </c>
      <c r="F29" s="668">
        <f t="shared" si="0"/>
        <v>55532.58</v>
      </c>
      <c r="G29" s="679">
        <f t="shared" si="1"/>
        <v>1.8740231158588779E-4</v>
      </c>
      <c r="H29" s="680">
        <f t="shared" si="2"/>
        <v>1</v>
      </c>
      <c r="I29" s="175"/>
      <c r="K29" s="176"/>
      <c r="N29" s="489"/>
      <c r="O29" s="490"/>
      <c r="P29" s="372"/>
    </row>
    <row r="30" spans="1:16">
      <c r="A30" s="182"/>
      <c r="B30" s="14"/>
      <c r="C30" s="13"/>
      <c r="E30" s="678">
        <f t="shared" si="3"/>
        <v>17</v>
      </c>
      <c r="F30" s="668">
        <f t="shared" si="0"/>
        <v>55395.86</v>
      </c>
      <c r="G30" s="679">
        <f t="shared" si="1"/>
        <v>1.8694093118468865E-4</v>
      </c>
      <c r="H30" s="680">
        <f t="shared" si="2"/>
        <v>1</v>
      </c>
      <c r="I30" s="175"/>
      <c r="J30" s="175"/>
      <c r="K30" s="176"/>
      <c r="N30" s="489"/>
      <c r="O30" s="490"/>
      <c r="P30" s="372"/>
    </row>
    <row r="31" spans="1:16">
      <c r="A31" s="182"/>
      <c r="B31" s="14"/>
      <c r="C31" s="13"/>
      <c r="E31" s="678">
        <f t="shared" si="3"/>
        <v>18</v>
      </c>
      <c r="F31" s="668">
        <f t="shared" si="0"/>
        <v>55003.67</v>
      </c>
      <c r="G31" s="679">
        <f t="shared" si="1"/>
        <v>1.8561743221199786E-4</v>
      </c>
      <c r="H31" s="680">
        <f t="shared" si="2"/>
        <v>1</v>
      </c>
      <c r="I31" s="175"/>
      <c r="J31" s="175"/>
      <c r="K31" s="176"/>
      <c r="N31" s="489"/>
      <c r="O31" s="490"/>
      <c r="P31" s="372"/>
    </row>
    <row r="32" spans="1:16">
      <c r="A32" s="182"/>
      <c r="B32" s="14"/>
      <c r="C32" s="13"/>
      <c r="E32" s="678">
        <f t="shared" si="3"/>
        <v>19</v>
      </c>
      <c r="F32" s="668">
        <f t="shared" si="0"/>
        <v>54838.35</v>
      </c>
      <c r="G32" s="679">
        <f t="shared" si="1"/>
        <v>1.8505953718620617E-4</v>
      </c>
      <c r="H32" s="680">
        <f t="shared" si="2"/>
        <v>1</v>
      </c>
      <c r="I32" s="175"/>
      <c r="J32" s="175"/>
      <c r="K32" s="176"/>
      <c r="N32" s="489"/>
      <c r="O32" s="490"/>
      <c r="P32" s="372"/>
    </row>
    <row r="33" spans="1:17">
      <c r="A33" s="182"/>
      <c r="B33" s="14"/>
      <c r="C33" s="13"/>
      <c r="E33" s="678">
        <f t="shared" si="3"/>
        <v>20</v>
      </c>
      <c r="F33" s="668">
        <f t="shared" si="0"/>
        <v>53948.07</v>
      </c>
      <c r="G33" s="679">
        <f t="shared" si="1"/>
        <v>1.8205516515885424E-4</v>
      </c>
      <c r="H33" s="680">
        <f t="shared" si="2"/>
        <v>1</v>
      </c>
      <c r="I33" s="175"/>
      <c r="J33" s="175"/>
      <c r="K33" s="176"/>
      <c r="N33" s="489"/>
      <c r="O33" s="490"/>
      <c r="P33" s="372"/>
    </row>
    <row r="34" spans="1:17">
      <c r="A34" s="182"/>
      <c r="B34" s="14"/>
      <c r="C34" s="13"/>
      <c r="E34" s="678">
        <f t="shared" si="3"/>
        <v>21</v>
      </c>
      <c r="F34" s="668">
        <f t="shared" si="0"/>
        <v>53938.55</v>
      </c>
      <c r="G34" s="679">
        <f t="shared" si="1"/>
        <v>1.8202303861248635E-4</v>
      </c>
      <c r="H34" s="680">
        <f t="shared" si="2"/>
        <v>2</v>
      </c>
      <c r="I34" s="175"/>
      <c r="J34" s="175"/>
      <c r="K34" s="176"/>
      <c r="N34" s="489"/>
      <c r="O34" s="490"/>
      <c r="P34" s="372"/>
    </row>
    <row r="35" spans="1:17">
      <c r="A35" s="182"/>
      <c r="B35" s="14"/>
      <c r="C35" s="13"/>
      <c r="E35" s="678">
        <f t="shared" si="3"/>
        <v>22</v>
      </c>
      <c r="F35" s="668">
        <f t="shared" si="0"/>
        <v>53557.09</v>
      </c>
      <c r="G35" s="679">
        <f t="shared" si="1"/>
        <v>1.8073574949720387E-4</v>
      </c>
      <c r="H35" s="680">
        <f t="shared" si="2"/>
        <v>1</v>
      </c>
      <c r="I35" s="175"/>
      <c r="J35" s="175"/>
      <c r="K35" s="176"/>
      <c r="N35" s="489"/>
      <c r="O35" s="490"/>
      <c r="P35" s="372"/>
    </row>
    <row r="36" spans="1:17">
      <c r="A36" s="182"/>
      <c r="B36" s="14"/>
      <c r="C36" s="13"/>
      <c r="E36" s="678">
        <f t="shared" si="3"/>
        <v>23</v>
      </c>
      <c r="F36" s="668">
        <f t="shared" si="0"/>
        <v>53536.05</v>
      </c>
      <c r="G36" s="679">
        <f t="shared" si="1"/>
        <v>1.8066474713002113E-4</v>
      </c>
      <c r="H36" s="680">
        <f t="shared" si="2"/>
        <v>1</v>
      </c>
      <c r="I36" s="175"/>
      <c r="J36" s="175"/>
      <c r="K36" s="176"/>
      <c r="N36" s="489"/>
      <c r="O36" s="490"/>
      <c r="P36" s="372"/>
    </row>
    <row r="37" spans="1:17">
      <c r="A37" s="182"/>
      <c r="B37" s="14"/>
      <c r="C37" s="13"/>
      <c r="E37" s="678">
        <f t="shared" si="3"/>
        <v>24</v>
      </c>
      <c r="F37" s="668">
        <f t="shared" si="0"/>
        <v>52177.68</v>
      </c>
      <c r="G37" s="679">
        <f t="shared" si="1"/>
        <v>1.7608074116471349E-4</v>
      </c>
      <c r="H37" s="680">
        <f t="shared" si="2"/>
        <v>1</v>
      </c>
      <c r="I37" s="175"/>
      <c r="J37" s="175"/>
      <c r="K37" s="176"/>
      <c r="N37" s="489"/>
      <c r="O37" s="490"/>
      <c r="P37" s="372"/>
    </row>
    <row r="38" spans="1:17" ht="13" thickBot="1">
      <c r="A38" s="182"/>
      <c r="B38" s="14"/>
      <c r="C38" s="13"/>
      <c r="E38" s="681">
        <f t="shared" si="3"/>
        <v>25</v>
      </c>
      <c r="F38" s="682">
        <f t="shared" si="0"/>
        <v>51671.96</v>
      </c>
      <c r="G38" s="683">
        <f t="shared" si="1"/>
        <v>1.7437411962803692E-4</v>
      </c>
      <c r="H38" s="684">
        <f t="shared" si="2"/>
        <v>1</v>
      </c>
      <c r="I38" s="175"/>
      <c r="J38" s="175"/>
      <c r="K38" s="176"/>
      <c r="N38" s="489"/>
      <c r="O38" s="490"/>
      <c r="P38" s="372"/>
    </row>
    <row r="39" spans="1:17" ht="14" thickTop="1" thickBot="1">
      <c r="A39" s="182"/>
      <c r="B39" s="14"/>
      <c r="C39" s="13"/>
      <c r="E39" s="685"/>
      <c r="F39" s="686">
        <f>SUM(F14:F38)</f>
        <v>1462792.78</v>
      </c>
      <c r="G39" s="687">
        <f>SUM(G14:G38)</f>
        <v>4.9363949656786527E-3</v>
      </c>
      <c r="H39" s="688">
        <f>SUM(H14:H38)</f>
        <v>26</v>
      </c>
      <c r="I39" s="175"/>
      <c r="J39" s="175"/>
      <c r="K39" s="176"/>
      <c r="O39" s="514"/>
      <c r="P39" s="689"/>
      <c r="Q39" s="69"/>
    </row>
    <row r="40" spans="1:17">
      <c r="A40" s="182"/>
      <c r="B40" s="14"/>
      <c r="C40" s="13"/>
      <c r="D40" s="198"/>
      <c r="E40" s="13"/>
      <c r="F40" s="199"/>
      <c r="G40" s="200"/>
      <c r="H40" s="199"/>
      <c r="I40" s="175"/>
      <c r="J40" s="21"/>
      <c r="K40" s="176"/>
      <c r="M40" s="198"/>
      <c r="N40" s="13"/>
      <c r="O40" s="199"/>
      <c r="P40" s="200"/>
      <c r="Q40" s="199"/>
    </row>
    <row r="41" spans="1:17">
      <c r="A41" s="182"/>
      <c r="B41" s="14"/>
      <c r="C41" s="13"/>
      <c r="D41" s="198"/>
      <c r="E41" s="13"/>
      <c r="F41" s="199"/>
      <c r="G41" s="200"/>
      <c r="H41" s="199"/>
      <c r="I41" s="175"/>
      <c r="J41" s="21"/>
      <c r="K41" s="176"/>
      <c r="M41" s="198"/>
      <c r="N41" s="13"/>
      <c r="O41" s="199"/>
      <c r="P41" s="200"/>
      <c r="Q41" s="199"/>
    </row>
    <row r="42" spans="1:17">
      <c r="A42" s="182"/>
      <c r="B42" s="14"/>
      <c r="C42" s="13"/>
      <c r="D42" s="198"/>
      <c r="E42" s="13"/>
      <c r="F42" s="199"/>
      <c r="G42" s="200"/>
      <c r="H42" s="199"/>
      <c r="I42" s="175"/>
      <c r="J42" s="21"/>
      <c r="K42" s="176"/>
      <c r="M42" s="198"/>
      <c r="N42" s="13"/>
      <c r="O42" s="199"/>
      <c r="P42" s="200"/>
      <c r="Q42" s="199"/>
    </row>
    <row r="43" spans="1:17">
      <c r="A43" s="182"/>
      <c r="B43" s="14"/>
      <c r="C43" s="13"/>
      <c r="D43" s="198"/>
      <c r="E43" s="13"/>
      <c r="F43" s="199"/>
      <c r="G43" s="200"/>
      <c r="H43" s="199"/>
      <c r="I43" s="175"/>
      <c r="J43" s="21"/>
      <c r="K43" s="176"/>
      <c r="M43" s="198"/>
      <c r="N43" s="13"/>
      <c r="O43" s="199"/>
      <c r="P43" s="200"/>
      <c r="Q43" s="199"/>
    </row>
    <row r="44" spans="1:17">
      <c r="A44" s="182"/>
      <c r="B44" s="14"/>
      <c r="C44" s="13"/>
      <c r="D44" s="198"/>
      <c r="E44" s="13"/>
      <c r="F44" s="199"/>
      <c r="G44" s="200"/>
      <c r="H44" s="199"/>
      <c r="I44" s="175"/>
      <c r="J44" s="21"/>
      <c r="K44" s="176"/>
      <c r="M44" s="198"/>
      <c r="N44" s="13"/>
      <c r="O44" s="199"/>
      <c r="P44" s="200"/>
      <c r="Q44" s="199"/>
    </row>
    <row r="45" spans="1:17">
      <c r="A45" s="182"/>
      <c r="B45" s="14"/>
      <c r="C45" s="13"/>
      <c r="D45" s="198"/>
      <c r="E45" s="13"/>
      <c r="F45" s="199"/>
      <c r="G45" s="200"/>
      <c r="H45" s="199"/>
      <c r="I45" s="175"/>
      <c r="J45" s="21"/>
      <c r="K45" s="176"/>
      <c r="M45" s="198"/>
      <c r="N45" s="13"/>
      <c r="O45" s="199"/>
      <c r="P45" s="200"/>
      <c r="Q45" s="199"/>
    </row>
    <row r="46" spans="1:17">
      <c r="A46" s="182"/>
      <c r="B46" s="14"/>
      <c r="C46" s="13"/>
      <c r="D46" s="198"/>
      <c r="E46" s="13"/>
      <c r="F46" s="199"/>
      <c r="G46" s="200"/>
      <c r="H46" s="199"/>
      <c r="I46" s="175"/>
      <c r="J46" s="21"/>
      <c r="K46" s="176"/>
      <c r="M46" s="198"/>
      <c r="N46" s="13"/>
      <c r="O46" s="199"/>
      <c r="P46" s="200"/>
      <c r="Q46" s="199"/>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54296875" style="146" customWidth="1"/>
    <col min="4" max="4" width="30.1796875" style="146" bestFit="1"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153</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5" thickBot="1">
      <c r="A13" s="107"/>
      <c r="B13" s="174"/>
      <c r="C13" s="174"/>
      <c r="D13" s="662" t="s">
        <v>63</v>
      </c>
      <c r="E13" s="663" t="s">
        <v>71</v>
      </c>
      <c r="F13" s="483" t="s">
        <v>118</v>
      </c>
      <c r="G13" s="483" t="s">
        <v>61</v>
      </c>
      <c r="H13" s="664" t="s">
        <v>119</v>
      </c>
      <c r="I13" s="175"/>
      <c r="K13" s="113"/>
      <c r="M13" s="665"/>
      <c r="N13" s="666"/>
      <c r="O13" s="216"/>
      <c r="P13" s="216"/>
      <c r="Q13" s="500"/>
    </row>
    <row r="14" spans="1:17">
      <c r="A14" s="182"/>
      <c r="B14" s="14"/>
      <c r="C14" s="13"/>
      <c r="D14" s="667" t="s">
        <v>246</v>
      </c>
      <c r="E14" s="668">
        <f t="shared" ref="E14:E30" si="0">VLOOKUP(CONCATENATE("geo_",D14),Assets_20,3,0)</f>
        <v>1102532.6799999997</v>
      </c>
      <c r="F14" s="669">
        <f t="shared" ref="F14:F30" si="1">E14/$E$31</f>
        <v>3.7206478220710034E-3</v>
      </c>
      <c r="G14" s="670">
        <f t="shared" ref="G14:G30" si="2">VLOOKUP(CONCATENATE("geo_",D14),Assets_20,2,0)</f>
        <v>140</v>
      </c>
      <c r="H14" s="671">
        <f t="shared" ref="H14:H30" si="3">G14/$G$31</f>
        <v>3.2730928389404531E-3</v>
      </c>
      <c r="I14" s="175"/>
      <c r="K14" s="176"/>
      <c r="N14" s="490"/>
      <c r="O14" s="672"/>
      <c r="P14" s="673"/>
      <c r="Q14" s="584"/>
    </row>
    <row r="15" spans="1:17">
      <c r="A15" s="182"/>
      <c r="B15" s="14"/>
      <c r="C15" s="13"/>
      <c r="D15" s="667" t="s">
        <v>944</v>
      </c>
      <c r="E15" s="668">
        <f t="shared" si="0"/>
        <v>35172181.660000026</v>
      </c>
      <c r="F15" s="669">
        <f t="shared" si="1"/>
        <v>0.11869335346210765</v>
      </c>
      <c r="G15" s="670">
        <f t="shared" si="2"/>
        <v>4771</v>
      </c>
      <c r="H15" s="671">
        <f t="shared" si="3"/>
        <v>0.11154232810417787</v>
      </c>
      <c r="I15" s="175"/>
      <c r="K15" s="176"/>
      <c r="N15" s="490"/>
      <c r="O15" s="672"/>
      <c r="P15" s="673"/>
      <c r="Q15" s="584"/>
    </row>
    <row r="16" spans="1:17">
      <c r="A16" s="182"/>
      <c r="B16" s="14"/>
      <c r="C16" s="13"/>
      <c r="D16" s="667" t="s">
        <v>120</v>
      </c>
      <c r="E16" s="668">
        <f t="shared" si="0"/>
        <v>37694963.020000033</v>
      </c>
      <c r="F16" s="669">
        <f t="shared" si="1"/>
        <v>0.12720682534635633</v>
      </c>
      <c r="G16" s="670">
        <f t="shared" si="2"/>
        <v>5166</v>
      </c>
      <c r="H16" s="671">
        <f t="shared" si="3"/>
        <v>0.12077712575690272</v>
      </c>
      <c r="I16" s="175"/>
      <c r="K16" s="176"/>
      <c r="N16" s="490"/>
      <c r="O16" s="672"/>
      <c r="P16" s="673"/>
      <c r="Q16" s="584"/>
    </row>
    <row r="17" spans="1:17">
      <c r="A17" s="182"/>
      <c r="B17" s="14"/>
      <c r="C17" s="13"/>
      <c r="D17" s="667" t="s">
        <v>78</v>
      </c>
      <c r="E17" s="668">
        <f t="shared" si="0"/>
        <v>12339569.559999978</v>
      </c>
      <c r="F17" s="669">
        <f t="shared" si="1"/>
        <v>4.1641570759342557E-2</v>
      </c>
      <c r="G17" s="670">
        <f t="shared" si="2"/>
        <v>1774</v>
      </c>
      <c r="H17" s="671">
        <f t="shared" si="3"/>
        <v>4.1474762116288311E-2</v>
      </c>
      <c r="I17" s="175"/>
      <c r="K17" s="176"/>
      <c r="N17" s="490"/>
      <c r="O17" s="672"/>
      <c r="P17" s="673"/>
      <c r="Q17" s="584"/>
    </row>
    <row r="18" spans="1:17">
      <c r="A18" s="182"/>
      <c r="B18" s="14"/>
      <c r="C18" s="13"/>
      <c r="D18" s="667" t="s">
        <v>79</v>
      </c>
      <c r="E18" s="668">
        <f t="shared" si="0"/>
        <v>12046163.540000016</v>
      </c>
      <c r="F18" s="669">
        <f t="shared" si="1"/>
        <v>4.0651431882646964E-2</v>
      </c>
      <c r="G18" s="670">
        <f t="shared" si="2"/>
        <v>1930</v>
      </c>
      <c r="H18" s="671">
        <f t="shared" si="3"/>
        <v>4.5121922708250529E-2</v>
      </c>
      <c r="I18" s="175"/>
      <c r="K18" s="176"/>
      <c r="N18" s="490"/>
      <c r="O18" s="672"/>
      <c r="P18" s="673"/>
      <c r="Q18" s="584"/>
    </row>
    <row r="19" spans="1:17">
      <c r="A19" s="182"/>
      <c r="B19" s="14"/>
      <c r="C19" s="13"/>
      <c r="D19" s="667" t="s">
        <v>80</v>
      </c>
      <c r="E19" s="668">
        <f t="shared" si="0"/>
        <v>2516144.890000002</v>
      </c>
      <c r="F19" s="669">
        <f t="shared" si="1"/>
        <v>8.4910762055539196E-3</v>
      </c>
      <c r="G19" s="670">
        <f t="shared" si="2"/>
        <v>371</v>
      </c>
      <c r="H19" s="671">
        <f t="shared" si="3"/>
        <v>8.6736960231922015E-3</v>
      </c>
      <c r="I19" s="175"/>
      <c r="K19" s="176"/>
      <c r="N19" s="490"/>
      <c r="O19" s="672"/>
      <c r="P19" s="673"/>
      <c r="Q19" s="584"/>
    </row>
    <row r="20" spans="1:17">
      <c r="A20" s="182"/>
      <c r="B20" s="14"/>
      <c r="C20" s="13"/>
      <c r="D20" s="667" t="s">
        <v>81</v>
      </c>
      <c r="E20" s="668">
        <f t="shared" si="0"/>
        <v>5506030.5300000003</v>
      </c>
      <c r="F20" s="669">
        <f t="shared" si="1"/>
        <v>1.8580855580354279E-2</v>
      </c>
      <c r="G20" s="670">
        <f t="shared" si="2"/>
        <v>800</v>
      </c>
      <c r="H20" s="671">
        <f t="shared" si="3"/>
        <v>1.8703387651088303E-2</v>
      </c>
      <c r="I20" s="175"/>
      <c r="K20" s="176"/>
      <c r="N20" s="490"/>
      <c r="O20" s="672"/>
      <c r="P20" s="673"/>
      <c r="Q20" s="584"/>
    </row>
    <row r="21" spans="1:17">
      <c r="A21" s="182"/>
      <c r="B21" s="14"/>
      <c r="C21" s="13"/>
      <c r="D21" s="667" t="s">
        <v>121</v>
      </c>
      <c r="E21" s="668">
        <f t="shared" si="0"/>
        <v>21475405.839999955</v>
      </c>
      <c r="F21" s="669">
        <f t="shared" si="1"/>
        <v>7.2471703937779658E-2</v>
      </c>
      <c r="G21" s="670">
        <f t="shared" si="2"/>
        <v>3046</v>
      </c>
      <c r="H21" s="671">
        <f t="shared" si="3"/>
        <v>7.1213148481518718E-2</v>
      </c>
      <c r="I21" s="175"/>
      <c r="K21" s="176"/>
      <c r="N21" s="490"/>
      <c r="O21" s="672"/>
      <c r="P21" s="673"/>
      <c r="Q21" s="584"/>
    </row>
    <row r="22" spans="1:17">
      <c r="A22" s="182"/>
      <c r="B22" s="14"/>
      <c r="C22" s="13"/>
      <c r="D22" s="667" t="s">
        <v>945</v>
      </c>
      <c r="E22" s="668">
        <f t="shared" si="0"/>
        <v>11231522.259999994</v>
      </c>
      <c r="F22" s="669">
        <f t="shared" si="1"/>
        <v>3.7902313095346057E-2</v>
      </c>
      <c r="G22" s="670">
        <f t="shared" si="2"/>
        <v>1607</v>
      </c>
      <c r="H22" s="671">
        <f t="shared" si="3"/>
        <v>3.7570429944123629E-2</v>
      </c>
      <c r="I22" s="175"/>
      <c r="K22" s="176"/>
      <c r="N22" s="490"/>
      <c r="O22" s="672"/>
      <c r="P22" s="673"/>
      <c r="Q22" s="584"/>
    </row>
    <row r="23" spans="1:17">
      <c r="A23" s="182"/>
      <c r="B23" s="14"/>
      <c r="C23" s="13"/>
      <c r="D23" s="667" t="s">
        <v>122</v>
      </c>
      <c r="E23" s="668">
        <f t="shared" si="0"/>
        <v>29786505.259999976</v>
      </c>
      <c r="F23" s="669">
        <f t="shared" si="1"/>
        <v>0.1005186494088551</v>
      </c>
      <c r="G23" s="670">
        <f t="shared" si="2"/>
        <v>4393</v>
      </c>
      <c r="H23" s="671">
        <f t="shared" si="3"/>
        <v>0.10270497743903864</v>
      </c>
      <c r="I23" s="175"/>
      <c r="K23" s="176"/>
      <c r="N23" s="490"/>
      <c r="O23" s="672"/>
      <c r="P23" s="673"/>
      <c r="Q23" s="584"/>
    </row>
    <row r="24" spans="1:17" ht="12.75" customHeight="1">
      <c r="A24" s="182"/>
      <c r="B24" s="14"/>
      <c r="C24" s="13"/>
      <c r="D24" s="667" t="s">
        <v>946</v>
      </c>
      <c r="E24" s="668">
        <f t="shared" si="0"/>
        <v>64044765.519999973</v>
      </c>
      <c r="F24" s="669">
        <f t="shared" si="1"/>
        <v>0.21612784969515467</v>
      </c>
      <c r="G24" s="670">
        <f t="shared" si="2"/>
        <v>9142</v>
      </c>
      <c r="H24" s="671">
        <f t="shared" si="3"/>
        <v>0.21373296238281159</v>
      </c>
      <c r="I24" s="175"/>
      <c r="K24" s="176"/>
      <c r="N24" s="490"/>
      <c r="O24" s="672"/>
      <c r="P24" s="673"/>
      <c r="Q24" s="584"/>
    </row>
    <row r="25" spans="1:17">
      <c r="A25" s="182"/>
      <c r="B25" s="14"/>
      <c r="C25" s="13"/>
      <c r="D25" s="667" t="s">
        <v>947</v>
      </c>
      <c r="E25" s="668">
        <f t="shared" si="0"/>
        <v>15066583.200000038</v>
      </c>
      <c r="F25" s="669">
        <f t="shared" si="1"/>
        <v>5.0844252497922987E-2</v>
      </c>
      <c r="G25" s="670">
        <f t="shared" si="2"/>
        <v>2187</v>
      </c>
      <c r="H25" s="671">
        <f t="shared" si="3"/>
        <v>5.1130385991162652E-2</v>
      </c>
      <c r="I25" s="175"/>
      <c r="K25" s="176"/>
      <c r="N25" s="490"/>
      <c r="O25" s="672"/>
      <c r="P25" s="673"/>
      <c r="Q25" s="584"/>
    </row>
    <row r="26" spans="1:17">
      <c r="A26" s="182"/>
      <c r="B26" s="14"/>
      <c r="C26" s="13"/>
      <c r="D26" s="667" t="s">
        <v>82</v>
      </c>
      <c r="E26" s="668">
        <f t="shared" si="0"/>
        <v>3619380.6500000036</v>
      </c>
      <c r="F26" s="669">
        <f t="shared" si="1"/>
        <v>1.2214096667564039E-2</v>
      </c>
      <c r="G26" s="670">
        <f t="shared" si="2"/>
        <v>541</v>
      </c>
      <c r="H26" s="671">
        <f t="shared" si="3"/>
        <v>1.2648165899048465E-2</v>
      </c>
      <c r="I26" s="175"/>
      <c r="K26" s="176"/>
      <c r="N26" s="490"/>
      <c r="O26" s="672"/>
      <c r="P26" s="673"/>
      <c r="Q26" s="584"/>
    </row>
    <row r="27" spans="1:17">
      <c r="A27" s="182"/>
      <c r="B27" s="14"/>
      <c r="C27" s="13"/>
      <c r="D27" s="667" t="s">
        <v>123</v>
      </c>
      <c r="E27" s="668">
        <f t="shared" si="0"/>
        <v>13787393.260000024</v>
      </c>
      <c r="F27" s="669">
        <f t="shared" si="1"/>
        <v>4.6527450510451568E-2</v>
      </c>
      <c r="G27" s="670">
        <f t="shared" si="2"/>
        <v>2176</v>
      </c>
      <c r="H27" s="671">
        <f t="shared" si="3"/>
        <v>5.0873214410960182E-2</v>
      </c>
      <c r="I27" s="175"/>
      <c r="K27" s="176"/>
      <c r="N27" s="490"/>
      <c r="O27" s="672"/>
      <c r="P27" s="673"/>
      <c r="Q27" s="584"/>
    </row>
    <row r="28" spans="1:17">
      <c r="A28" s="182"/>
      <c r="B28" s="14"/>
      <c r="C28" s="13"/>
      <c r="D28" s="667" t="s">
        <v>124</v>
      </c>
      <c r="E28" s="668">
        <f t="shared" si="0"/>
        <v>11822522.329999987</v>
      </c>
      <c r="F28" s="669">
        <f t="shared" si="1"/>
        <v>3.9896723930668676E-2</v>
      </c>
      <c r="G28" s="670">
        <f t="shared" si="2"/>
        <v>1770</v>
      </c>
      <c r="H28" s="671">
        <f t="shared" si="3"/>
        <v>4.138124517803287E-2</v>
      </c>
      <c r="I28" s="175"/>
      <c r="K28" s="176"/>
      <c r="N28" s="490"/>
      <c r="O28" s="672"/>
      <c r="P28" s="673"/>
      <c r="Q28" s="584"/>
    </row>
    <row r="29" spans="1:17">
      <c r="A29" s="182"/>
      <c r="B29" s="14"/>
      <c r="C29" s="13"/>
      <c r="D29" s="667" t="s">
        <v>948</v>
      </c>
      <c r="E29" s="668">
        <f t="shared" si="0"/>
        <v>9916393.7599999942</v>
      </c>
      <c r="F29" s="669">
        <f t="shared" si="1"/>
        <v>3.3464231505539115E-2</v>
      </c>
      <c r="G29" s="670">
        <f t="shared" si="2"/>
        <v>1538</v>
      </c>
      <c r="H29" s="671">
        <f t="shared" si="3"/>
        <v>3.5957262759217262E-2</v>
      </c>
      <c r="I29" s="175"/>
      <c r="K29" s="176"/>
      <c r="N29" s="490"/>
      <c r="O29" s="672"/>
      <c r="P29" s="673"/>
      <c r="Q29" s="584"/>
    </row>
    <row r="30" spans="1:17" ht="13" thickBot="1">
      <c r="A30" s="182"/>
      <c r="B30" s="14"/>
      <c r="C30" s="13"/>
      <c r="D30" s="667" t="s">
        <v>125</v>
      </c>
      <c r="E30" s="668">
        <f t="shared" si="0"/>
        <v>9200090.4500000067</v>
      </c>
      <c r="F30" s="669">
        <f t="shared" si="1"/>
        <v>3.1046967692285342E-2</v>
      </c>
      <c r="G30" s="670">
        <f t="shared" si="2"/>
        <v>1421</v>
      </c>
      <c r="H30" s="671">
        <f t="shared" si="3"/>
        <v>3.3221892315245596E-2</v>
      </c>
      <c r="I30" s="175"/>
      <c r="J30" s="175"/>
      <c r="K30" s="176"/>
      <c r="N30" s="490"/>
      <c r="O30" s="672"/>
      <c r="P30" s="673"/>
      <c r="Q30" s="584"/>
    </row>
    <row r="31" spans="1:17" ht="14" thickTop="1" thickBot="1">
      <c r="A31" s="182"/>
      <c r="B31" s="14"/>
      <c r="C31" s="13"/>
      <c r="D31" s="603" t="s">
        <v>36</v>
      </c>
      <c r="E31" s="604">
        <f>SUM(E14:E30)</f>
        <v>296328148.41000003</v>
      </c>
      <c r="F31" s="674">
        <f>SUM(F14:F30)</f>
        <v>0.99999999999999989</v>
      </c>
      <c r="G31" s="606">
        <f>SUM(G14:G30)</f>
        <v>42773</v>
      </c>
      <c r="H31" s="675">
        <f>SUM(H14:H30)</f>
        <v>1</v>
      </c>
      <c r="I31" s="175"/>
      <c r="J31" s="175"/>
      <c r="K31" s="176"/>
      <c r="M31" s="608"/>
      <c r="N31" s="609"/>
      <c r="O31" s="623"/>
      <c r="P31" s="611"/>
      <c r="Q31" s="623"/>
    </row>
    <row r="32" spans="1:17">
      <c r="A32" s="182"/>
      <c r="B32" s="14"/>
      <c r="C32" s="13"/>
      <c r="D32" s="21"/>
      <c r="E32" s="489"/>
      <c r="F32" s="490"/>
      <c r="G32" s="372"/>
      <c r="H32" s="21"/>
      <c r="I32" s="175"/>
      <c r="J32" s="175"/>
      <c r="K32" s="176"/>
      <c r="N32" s="489"/>
      <c r="O32" s="490"/>
      <c r="P32" s="372"/>
    </row>
    <row r="33" spans="1:17">
      <c r="A33" s="182"/>
      <c r="B33" s="14"/>
      <c r="C33" s="13"/>
      <c r="D33" s="21"/>
      <c r="E33" s="489"/>
      <c r="F33" s="490"/>
      <c r="G33" s="372"/>
      <c r="H33" s="21"/>
      <c r="I33" s="175"/>
      <c r="J33" s="175"/>
      <c r="K33" s="176"/>
      <c r="N33" s="489"/>
      <c r="O33" s="490"/>
      <c r="P33" s="372"/>
    </row>
    <row r="34" spans="1:17">
      <c r="A34" s="182"/>
      <c r="B34" s="14"/>
      <c r="C34" s="13"/>
      <c r="D34" s="21"/>
      <c r="E34" s="489"/>
      <c r="F34" s="490"/>
      <c r="G34" s="372"/>
      <c r="H34" s="21"/>
      <c r="I34" s="175"/>
      <c r="J34" s="175"/>
      <c r="K34" s="176"/>
      <c r="N34" s="489"/>
      <c r="O34" s="490"/>
      <c r="P34" s="372"/>
    </row>
    <row r="35" spans="1:17">
      <c r="A35" s="182"/>
      <c r="B35" s="14"/>
      <c r="C35" s="13"/>
      <c r="D35" s="21"/>
      <c r="E35" s="489"/>
      <c r="F35" s="490"/>
      <c r="G35" s="372"/>
      <c r="H35" s="21"/>
      <c r="I35" s="175"/>
      <c r="J35" s="175"/>
      <c r="K35" s="176"/>
      <c r="N35" s="489"/>
      <c r="O35" s="490"/>
      <c r="P35" s="372"/>
    </row>
    <row r="36" spans="1:17">
      <c r="A36" s="182"/>
      <c r="B36" s="14"/>
      <c r="C36" s="13"/>
      <c r="D36" s="21"/>
      <c r="E36" s="489"/>
      <c r="F36" s="490"/>
      <c r="G36" s="372"/>
      <c r="H36" s="21"/>
      <c r="I36" s="175"/>
      <c r="J36" s="175"/>
      <c r="K36" s="176"/>
      <c r="N36" s="489"/>
      <c r="O36" s="490"/>
      <c r="P36" s="372"/>
    </row>
    <row r="37" spans="1:17">
      <c r="A37" s="182"/>
      <c r="B37" s="14"/>
      <c r="C37" s="13"/>
      <c r="D37" s="21"/>
      <c r="E37" s="489"/>
      <c r="F37" s="490"/>
      <c r="G37" s="372"/>
      <c r="H37" s="21"/>
      <c r="I37" s="175"/>
      <c r="J37" s="175"/>
      <c r="K37" s="176"/>
      <c r="N37" s="489"/>
      <c r="O37" s="490"/>
      <c r="P37" s="372"/>
    </row>
    <row r="38" spans="1:17">
      <c r="A38" s="182"/>
      <c r="B38" s="14"/>
      <c r="C38" s="13"/>
      <c r="D38" s="21"/>
      <c r="E38" s="489"/>
      <c r="F38" s="490"/>
      <c r="G38" s="372"/>
      <c r="H38" s="21"/>
      <c r="I38" s="175"/>
      <c r="J38" s="175"/>
      <c r="K38" s="176"/>
      <c r="N38" s="489"/>
      <c r="O38" s="490"/>
      <c r="P38" s="372"/>
    </row>
    <row r="39" spans="1:17">
      <c r="A39" s="182"/>
      <c r="B39" s="14"/>
      <c r="C39" s="13"/>
      <c r="D39" s="21"/>
      <c r="E39" s="489"/>
      <c r="F39" s="490"/>
      <c r="G39" s="372"/>
      <c r="H39" s="21"/>
      <c r="I39" s="175"/>
      <c r="J39" s="175"/>
      <c r="K39" s="176"/>
      <c r="N39" s="489"/>
      <c r="O39" s="490"/>
      <c r="P39" s="372"/>
    </row>
    <row r="40" spans="1:17">
      <c r="A40" s="182"/>
      <c r="B40" s="14"/>
      <c r="C40" s="13"/>
      <c r="D40" s="21"/>
      <c r="E40" s="489"/>
      <c r="F40" s="490"/>
      <c r="G40" s="372"/>
      <c r="H40" s="21"/>
      <c r="I40" s="175"/>
      <c r="J40" s="175"/>
      <c r="K40" s="176"/>
      <c r="N40" s="489"/>
      <c r="O40" s="490"/>
      <c r="P40" s="372"/>
    </row>
    <row r="41" spans="1:17">
      <c r="A41" s="182"/>
      <c r="B41" s="14"/>
      <c r="C41" s="13"/>
      <c r="D41" s="21"/>
      <c r="E41" s="489"/>
      <c r="F41" s="490"/>
      <c r="G41" s="372"/>
      <c r="H41" s="21"/>
      <c r="I41" s="175"/>
      <c r="J41" s="175"/>
      <c r="K41" s="176"/>
      <c r="N41" s="489"/>
      <c r="O41" s="490"/>
      <c r="P41" s="372"/>
    </row>
    <row r="42" spans="1:17">
      <c r="A42" s="182"/>
      <c r="B42" s="14"/>
      <c r="C42" s="13"/>
      <c r="D42" s="21"/>
      <c r="E42" s="489"/>
      <c r="F42" s="490"/>
      <c r="G42" s="372"/>
      <c r="H42" s="21"/>
      <c r="I42" s="175"/>
      <c r="J42" s="175"/>
      <c r="K42" s="176"/>
      <c r="N42" s="489"/>
      <c r="O42" s="490"/>
      <c r="P42" s="372"/>
    </row>
    <row r="43" spans="1:17">
      <c r="A43" s="182"/>
      <c r="B43" s="14"/>
      <c r="C43" s="13"/>
      <c r="D43" s="21"/>
      <c r="E43" s="489"/>
      <c r="F43" s="490"/>
      <c r="G43" s="372"/>
      <c r="H43" s="21"/>
      <c r="I43" s="175"/>
      <c r="J43" s="175"/>
      <c r="K43" s="176"/>
      <c r="N43" s="489"/>
      <c r="O43" s="490"/>
      <c r="P43" s="372"/>
    </row>
    <row r="44" spans="1:17">
      <c r="A44" s="182"/>
      <c r="B44" s="14"/>
      <c r="C44" s="13"/>
      <c r="D44" s="21"/>
      <c r="E44" s="489"/>
      <c r="F44" s="490"/>
      <c r="G44" s="372"/>
      <c r="H44" s="21"/>
      <c r="I44" s="175"/>
      <c r="J44" s="175"/>
      <c r="K44" s="176"/>
      <c r="N44" s="489"/>
      <c r="O44" s="490"/>
      <c r="P44" s="372"/>
    </row>
    <row r="45" spans="1:17">
      <c r="A45" s="182"/>
      <c r="B45" s="14"/>
      <c r="C45" s="13"/>
      <c r="D45" s="21"/>
      <c r="E45" s="489"/>
      <c r="F45" s="490"/>
      <c r="G45" s="372"/>
      <c r="H45" s="21"/>
      <c r="I45" s="175"/>
      <c r="J45" s="175"/>
      <c r="K45" s="176"/>
      <c r="N45" s="489"/>
      <c r="O45" s="490"/>
      <c r="P45" s="372"/>
    </row>
    <row r="46" spans="1:17">
      <c r="A46" s="182"/>
      <c r="B46" s="14"/>
      <c r="C46" s="13"/>
      <c r="D46" s="21"/>
      <c r="E46" s="489"/>
      <c r="F46" s="490"/>
      <c r="G46" s="372"/>
      <c r="H46" s="21"/>
      <c r="I46" s="175"/>
      <c r="J46" s="175"/>
      <c r="K46" s="176"/>
      <c r="N46" s="489"/>
      <c r="O46" s="490"/>
      <c r="P46" s="372"/>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154</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155</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104</v>
      </c>
      <c r="E13" s="538" t="s">
        <v>71</v>
      </c>
      <c r="F13" s="504" t="s">
        <v>118</v>
      </c>
      <c r="G13" s="505" t="s">
        <v>61</v>
      </c>
      <c r="H13" s="539" t="s">
        <v>119</v>
      </c>
      <c r="I13" s="175"/>
      <c r="K13" s="113"/>
      <c r="M13" s="215"/>
      <c r="N13" s="218"/>
      <c r="O13" s="216"/>
      <c r="P13" s="500"/>
      <c r="Q13" s="500"/>
    </row>
    <row r="14" spans="1:17" ht="13.5" customHeight="1">
      <c r="A14" s="182"/>
      <c r="B14" s="14"/>
      <c r="C14" s="13"/>
      <c r="D14" s="645" t="s">
        <v>657</v>
      </c>
      <c r="E14" s="646">
        <f>VLOOKUP(CONCATENATE("Collateral_",D14),Assets_20,3,0)</f>
        <v>24323806.56000004</v>
      </c>
      <c r="F14" s="647">
        <f>E14/$E$16</f>
        <v>8.2084023034982162E-2</v>
      </c>
      <c r="G14" s="648">
        <f>VLOOKUP(CONCATENATE("Collateral_",D14),Assets_20,2,0)</f>
        <v>2096</v>
      </c>
      <c r="H14" s="649">
        <f>G14/$G$16</f>
        <v>4.9002875645851353E-2</v>
      </c>
      <c r="I14" s="175"/>
      <c r="K14" s="176"/>
      <c r="M14" s="641"/>
      <c r="N14" s="642"/>
      <c r="O14" s="650"/>
      <c r="P14" s="651"/>
      <c r="Q14" s="643"/>
    </row>
    <row r="15" spans="1:17" ht="13" thickBot="1">
      <c r="A15" s="182"/>
      <c r="B15" s="14"/>
      <c r="C15" s="13"/>
      <c r="D15" s="652" t="s">
        <v>658</v>
      </c>
      <c r="E15" s="653">
        <f>VLOOKUP(CONCATENATE("Collateral_",D15),Assets_20,3,0)</f>
        <v>272004341.84999979</v>
      </c>
      <c r="F15" s="654">
        <f>E15/$E$16</f>
        <v>0.91791597696501781</v>
      </c>
      <c r="G15" s="655">
        <f>VLOOKUP(CONCATENATE("Collateral_",D15),Assets_20,2,0)</f>
        <v>40677</v>
      </c>
      <c r="H15" s="656">
        <f>G15/$G$16</f>
        <v>0.95099712435414863</v>
      </c>
      <c r="I15" s="175"/>
      <c r="K15" s="176"/>
      <c r="M15" s="641"/>
      <c r="N15" s="642"/>
      <c r="O15" s="650"/>
      <c r="P15" s="651"/>
      <c r="Q15" s="643"/>
    </row>
    <row r="16" spans="1:17" ht="14" thickTop="1" thickBot="1">
      <c r="A16" s="182"/>
      <c r="B16" s="14"/>
      <c r="C16" s="13"/>
      <c r="D16" s="533" t="s">
        <v>36</v>
      </c>
      <c r="E16" s="493">
        <f>SUM(E14:E15)</f>
        <v>296328148.40999985</v>
      </c>
      <c r="F16" s="572">
        <f>SUM(F14:F15)</f>
        <v>1</v>
      </c>
      <c r="G16" s="495">
        <f>SUM(G14:G15)</f>
        <v>42773</v>
      </c>
      <c r="H16" s="574">
        <f>SUM(H14:H15)</f>
        <v>1</v>
      </c>
      <c r="I16" s="175"/>
      <c r="K16" s="176"/>
      <c r="M16" s="37"/>
      <c r="N16" s="514"/>
      <c r="O16" s="657"/>
      <c r="P16" s="516"/>
      <c r="Q16" s="575"/>
    </row>
    <row r="17" spans="1:17">
      <c r="A17" s="182"/>
      <c r="B17" s="14"/>
      <c r="C17" s="13"/>
      <c r="D17" s="106"/>
      <c r="E17" s="106"/>
      <c r="F17" s="106"/>
      <c r="G17" s="106"/>
      <c r="H17" s="106"/>
      <c r="I17" s="175"/>
      <c r="K17" s="176"/>
    </row>
    <row r="18" spans="1:17">
      <c r="A18" s="182"/>
      <c r="B18" s="14"/>
      <c r="C18" s="13"/>
      <c r="D18" s="106"/>
      <c r="E18" s="234"/>
      <c r="F18" s="106"/>
      <c r="G18" s="578"/>
      <c r="H18" s="106"/>
      <c r="I18" s="175"/>
      <c r="K18" s="176"/>
      <c r="N18" s="234"/>
      <c r="P18" s="579"/>
    </row>
    <row r="19" spans="1:17">
      <c r="A19" s="182"/>
      <c r="B19" s="14"/>
      <c r="C19" s="13"/>
      <c r="D19" s="106"/>
      <c r="E19" s="106"/>
      <c r="F19" s="106"/>
      <c r="G19" s="106"/>
      <c r="H19" s="106"/>
      <c r="I19" s="175"/>
      <c r="K19" s="176"/>
    </row>
    <row r="20" spans="1:17">
      <c r="A20" s="182"/>
      <c r="B20" s="14"/>
      <c r="C20" s="13"/>
      <c r="D20" s="106"/>
      <c r="E20" s="106"/>
      <c r="F20" s="106"/>
      <c r="G20" s="106"/>
      <c r="H20" s="106"/>
      <c r="I20" s="175"/>
      <c r="K20" s="176"/>
    </row>
    <row r="21" spans="1:17">
      <c r="A21" s="182"/>
      <c r="B21" s="14"/>
      <c r="C21" s="13"/>
      <c r="D21" s="106"/>
      <c r="E21" s="106"/>
      <c r="F21" s="106"/>
      <c r="G21" s="106"/>
      <c r="H21" s="106"/>
      <c r="I21" s="175"/>
      <c r="K21" s="176"/>
    </row>
    <row r="22" spans="1:17">
      <c r="A22" s="182"/>
      <c r="B22" s="14"/>
      <c r="C22" s="13"/>
      <c r="D22" s="106"/>
      <c r="E22" s="106"/>
      <c r="F22" s="106"/>
      <c r="G22" s="106"/>
      <c r="H22" s="106"/>
      <c r="I22" s="175"/>
      <c r="K22" s="176"/>
    </row>
    <row r="23" spans="1:17">
      <c r="A23" s="182"/>
      <c r="B23" s="14"/>
      <c r="C23" s="13"/>
      <c r="D23" s="106"/>
      <c r="E23" s="106"/>
      <c r="F23" s="106"/>
      <c r="G23" s="106"/>
      <c r="H23" s="106"/>
      <c r="I23" s="175"/>
      <c r="K23" s="176"/>
    </row>
    <row r="24" spans="1:17">
      <c r="A24" s="182"/>
      <c r="B24" s="14"/>
      <c r="C24" s="13"/>
      <c r="D24" s="106"/>
      <c r="E24" s="106"/>
      <c r="F24" s="106"/>
      <c r="G24" s="106"/>
      <c r="H24" s="106"/>
      <c r="I24" s="175"/>
      <c r="K24" s="176"/>
    </row>
    <row r="25" spans="1:17">
      <c r="A25" s="182"/>
      <c r="B25" s="14"/>
      <c r="C25" s="13"/>
      <c r="D25" s="106"/>
      <c r="E25" s="106"/>
      <c r="F25" s="106"/>
      <c r="G25" s="106"/>
      <c r="H25" s="106"/>
      <c r="I25" s="175"/>
      <c r="K25" s="176"/>
    </row>
    <row r="26" spans="1:17">
      <c r="A26" s="182"/>
      <c r="B26" s="14"/>
      <c r="C26" s="13"/>
      <c r="D26" s="106"/>
      <c r="E26" s="106"/>
      <c r="F26" s="106"/>
      <c r="G26" s="106"/>
      <c r="H26" s="106"/>
      <c r="I26" s="175"/>
      <c r="K26" s="176"/>
    </row>
    <row r="27" spans="1:17">
      <c r="A27" s="182"/>
      <c r="B27" s="14"/>
      <c r="C27" s="13"/>
      <c r="D27" s="106"/>
      <c r="E27" s="106"/>
      <c r="F27" s="106"/>
      <c r="G27" s="106"/>
      <c r="H27" s="106"/>
      <c r="I27" s="175"/>
      <c r="K27" s="176"/>
    </row>
    <row r="28" spans="1:17">
      <c r="A28" s="182"/>
      <c r="B28" s="14"/>
      <c r="C28" s="13"/>
      <c r="D28" s="658"/>
      <c r="E28" s="659"/>
      <c r="F28" s="660"/>
      <c r="G28" s="661"/>
      <c r="H28" s="660"/>
      <c r="I28" s="175"/>
      <c r="K28" s="176"/>
      <c r="M28" s="658"/>
      <c r="N28" s="659"/>
      <c r="O28" s="660"/>
      <c r="P28" s="661"/>
      <c r="Q28" s="660"/>
    </row>
    <row r="29" spans="1:17">
      <c r="A29" s="182"/>
      <c r="B29" s="14"/>
      <c r="C29" s="13"/>
      <c r="D29" s="658"/>
      <c r="E29" s="659"/>
      <c r="F29" s="660"/>
      <c r="G29" s="661"/>
      <c r="H29" s="660"/>
      <c r="I29" s="175"/>
      <c r="K29" s="176"/>
      <c r="M29" s="658"/>
      <c r="N29" s="659"/>
      <c r="O29" s="660"/>
      <c r="P29" s="661"/>
      <c r="Q29" s="660"/>
    </row>
    <row r="30" spans="1:17">
      <c r="A30" s="182"/>
      <c r="B30" s="14"/>
      <c r="C30" s="13"/>
      <c r="D30" s="658"/>
      <c r="E30" s="659"/>
      <c r="F30" s="660"/>
      <c r="G30" s="661"/>
      <c r="H30" s="660"/>
      <c r="I30" s="175"/>
      <c r="K30" s="176"/>
      <c r="M30" s="658"/>
      <c r="N30" s="659"/>
      <c r="O30" s="660"/>
      <c r="P30" s="661"/>
      <c r="Q30" s="660"/>
    </row>
    <row r="31" spans="1:17">
      <c r="A31" s="182"/>
      <c r="B31" s="14"/>
      <c r="C31" s="13"/>
      <c r="D31" s="658"/>
      <c r="E31" s="659"/>
      <c r="F31" s="660"/>
      <c r="G31" s="661"/>
      <c r="H31" s="660"/>
      <c r="I31" s="175"/>
      <c r="K31" s="176"/>
      <c r="M31" s="658"/>
      <c r="N31" s="659"/>
      <c r="O31" s="660"/>
      <c r="P31" s="661"/>
      <c r="Q31" s="660"/>
    </row>
    <row r="32" spans="1:17">
      <c r="A32" s="182"/>
      <c r="B32" s="14"/>
      <c r="C32" s="13"/>
      <c r="D32" s="658"/>
      <c r="E32" s="659"/>
      <c r="F32" s="660"/>
      <c r="G32" s="661"/>
      <c r="H32" s="660"/>
      <c r="I32" s="175"/>
      <c r="K32" s="176"/>
      <c r="M32" s="658"/>
      <c r="N32" s="659"/>
      <c r="O32" s="660"/>
      <c r="P32" s="661"/>
      <c r="Q32" s="660"/>
    </row>
    <row r="33" spans="1:17">
      <c r="A33" s="182"/>
      <c r="B33" s="14"/>
      <c r="C33" s="13"/>
      <c r="D33" s="658"/>
      <c r="E33" s="659"/>
      <c r="F33" s="660"/>
      <c r="G33" s="661"/>
      <c r="H33" s="660"/>
      <c r="I33" s="175"/>
      <c r="K33" s="176"/>
      <c r="M33" s="658"/>
      <c r="N33" s="659"/>
      <c r="O33" s="660"/>
      <c r="P33" s="661"/>
      <c r="Q33" s="660"/>
    </row>
    <row r="34" spans="1:17">
      <c r="A34" s="182"/>
      <c r="B34" s="14"/>
      <c r="C34" s="13"/>
      <c r="D34" s="658"/>
      <c r="E34" s="659"/>
      <c r="F34" s="660"/>
      <c r="G34" s="661"/>
      <c r="H34" s="660"/>
      <c r="I34" s="175"/>
      <c r="K34" s="176"/>
      <c r="M34" s="658"/>
      <c r="N34" s="659"/>
      <c r="O34" s="660"/>
      <c r="P34" s="661"/>
      <c r="Q34" s="660"/>
    </row>
    <row r="35" spans="1:17">
      <c r="A35" s="182"/>
      <c r="B35" s="14"/>
      <c r="C35" s="13"/>
      <c r="D35" s="658"/>
      <c r="E35" s="659"/>
      <c r="F35" s="660"/>
      <c r="G35" s="661"/>
      <c r="H35" s="660"/>
      <c r="I35" s="175"/>
      <c r="K35" s="176"/>
      <c r="M35" s="658"/>
      <c r="N35" s="659"/>
      <c r="O35" s="660"/>
      <c r="P35" s="661"/>
      <c r="Q35" s="660"/>
    </row>
    <row r="36" spans="1:17">
      <c r="A36" s="182"/>
      <c r="B36" s="14"/>
      <c r="C36" s="13"/>
      <c r="D36" s="658"/>
      <c r="E36" s="659"/>
      <c r="F36" s="660"/>
      <c r="G36" s="661"/>
      <c r="H36" s="660"/>
      <c r="I36" s="175"/>
      <c r="K36" s="176"/>
      <c r="M36" s="658"/>
      <c r="N36" s="659"/>
      <c r="O36" s="660"/>
      <c r="P36" s="661"/>
      <c r="Q36" s="660"/>
    </row>
    <row r="37" spans="1:17">
      <c r="A37" s="182"/>
      <c r="B37" s="14"/>
      <c r="C37" s="13"/>
      <c r="D37" s="658"/>
      <c r="E37" s="659"/>
      <c r="F37" s="660"/>
      <c r="G37" s="661"/>
      <c r="H37" s="660"/>
      <c r="I37" s="175"/>
      <c r="K37" s="176"/>
      <c r="M37" s="658"/>
      <c r="N37" s="659"/>
      <c r="O37" s="660"/>
      <c r="P37" s="661"/>
      <c r="Q37" s="660"/>
    </row>
    <row r="38" spans="1:17">
      <c r="A38" s="182"/>
      <c r="B38" s="14"/>
      <c r="C38" s="13"/>
      <c r="D38" s="658"/>
      <c r="E38" s="659"/>
      <c r="F38" s="660"/>
      <c r="G38" s="661"/>
      <c r="H38" s="660"/>
      <c r="I38" s="175"/>
      <c r="K38" s="176"/>
      <c r="M38" s="658"/>
      <c r="N38" s="659"/>
      <c r="O38" s="660"/>
      <c r="P38" s="661"/>
      <c r="Q38" s="660"/>
    </row>
    <row r="39" spans="1:17">
      <c r="A39" s="182"/>
      <c r="B39" s="14"/>
      <c r="C39" s="13"/>
      <c r="D39" s="658"/>
      <c r="E39" s="659"/>
      <c r="F39" s="660"/>
      <c r="G39" s="661"/>
      <c r="H39" s="660"/>
      <c r="I39" s="175"/>
      <c r="K39" s="176"/>
      <c r="M39" s="658"/>
      <c r="N39" s="659"/>
      <c r="O39" s="660"/>
      <c r="P39" s="661"/>
      <c r="Q39" s="660"/>
    </row>
    <row r="40" spans="1:17">
      <c r="A40" s="182"/>
      <c r="B40" s="14"/>
      <c r="C40" s="13"/>
      <c r="D40" s="658"/>
      <c r="E40" s="659"/>
      <c r="F40" s="660"/>
      <c r="G40" s="661"/>
      <c r="H40" s="660"/>
      <c r="I40" s="175"/>
      <c r="K40" s="176"/>
      <c r="M40" s="658"/>
      <c r="N40" s="659"/>
      <c r="O40" s="660"/>
      <c r="P40" s="661"/>
      <c r="Q40" s="660"/>
    </row>
    <row r="41" spans="1:17">
      <c r="A41" s="182"/>
      <c r="B41" s="14"/>
      <c r="C41" s="13"/>
      <c r="D41" s="658"/>
      <c r="E41" s="659"/>
      <c r="F41" s="660"/>
      <c r="G41" s="661"/>
      <c r="H41" s="660"/>
      <c r="I41" s="175"/>
      <c r="K41" s="176"/>
      <c r="M41" s="658"/>
      <c r="N41" s="659"/>
      <c r="O41" s="660"/>
      <c r="P41" s="661"/>
      <c r="Q41" s="660"/>
    </row>
    <row r="42" spans="1:17">
      <c r="A42" s="182"/>
      <c r="B42" s="14"/>
      <c r="C42" s="13"/>
      <c r="D42" s="658"/>
      <c r="E42" s="659"/>
      <c r="F42" s="660"/>
      <c r="G42" s="661"/>
      <c r="H42" s="660"/>
      <c r="I42" s="175"/>
      <c r="K42" s="176"/>
      <c r="M42" s="658"/>
      <c r="N42" s="659"/>
      <c r="O42" s="660"/>
      <c r="P42" s="661"/>
      <c r="Q42" s="660"/>
    </row>
    <row r="43" spans="1:17">
      <c r="A43" s="182"/>
      <c r="B43" s="14"/>
      <c r="C43" s="13"/>
      <c r="D43" s="658"/>
      <c r="E43" s="659"/>
      <c r="F43" s="660"/>
      <c r="G43" s="661"/>
      <c r="H43" s="660"/>
      <c r="I43" s="175"/>
      <c r="K43" s="176"/>
      <c r="M43" s="658"/>
      <c r="N43" s="659"/>
      <c r="O43" s="660"/>
      <c r="P43" s="661"/>
      <c r="Q43" s="660"/>
    </row>
    <row r="44" spans="1:17">
      <c r="A44" s="182"/>
      <c r="B44" s="14"/>
      <c r="C44" s="13"/>
      <c r="D44" s="658"/>
      <c r="E44" s="659"/>
      <c r="F44" s="660"/>
      <c r="G44" s="661"/>
      <c r="H44" s="660"/>
      <c r="I44" s="175"/>
      <c r="K44" s="176"/>
      <c r="M44" s="658"/>
      <c r="N44" s="659"/>
      <c r="O44" s="660"/>
      <c r="P44" s="661"/>
      <c r="Q44" s="660"/>
    </row>
    <row r="45" spans="1:17">
      <c r="A45" s="182"/>
      <c r="B45" s="14"/>
      <c r="C45" s="13"/>
      <c r="D45" s="658"/>
      <c r="E45" s="659"/>
      <c r="F45" s="660"/>
      <c r="G45" s="661"/>
      <c r="H45" s="660"/>
      <c r="I45" s="175"/>
      <c r="K45" s="176"/>
      <c r="M45" s="658"/>
      <c r="N45" s="659"/>
      <c r="O45" s="660"/>
      <c r="P45" s="661"/>
      <c r="Q45" s="660"/>
    </row>
    <row r="46" spans="1:17">
      <c r="A46" s="182"/>
      <c r="B46" s="14"/>
      <c r="C46" s="13"/>
      <c r="D46" s="658"/>
      <c r="E46" s="659"/>
      <c r="F46" s="660"/>
      <c r="G46" s="661"/>
      <c r="H46" s="660"/>
      <c r="I46" s="175"/>
      <c r="K46" s="176"/>
      <c r="M46" s="658"/>
      <c r="N46" s="659"/>
      <c r="O46" s="660"/>
      <c r="P46" s="661"/>
      <c r="Q46" s="660"/>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453125" style="146" customWidth="1"/>
    <col min="4" max="4" width="19.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156</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116</v>
      </c>
      <c r="E13" s="538" t="s">
        <v>99</v>
      </c>
      <c r="F13" s="504" t="s">
        <v>118</v>
      </c>
      <c r="G13" s="505" t="s">
        <v>61</v>
      </c>
      <c r="H13" s="539" t="s">
        <v>119</v>
      </c>
      <c r="I13" s="175"/>
      <c r="K13" s="113"/>
      <c r="M13" s="215"/>
      <c r="N13" s="218"/>
      <c r="O13" s="216"/>
      <c r="P13" s="500"/>
      <c r="Q13" s="500"/>
    </row>
    <row r="14" spans="1:17" ht="13.5" customHeight="1">
      <c r="A14" s="182"/>
      <c r="B14" s="14"/>
      <c r="C14" s="13"/>
      <c r="D14" s="624" t="s">
        <v>62</v>
      </c>
      <c r="E14" s="625">
        <f>VLOOKUP(CONCATENATE("Insurance_",D14),Assets_20,3,0)</f>
        <v>114049429.03000006</v>
      </c>
      <c r="F14" s="626">
        <f>E14/$E$16</f>
        <v>0.38487544852539884</v>
      </c>
      <c r="G14" s="627">
        <f>VLOOKUP(CONCATENATE("Insurance_",D14),Assets_20,2,0)</f>
        <v>19065</v>
      </c>
      <c r="H14" s="628">
        <f>G14/$G$16</f>
        <v>0.44572510695999812</v>
      </c>
      <c r="I14" s="175"/>
      <c r="K14" s="176"/>
      <c r="M14" s="629"/>
      <c r="N14" s="630"/>
      <c r="O14" s="631"/>
      <c r="P14" s="632"/>
      <c r="Q14" s="631"/>
    </row>
    <row r="15" spans="1:17" ht="13" thickBot="1">
      <c r="A15" s="182"/>
      <c r="B15" s="14"/>
      <c r="C15" s="13"/>
      <c r="D15" s="633" t="s">
        <v>659</v>
      </c>
      <c r="E15" s="634">
        <f>VLOOKUP(CONCATENATE("Insurance_",D15),Assets_20,3,0)</f>
        <v>182278719.38000086</v>
      </c>
      <c r="F15" s="626">
        <f>E15/$E$16</f>
        <v>0.6151245514746011</v>
      </c>
      <c r="G15" s="635">
        <f>VLOOKUP(CONCATENATE("Insurance_",D15),Assets_20,2,0)</f>
        <v>23708</v>
      </c>
      <c r="H15" s="628">
        <f>G15/$G$16</f>
        <v>0.55427489304000188</v>
      </c>
      <c r="I15" s="175"/>
      <c r="K15" s="176"/>
      <c r="M15" s="629"/>
      <c r="N15" s="630"/>
      <c r="O15" s="631"/>
      <c r="P15" s="632"/>
      <c r="Q15" s="631"/>
    </row>
    <row r="16" spans="1:17" ht="14" thickTop="1" thickBot="1">
      <c r="A16" s="182"/>
      <c r="B16" s="14"/>
      <c r="C16" s="13"/>
      <c r="D16" s="603" t="s">
        <v>36</v>
      </c>
      <c r="E16" s="604">
        <f>SUM(E14:E15)</f>
        <v>296328148.41000092</v>
      </c>
      <c r="F16" s="605">
        <f>SUM(F14:F15)</f>
        <v>1</v>
      </c>
      <c r="G16" s="606">
        <f>SUM(G14:G15)</f>
        <v>42773</v>
      </c>
      <c r="H16" s="607">
        <f>SUM(H14:H15)</f>
        <v>1</v>
      </c>
      <c r="I16" s="175"/>
      <c r="K16" s="176"/>
      <c r="M16" s="608"/>
      <c r="N16" s="609"/>
      <c r="O16" s="610"/>
      <c r="P16" s="611"/>
      <c r="Q16" s="610"/>
    </row>
    <row r="17" spans="1:17">
      <c r="A17" s="182"/>
      <c r="B17" s="14"/>
      <c r="C17" s="13"/>
      <c r="D17" s="636"/>
      <c r="E17" s="637"/>
      <c r="F17" s="638"/>
      <c r="G17" s="639"/>
      <c r="H17" s="638"/>
      <c r="I17" s="175"/>
      <c r="K17" s="176"/>
      <c r="M17" s="201"/>
      <c r="N17" s="202"/>
      <c r="O17" s="640"/>
      <c r="P17" s="204"/>
      <c r="Q17" s="640"/>
    </row>
    <row r="18" spans="1:17">
      <c r="A18" s="182"/>
      <c r="B18" s="14"/>
      <c r="C18" s="13"/>
      <c r="D18" s="636"/>
      <c r="E18" s="637"/>
      <c r="F18" s="638"/>
      <c r="G18" s="639"/>
      <c r="H18" s="638"/>
      <c r="I18" s="175"/>
      <c r="K18" s="176"/>
      <c r="M18" s="201"/>
      <c r="N18" s="202"/>
      <c r="O18" s="640"/>
      <c r="P18" s="204"/>
      <c r="Q18" s="640"/>
    </row>
    <row r="19" spans="1:17">
      <c r="A19" s="182"/>
      <c r="B19" s="14"/>
      <c r="C19" s="13"/>
      <c r="D19" s="636"/>
      <c r="E19" s="637"/>
      <c r="F19" s="638"/>
      <c r="G19" s="639"/>
      <c r="H19" s="638"/>
      <c r="I19" s="175"/>
      <c r="K19" s="176"/>
      <c r="M19" s="201"/>
      <c r="N19" s="202"/>
      <c r="O19" s="640"/>
      <c r="P19" s="204"/>
      <c r="Q19" s="640"/>
    </row>
    <row r="20" spans="1:17">
      <c r="A20" s="182"/>
      <c r="B20" s="14"/>
      <c r="C20" s="13"/>
      <c r="D20" s="636"/>
      <c r="E20" s="637"/>
      <c r="F20" s="638"/>
      <c r="G20" s="639"/>
      <c r="H20" s="638"/>
      <c r="I20" s="175"/>
      <c r="K20" s="176"/>
      <c r="M20" s="201"/>
      <c r="N20" s="202"/>
      <c r="O20" s="640"/>
      <c r="P20" s="204"/>
      <c r="Q20" s="640"/>
    </row>
    <row r="21" spans="1:17">
      <c r="A21" s="182"/>
      <c r="B21" s="14"/>
      <c r="C21" s="13"/>
      <c r="D21" s="636"/>
      <c r="E21" s="637"/>
      <c r="F21" s="638"/>
      <c r="G21" s="639"/>
      <c r="H21" s="638"/>
      <c r="I21" s="175"/>
      <c r="K21" s="176"/>
      <c r="M21" s="201"/>
      <c r="N21" s="202"/>
      <c r="O21" s="640"/>
      <c r="P21" s="204"/>
      <c r="Q21" s="640"/>
    </row>
    <row r="22" spans="1:17">
      <c r="A22" s="182"/>
      <c r="B22" s="14"/>
      <c r="C22" s="13"/>
      <c r="D22" s="636"/>
      <c r="E22" s="637"/>
      <c r="F22" s="638"/>
      <c r="G22" s="639"/>
      <c r="H22" s="638"/>
      <c r="I22" s="175"/>
      <c r="K22" s="176"/>
      <c r="M22" s="201"/>
      <c r="N22" s="202"/>
      <c r="O22" s="640"/>
      <c r="P22" s="204"/>
      <c r="Q22" s="640"/>
    </row>
    <row r="23" spans="1:17">
      <c r="A23" s="182"/>
      <c r="B23" s="14"/>
      <c r="C23" s="13"/>
      <c r="D23" s="636"/>
      <c r="E23" s="637"/>
      <c r="F23" s="638"/>
      <c r="G23" s="639"/>
      <c r="H23" s="638"/>
      <c r="I23" s="175"/>
      <c r="K23" s="176"/>
      <c r="M23" s="201"/>
      <c r="N23" s="202"/>
      <c r="O23" s="640"/>
      <c r="P23" s="204"/>
      <c r="Q23" s="640"/>
    </row>
    <row r="24" spans="1:17">
      <c r="A24" s="182"/>
      <c r="B24" s="14"/>
      <c r="C24" s="13"/>
      <c r="D24" s="636"/>
      <c r="E24" s="637"/>
      <c r="F24" s="638"/>
      <c r="G24" s="639"/>
      <c r="H24" s="638"/>
      <c r="I24" s="175"/>
      <c r="K24" s="176"/>
      <c r="M24" s="201"/>
      <c r="N24" s="202"/>
      <c r="O24" s="640"/>
      <c r="P24" s="204"/>
      <c r="Q24" s="640"/>
    </row>
    <row r="25" spans="1:17">
      <c r="A25" s="182"/>
      <c r="B25" s="14"/>
      <c r="C25" s="13"/>
      <c r="D25" s="641"/>
      <c r="E25" s="642"/>
      <c r="F25" s="643"/>
      <c r="G25" s="644"/>
      <c r="H25" s="643"/>
      <c r="I25" s="175"/>
      <c r="K25" s="176"/>
      <c r="M25" s="641"/>
      <c r="N25" s="642"/>
      <c r="O25" s="643"/>
      <c r="P25" s="644"/>
      <c r="Q25" s="643"/>
    </row>
    <row r="26" spans="1:17">
      <c r="A26" s="182"/>
      <c r="B26" s="14"/>
      <c r="C26" s="13"/>
      <c r="D26" s="641"/>
      <c r="E26" s="642"/>
      <c r="F26" s="643"/>
      <c r="G26" s="644"/>
      <c r="H26" s="643"/>
      <c r="I26" s="175"/>
      <c r="K26" s="176"/>
      <c r="M26" s="641"/>
      <c r="N26" s="642"/>
      <c r="O26" s="643"/>
      <c r="P26" s="644"/>
      <c r="Q26" s="643"/>
    </row>
    <row r="27" spans="1:17">
      <c r="A27" s="182"/>
      <c r="B27" s="14"/>
      <c r="C27" s="13"/>
      <c r="D27" s="641"/>
      <c r="E27" s="642"/>
      <c r="F27" s="643"/>
      <c r="G27" s="644"/>
      <c r="H27" s="643"/>
      <c r="I27" s="175"/>
      <c r="K27" s="176"/>
      <c r="M27" s="641"/>
      <c r="N27" s="642"/>
      <c r="O27" s="643"/>
      <c r="P27" s="644"/>
      <c r="Q27" s="643"/>
    </row>
    <row r="28" spans="1:17">
      <c r="A28" s="182"/>
      <c r="B28" s="14"/>
      <c r="C28" s="13"/>
      <c r="D28" s="641"/>
      <c r="E28" s="642"/>
      <c r="F28" s="643"/>
      <c r="G28" s="644"/>
      <c r="H28" s="643"/>
      <c r="I28" s="175"/>
      <c r="K28" s="176"/>
      <c r="M28" s="641"/>
      <c r="N28" s="642"/>
      <c r="O28" s="643"/>
      <c r="P28" s="644"/>
      <c r="Q28" s="643"/>
    </row>
    <row r="29" spans="1:17">
      <c r="A29" s="182"/>
      <c r="B29" s="14"/>
      <c r="C29" s="13"/>
      <c r="D29" s="641"/>
      <c r="E29" s="642"/>
      <c r="F29" s="643"/>
      <c r="G29" s="644"/>
      <c r="H29" s="643"/>
      <c r="I29" s="175"/>
      <c r="K29" s="176"/>
      <c r="M29" s="641"/>
      <c r="N29" s="642"/>
      <c r="O29" s="643"/>
      <c r="P29" s="644"/>
      <c r="Q29" s="643"/>
    </row>
    <row r="30" spans="1:17">
      <c r="A30" s="182"/>
      <c r="B30" s="14"/>
      <c r="C30" s="13"/>
      <c r="D30" s="641"/>
      <c r="E30" s="642"/>
      <c r="F30" s="643"/>
      <c r="G30" s="644"/>
      <c r="H30" s="643"/>
      <c r="I30" s="175"/>
      <c r="K30" s="176"/>
      <c r="M30" s="641"/>
      <c r="N30" s="642"/>
      <c r="O30" s="643"/>
      <c r="P30" s="644"/>
      <c r="Q30" s="643"/>
    </row>
    <row r="31" spans="1:17">
      <c r="A31" s="182"/>
      <c r="B31" s="14"/>
      <c r="C31" s="13"/>
      <c r="D31" s="641"/>
      <c r="E31" s="642"/>
      <c r="F31" s="643"/>
      <c r="G31" s="644"/>
      <c r="H31" s="643"/>
      <c r="I31" s="175"/>
      <c r="K31" s="176"/>
      <c r="M31" s="641"/>
      <c r="N31" s="642"/>
      <c r="O31" s="643"/>
      <c r="P31" s="644"/>
      <c r="Q31" s="643"/>
    </row>
    <row r="32" spans="1:17">
      <c r="A32" s="182"/>
      <c r="B32" s="14"/>
      <c r="C32" s="13"/>
      <c r="D32" s="641"/>
      <c r="E32" s="642"/>
      <c r="F32" s="643"/>
      <c r="G32" s="644"/>
      <c r="H32" s="643"/>
      <c r="I32" s="175"/>
      <c r="K32" s="176"/>
      <c r="M32" s="641"/>
      <c r="N32" s="642"/>
      <c r="O32" s="643"/>
      <c r="P32" s="644"/>
      <c r="Q32" s="643"/>
    </row>
    <row r="33" spans="1:17">
      <c r="A33" s="182"/>
      <c r="B33" s="14"/>
      <c r="C33" s="13"/>
      <c r="D33" s="641"/>
      <c r="E33" s="642"/>
      <c r="F33" s="643"/>
      <c r="G33" s="644"/>
      <c r="H33" s="643"/>
      <c r="I33" s="175"/>
      <c r="K33" s="176"/>
      <c r="M33" s="641"/>
      <c r="N33" s="642"/>
      <c r="O33" s="643"/>
      <c r="P33" s="644"/>
      <c r="Q33" s="643"/>
    </row>
    <row r="34" spans="1:17">
      <c r="A34" s="182"/>
      <c r="B34" s="14"/>
      <c r="C34" s="13"/>
      <c r="D34" s="641"/>
      <c r="E34" s="642"/>
      <c r="F34" s="643"/>
      <c r="G34" s="644"/>
      <c r="H34" s="643"/>
      <c r="I34" s="175"/>
      <c r="K34" s="176"/>
      <c r="M34" s="641"/>
      <c r="N34" s="642"/>
      <c r="O34" s="643"/>
      <c r="P34" s="644"/>
      <c r="Q34" s="643"/>
    </row>
    <row r="35" spans="1:17">
      <c r="A35" s="182"/>
      <c r="B35" s="14"/>
      <c r="C35" s="13"/>
      <c r="D35" s="641"/>
      <c r="E35" s="642"/>
      <c r="F35" s="643"/>
      <c r="G35" s="644"/>
      <c r="H35" s="643"/>
      <c r="I35" s="175"/>
      <c r="K35" s="176"/>
      <c r="M35" s="641"/>
      <c r="N35" s="642"/>
      <c r="O35" s="643"/>
      <c r="P35" s="644"/>
      <c r="Q35" s="643"/>
    </row>
    <row r="36" spans="1:17">
      <c r="A36" s="182"/>
      <c r="B36" s="14"/>
      <c r="C36" s="13"/>
      <c r="D36" s="641"/>
      <c r="E36" s="642"/>
      <c r="F36" s="643"/>
      <c r="G36" s="644"/>
      <c r="H36" s="643"/>
      <c r="I36" s="175"/>
      <c r="K36" s="176"/>
      <c r="M36" s="641"/>
      <c r="N36" s="642"/>
      <c r="O36" s="643"/>
      <c r="P36" s="644"/>
      <c r="Q36" s="643"/>
    </row>
    <row r="37" spans="1:17">
      <c r="A37" s="182"/>
      <c r="B37" s="14"/>
      <c r="C37" s="13"/>
      <c r="D37" s="641"/>
      <c r="E37" s="642"/>
      <c r="F37" s="643"/>
      <c r="G37" s="644"/>
      <c r="H37" s="643"/>
      <c r="I37" s="175"/>
      <c r="K37" s="176"/>
      <c r="M37" s="641"/>
      <c r="N37" s="642"/>
      <c r="O37" s="643"/>
      <c r="P37" s="644"/>
      <c r="Q37" s="643"/>
    </row>
    <row r="38" spans="1:17">
      <c r="A38" s="182"/>
      <c r="B38" s="14"/>
      <c r="C38" s="13"/>
      <c r="D38" s="641"/>
      <c r="E38" s="642"/>
      <c r="F38" s="643"/>
      <c r="G38" s="644"/>
      <c r="H38" s="643"/>
      <c r="I38" s="175"/>
      <c r="K38" s="176"/>
      <c r="M38" s="641"/>
      <c r="N38" s="642"/>
      <c r="O38" s="643"/>
      <c r="P38" s="644"/>
      <c r="Q38" s="643"/>
    </row>
    <row r="39" spans="1:17">
      <c r="A39" s="182"/>
      <c r="B39" s="14"/>
      <c r="C39" s="13"/>
      <c r="D39" s="641"/>
      <c r="E39" s="642"/>
      <c r="F39" s="643"/>
      <c r="G39" s="644"/>
      <c r="H39" s="643"/>
      <c r="I39" s="175"/>
      <c r="K39" s="176"/>
      <c r="M39" s="641"/>
      <c r="N39" s="642"/>
      <c r="O39" s="643"/>
      <c r="P39" s="644"/>
      <c r="Q39" s="643"/>
    </row>
    <row r="40" spans="1:17">
      <c r="A40" s="182"/>
      <c r="B40" s="14"/>
      <c r="C40" s="13"/>
      <c r="D40" s="641"/>
      <c r="E40" s="642"/>
      <c r="F40" s="643"/>
      <c r="G40" s="644"/>
      <c r="H40" s="643"/>
      <c r="I40" s="175"/>
      <c r="K40" s="176"/>
      <c r="M40" s="641"/>
      <c r="N40" s="642"/>
      <c r="O40" s="643"/>
      <c r="P40" s="644"/>
      <c r="Q40" s="643"/>
    </row>
    <row r="41" spans="1:17">
      <c r="A41" s="182"/>
      <c r="B41" s="14"/>
      <c r="C41" s="13"/>
      <c r="D41" s="641"/>
      <c r="E41" s="642"/>
      <c r="F41" s="643"/>
      <c r="G41" s="644"/>
      <c r="H41" s="643"/>
      <c r="I41" s="175"/>
      <c r="K41" s="176"/>
      <c r="M41" s="641"/>
      <c r="N41" s="642"/>
      <c r="O41" s="643"/>
      <c r="P41" s="644"/>
      <c r="Q41" s="643"/>
    </row>
    <row r="42" spans="1:17">
      <c r="A42" s="182"/>
      <c r="B42" s="14"/>
      <c r="C42" s="13"/>
      <c r="D42" s="641"/>
      <c r="E42" s="642"/>
      <c r="F42" s="643"/>
      <c r="G42" s="644"/>
      <c r="H42" s="643"/>
      <c r="I42" s="175"/>
      <c r="K42" s="176"/>
      <c r="M42" s="641"/>
      <c r="N42" s="642"/>
      <c r="O42" s="643"/>
      <c r="P42" s="644"/>
      <c r="Q42" s="643"/>
    </row>
    <row r="43" spans="1:17">
      <c r="A43" s="182"/>
      <c r="B43" s="14"/>
      <c r="C43" s="13"/>
      <c r="D43" s="641"/>
      <c r="E43" s="642"/>
      <c r="F43" s="643"/>
      <c r="G43" s="644"/>
      <c r="H43" s="643"/>
      <c r="I43" s="175"/>
      <c r="K43" s="176"/>
      <c r="M43" s="641"/>
      <c r="N43" s="642"/>
      <c r="O43" s="643"/>
      <c r="P43" s="644"/>
      <c r="Q43" s="643"/>
    </row>
    <row r="44" spans="1:17">
      <c r="A44" s="182"/>
      <c r="B44" s="14"/>
      <c r="C44" s="13"/>
      <c r="D44" s="641"/>
      <c r="E44" s="642"/>
      <c r="F44" s="643"/>
      <c r="G44" s="644"/>
      <c r="H44" s="643"/>
      <c r="I44" s="175"/>
      <c r="K44" s="176"/>
      <c r="M44" s="641"/>
      <c r="N44" s="642"/>
      <c r="O44" s="643"/>
      <c r="P44" s="644"/>
      <c r="Q44" s="643"/>
    </row>
    <row r="45" spans="1:17">
      <c r="A45" s="182"/>
      <c r="B45" s="14"/>
      <c r="C45" s="13"/>
      <c r="D45" s="641"/>
      <c r="E45" s="642"/>
      <c r="F45" s="643"/>
      <c r="G45" s="644"/>
      <c r="H45" s="643"/>
      <c r="I45" s="175"/>
      <c r="K45" s="176"/>
      <c r="M45" s="641"/>
      <c r="N45" s="642"/>
      <c r="O45" s="643"/>
      <c r="P45" s="644"/>
      <c r="Q45" s="643"/>
    </row>
    <row r="46" spans="1:17">
      <c r="A46" s="182"/>
      <c r="B46" s="14"/>
      <c r="C46" s="13"/>
      <c r="D46" s="641"/>
      <c r="E46" s="642"/>
      <c r="F46" s="643"/>
      <c r="G46" s="644"/>
      <c r="H46" s="643"/>
      <c r="I46" s="175"/>
      <c r="K46" s="176"/>
      <c r="M46" s="641"/>
      <c r="N46" s="642"/>
      <c r="O46" s="643"/>
      <c r="P46" s="644"/>
      <c r="Q46" s="643"/>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46" bestFit="1" customWidth="1"/>
    <col min="4" max="4" width="18.81640625" style="106" customWidth="1"/>
    <col min="5" max="5" width="4.81640625" style="106" customWidth="1"/>
    <col min="6" max="6" width="18.81640625" style="106" customWidth="1"/>
    <col min="7" max="7" width="4.81640625" style="106" customWidth="1"/>
    <col min="8" max="8" width="18.81640625" style="106" customWidth="1"/>
    <col min="9" max="9" width="4.81640625" style="106" customWidth="1"/>
    <col min="10" max="10" width="18.81640625" style="106" customWidth="1"/>
    <col min="11" max="11" width="1.1796875" style="106" customWidth="1"/>
    <col min="12" max="16384" width="9.1796875" style="106"/>
  </cols>
  <sheetData>
    <row r="1" spans="1:13" ht="6" customHeight="1">
      <c r="A1" s="103"/>
      <c r="B1" s="104"/>
      <c r="C1" s="49"/>
      <c r="D1" s="104"/>
      <c r="E1" s="104"/>
      <c r="F1" s="104"/>
      <c r="G1" s="104"/>
      <c r="H1" s="104"/>
      <c r="I1" s="104"/>
      <c r="J1" s="104"/>
      <c r="K1" s="105"/>
    </row>
    <row r="2" spans="1:13" ht="18" customHeight="1">
      <c r="A2" s="107"/>
      <c r="B2" s="108" t="s">
        <v>255</v>
      </c>
      <c r="C2" s="101"/>
      <c r="D2" s="109" t="s">
        <v>513</v>
      </c>
      <c r="E2" s="110"/>
      <c r="F2" s="111">
        <f>VLOOKUP("Calculation_Date",calcdata_20,3,0)</f>
        <v>45820</v>
      </c>
      <c r="G2" s="110"/>
      <c r="H2" s="110"/>
      <c r="I2" s="110"/>
      <c r="J2" s="112"/>
      <c r="K2" s="113"/>
    </row>
    <row r="3" spans="1:13" ht="18" customHeight="1">
      <c r="A3" s="107"/>
      <c r="B3" s="108" t="s">
        <v>0</v>
      </c>
      <c r="C3" s="114"/>
      <c r="D3" s="115" t="s">
        <v>2</v>
      </c>
      <c r="E3" s="116"/>
      <c r="F3" s="117">
        <f>VLOOKUP("Payment_Date",calcdata_20,3,0)</f>
        <v>45824</v>
      </c>
      <c r="G3" s="116"/>
      <c r="H3" s="116"/>
      <c r="I3" s="116"/>
      <c r="J3" s="118"/>
      <c r="K3" s="113"/>
    </row>
    <row r="4" spans="1:13" ht="12.75" customHeight="1">
      <c r="A4" s="107"/>
      <c r="B4" s="119"/>
      <c r="C4" s="114"/>
      <c r="D4" s="115" t="s">
        <v>3</v>
      </c>
      <c r="E4" s="116"/>
      <c r="F4" s="120">
        <f>VLOOKUP("Period",calcdata_20,2,0)</f>
        <v>55</v>
      </c>
      <c r="G4" s="116"/>
      <c r="H4" s="121"/>
      <c r="I4" s="116"/>
      <c r="J4" s="122"/>
      <c r="K4" s="113"/>
    </row>
    <row r="5" spans="1:13" ht="18" customHeight="1">
      <c r="A5" s="107"/>
      <c r="B5" s="123" t="s">
        <v>33</v>
      </c>
      <c r="C5" s="114"/>
      <c r="D5" s="115" t="s">
        <v>1</v>
      </c>
      <c r="E5" s="116"/>
      <c r="F5" s="124">
        <f>F3</f>
        <v>45824</v>
      </c>
      <c r="G5" s="116"/>
      <c r="H5" s="121"/>
      <c r="I5" s="116"/>
      <c r="J5" s="122"/>
      <c r="K5" s="113"/>
    </row>
    <row r="6" spans="1:13" ht="15" customHeight="1">
      <c r="A6" s="107"/>
      <c r="B6" s="125"/>
      <c r="C6" s="114"/>
      <c r="D6" s="115" t="s">
        <v>50</v>
      </c>
      <c r="E6" s="126" t="s">
        <v>34</v>
      </c>
      <c r="F6" s="117">
        <f>VLOOKUP("Interest_Period_from",calcdata_20,3,0)</f>
        <v>45791</v>
      </c>
      <c r="G6" s="126" t="s">
        <v>4</v>
      </c>
      <c r="H6" s="117">
        <f>F3</f>
        <v>45824</v>
      </c>
      <c r="I6" s="126" t="s">
        <v>15</v>
      </c>
      <c r="J6" s="127" t="str">
        <f>H6-F6&amp;" days"</f>
        <v>33 days</v>
      </c>
      <c r="K6" s="128"/>
      <c r="M6" s="129"/>
    </row>
    <row r="7" spans="1:13">
      <c r="A7" s="107"/>
      <c r="B7" s="101"/>
      <c r="C7" s="101"/>
      <c r="D7" s="130" t="s">
        <v>115</v>
      </c>
      <c r="E7" s="131" t="s">
        <v>34</v>
      </c>
      <c r="F7" s="132" t="str">
        <f>"01."&amp;TEXT(F6,"MM.jjjj")</f>
        <v>01.05.2025</v>
      </c>
      <c r="G7" s="131" t="s">
        <v>4</v>
      </c>
      <c r="H7" s="132">
        <f>EOMONTH(F6,0)</f>
        <v>45808</v>
      </c>
      <c r="I7" s="133"/>
      <c r="J7" s="134"/>
      <c r="K7" s="113"/>
    </row>
    <row r="8" spans="1:13" ht="13">
      <c r="A8" s="107"/>
      <c r="B8" s="101"/>
      <c r="C8" s="101"/>
      <c r="D8" s="101"/>
      <c r="E8" s="135"/>
      <c r="F8" s="136"/>
      <c r="G8" s="137"/>
      <c r="H8" s="101"/>
      <c r="I8" s="101"/>
      <c r="J8" s="101"/>
      <c r="K8" s="113"/>
    </row>
    <row r="9" spans="1:13" ht="13">
      <c r="A9" s="107"/>
      <c r="B9" s="101"/>
      <c r="C9" s="101"/>
      <c r="D9" s="101"/>
      <c r="E9" s="135"/>
      <c r="F9" s="136"/>
      <c r="G9" s="137"/>
      <c r="H9" s="101"/>
      <c r="I9" s="101"/>
      <c r="J9" s="101"/>
      <c r="K9" s="113"/>
    </row>
    <row r="10" spans="1:13" ht="13">
      <c r="A10" s="107"/>
      <c r="B10" s="101"/>
      <c r="C10" s="106"/>
      <c r="D10" s="101"/>
      <c r="E10" s="135"/>
      <c r="F10" s="136"/>
      <c r="G10" s="137"/>
      <c r="H10" s="101"/>
      <c r="I10" s="101"/>
      <c r="J10" s="101"/>
      <c r="K10" s="113"/>
    </row>
    <row r="11" spans="1:13" ht="18" customHeight="1">
      <c r="A11" s="107"/>
      <c r="B11" s="101"/>
      <c r="C11" s="106"/>
      <c r="D11" s="101"/>
      <c r="E11" s="135"/>
      <c r="F11" s="136"/>
      <c r="G11" s="137"/>
      <c r="H11" s="101"/>
      <c r="I11" s="101"/>
      <c r="J11" s="101"/>
      <c r="K11" s="113"/>
    </row>
    <row r="12" spans="1:13">
      <c r="A12" s="107"/>
      <c r="B12" s="101"/>
      <c r="C12" s="106"/>
      <c r="D12" s="101"/>
      <c r="E12" s="101"/>
      <c r="F12" s="101"/>
      <c r="G12" s="101"/>
      <c r="H12" s="101"/>
      <c r="I12" s="101"/>
      <c r="J12" s="101"/>
      <c r="K12" s="113"/>
    </row>
    <row r="13" spans="1:13" ht="18">
      <c r="A13" s="107"/>
      <c r="B13" s="108" t="s">
        <v>51</v>
      </c>
      <c r="C13" s="138" t="s">
        <v>58</v>
      </c>
      <c r="D13" s="139"/>
      <c r="E13" s="139"/>
      <c r="F13" s="101"/>
      <c r="G13" s="101"/>
      <c r="H13" s="101"/>
      <c r="I13" s="101"/>
      <c r="J13" s="140"/>
      <c r="K13" s="113"/>
    </row>
    <row r="14" spans="1:13">
      <c r="A14" s="107"/>
      <c r="B14" s="101"/>
      <c r="C14" s="141"/>
      <c r="D14" s="101"/>
      <c r="E14" s="142"/>
      <c r="F14" s="101"/>
      <c r="G14" s="101"/>
      <c r="H14" s="101"/>
      <c r="I14" s="101"/>
      <c r="J14" s="101"/>
      <c r="K14" s="113"/>
    </row>
    <row r="15" spans="1:13" ht="15" customHeight="1">
      <c r="A15" s="107"/>
      <c r="B15" s="101" t="s">
        <v>48</v>
      </c>
      <c r="C15" s="143">
        <v>1</v>
      </c>
      <c r="D15" s="21"/>
      <c r="E15" s="142"/>
      <c r="F15" s="101"/>
      <c r="G15" s="101"/>
      <c r="H15" s="101"/>
      <c r="I15" s="101"/>
      <c r="J15" s="101"/>
      <c r="K15" s="113"/>
    </row>
    <row r="16" spans="1:13" ht="15" customHeight="1">
      <c r="A16" s="107"/>
      <c r="B16" s="101" t="s">
        <v>452</v>
      </c>
      <c r="C16" s="143">
        <v>2</v>
      </c>
      <c r="D16" s="21"/>
      <c r="E16" s="142"/>
      <c r="F16" s="101"/>
      <c r="G16" s="101"/>
      <c r="H16" s="101"/>
      <c r="I16" s="101"/>
      <c r="J16" s="101"/>
      <c r="K16" s="113"/>
    </row>
    <row r="17" spans="1:11" ht="15" customHeight="1">
      <c r="A17" s="107"/>
      <c r="B17" s="101" t="s">
        <v>49</v>
      </c>
      <c r="C17" s="143">
        <v>3</v>
      </c>
      <c r="D17" s="21"/>
      <c r="E17" s="101"/>
      <c r="F17" s="101"/>
      <c r="G17" s="101"/>
      <c r="H17" s="101"/>
      <c r="I17" s="101"/>
      <c r="J17" s="21"/>
      <c r="K17" s="113"/>
    </row>
    <row r="18" spans="1:11" ht="15" customHeight="1">
      <c r="A18" s="107"/>
      <c r="B18" s="101" t="s">
        <v>252</v>
      </c>
      <c r="C18" s="143">
        <v>4</v>
      </c>
      <c r="D18" s="21"/>
      <c r="E18" s="101"/>
      <c r="F18" s="101"/>
      <c r="G18" s="101"/>
      <c r="H18" s="101"/>
      <c r="I18" s="101"/>
      <c r="J18" s="140"/>
      <c r="K18" s="113"/>
    </row>
    <row r="19" spans="1:11" ht="15" customHeight="1">
      <c r="A19" s="107"/>
      <c r="B19" s="144" t="s">
        <v>253</v>
      </c>
      <c r="C19" s="143">
        <v>5</v>
      </c>
      <c r="D19" s="21"/>
      <c r="E19" s="101"/>
      <c r="F19" s="101"/>
      <c r="G19" s="101"/>
      <c r="H19" s="101"/>
      <c r="I19" s="101"/>
      <c r="J19" s="140"/>
      <c r="K19" s="113"/>
    </row>
    <row r="20" spans="1:11" ht="15" customHeight="1">
      <c r="A20" s="107"/>
      <c r="B20" s="144" t="s">
        <v>453</v>
      </c>
      <c r="C20" s="143">
        <v>6</v>
      </c>
      <c r="D20" s="21"/>
      <c r="E20" s="101"/>
      <c r="F20" s="101"/>
      <c r="G20" s="101"/>
      <c r="H20" s="101"/>
      <c r="I20" s="101"/>
      <c r="J20" s="140"/>
      <c r="K20" s="113"/>
    </row>
    <row r="21" spans="1:11" ht="15" customHeight="1">
      <c r="A21" s="107"/>
      <c r="B21" s="101" t="s">
        <v>127</v>
      </c>
      <c r="C21" s="143">
        <v>7</v>
      </c>
      <c r="D21" s="21"/>
      <c r="E21" s="101"/>
      <c r="F21" s="101"/>
      <c r="G21" s="101"/>
      <c r="H21" s="101"/>
      <c r="I21" s="101"/>
      <c r="J21" s="140"/>
      <c r="K21" s="113"/>
    </row>
    <row r="22" spans="1:11" ht="15" customHeight="1">
      <c r="A22" s="107"/>
      <c r="B22" s="101" t="s">
        <v>128</v>
      </c>
      <c r="C22" s="143">
        <v>8</v>
      </c>
      <c r="D22" s="21"/>
      <c r="E22" s="142"/>
      <c r="F22" s="101"/>
      <c r="G22" s="101"/>
      <c r="H22" s="101"/>
      <c r="I22" s="101"/>
      <c r="J22" s="100"/>
      <c r="K22" s="113"/>
    </row>
    <row r="23" spans="1:11" ht="15" customHeight="1">
      <c r="A23" s="107"/>
      <c r="B23" s="101" t="s">
        <v>129</v>
      </c>
      <c r="C23" s="143">
        <v>9</v>
      </c>
      <c r="D23" s="21"/>
      <c r="E23" s="142"/>
      <c r="F23" s="101"/>
      <c r="G23" s="101"/>
      <c r="H23" s="101"/>
      <c r="I23" s="101"/>
      <c r="J23" s="145"/>
      <c r="K23" s="113"/>
    </row>
    <row r="24" spans="1:11" ht="15" customHeight="1">
      <c r="A24" s="107"/>
      <c r="B24" s="101" t="s">
        <v>130</v>
      </c>
      <c r="C24" s="143">
        <v>10</v>
      </c>
      <c r="D24" s="21"/>
      <c r="E24" s="142"/>
      <c r="F24" s="101"/>
      <c r="G24" s="101"/>
      <c r="H24" s="101"/>
      <c r="I24" s="101"/>
      <c r="J24" s="145"/>
      <c r="K24" s="113"/>
    </row>
    <row r="25" spans="1:11" ht="15" customHeight="1">
      <c r="A25" s="107"/>
      <c r="B25" s="101" t="s">
        <v>131</v>
      </c>
      <c r="C25" s="143">
        <v>11</v>
      </c>
      <c r="D25" s="21"/>
      <c r="E25" s="142"/>
      <c r="F25" s="101"/>
      <c r="G25" s="101"/>
      <c r="H25" s="101"/>
      <c r="I25" s="101"/>
      <c r="J25" s="145"/>
      <c r="K25" s="113"/>
    </row>
    <row r="26" spans="1:11" ht="15" customHeight="1">
      <c r="A26" s="107"/>
      <c r="B26" s="101" t="s">
        <v>132</v>
      </c>
      <c r="C26" s="143">
        <v>12</v>
      </c>
      <c r="D26" s="21"/>
      <c r="E26" s="142"/>
      <c r="F26" s="101"/>
      <c r="G26" s="101"/>
      <c r="H26" s="101"/>
      <c r="I26" s="101"/>
      <c r="J26" s="145"/>
      <c r="K26" s="113"/>
    </row>
    <row r="27" spans="1:11" ht="15" customHeight="1">
      <c r="A27" s="107"/>
      <c r="B27" s="101" t="s">
        <v>133</v>
      </c>
      <c r="C27" s="143">
        <v>13</v>
      </c>
      <c r="D27" s="21"/>
      <c r="E27" s="142"/>
      <c r="F27" s="101"/>
      <c r="G27" s="101"/>
      <c r="H27" s="101"/>
      <c r="I27" s="101"/>
      <c r="J27" s="145"/>
      <c r="K27" s="113"/>
    </row>
    <row r="28" spans="1:11" ht="15" customHeight="1">
      <c r="A28" s="107"/>
      <c r="B28" s="101" t="s">
        <v>134</v>
      </c>
      <c r="C28" s="143">
        <v>14</v>
      </c>
      <c r="D28" s="21"/>
      <c r="E28" s="142"/>
      <c r="F28" s="101"/>
      <c r="G28" s="101"/>
      <c r="H28" s="101"/>
      <c r="I28" s="101"/>
      <c r="J28" s="145"/>
      <c r="K28" s="113"/>
    </row>
    <row r="29" spans="1:11" ht="15" customHeight="1">
      <c r="A29" s="107"/>
      <c r="B29" s="101" t="s">
        <v>135</v>
      </c>
      <c r="C29" s="143">
        <v>15</v>
      </c>
      <c r="D29" s="21"/>
      <c r="E29" s="142"/>
      <c r="F29" s="101"/>
      <c r="G29" s="101"/>
      <c r="H29" s="101"/>
      <c r="I29" s="101"/>
      <c r="J29" s="145"/>
      <c r="K29" s="113"/>
    </row>
    <row r="30" spans="1:11" ht="15" customHeight="1">
      <c r="A30" s="107"/>
      <c r="B30" s="101" t="s">
        <v>136</v>
      </c>
      <c r="C30" s="143">
        <v>16</v>
      </c>
      <c r="D30" s="21"/>
      <c r="E30" s="142"/>
      <c r="F30" s="101"/>
      <c r="G30" s="101"/>
      <c r="H30" s="101"/>
      <c r="I30" s="101"/>
      <c r="J30" s="145"/>
      <c r="K30" s="113"/>
    </row>
    <row r="31" spans="1:11" ht="15" customHeight="1">
      <c r="A31" s="107"/>
      <c r="B31" s="101" t="s">
        <v>137</v>
      </c>
      <c r="C31" s="143">
        <v>17</v>
      </c>
      <c r="D31" s="21"/>
      <c r="E31" s="142"/>
      <c r="F31" s="101"/>
      <c r="G31" s="101"/>
      <c r="H31" s="101"/>
      <c r="I31" s="101"/>
      <c r="J31" s="145"/>
      <c r="K31" s="113"/>
    </row>
    <row r="32" spans="1:11" ht="15" customHeight="1">
      <c r="A32" s="107"/>
      <c r="B32" s="101" t="s">
        <v>138</v>
      </c>
      <c r="C32" s="143">
        <v>18</v>
      </c>
      <c r="D32" s="21"/>
      <c r="E32" s="142"/>
      <c r="F32" s="101"/>
      <c r="G32" s="101"/>
      <c r="H32" s="101"/>
      <c r="I32" s="101"/>
      <c r="J32" s="145"/>
      <c r="K32" s="113"/>
    </row>
    <row r="33" spans="1:11" ht="15" customHeight="1">
      <c r="A33" s="107"/>
      <c r="B33" s="101" t="s">
        <v>215</v>
      </c>
      <c r="C33" s="143">
        <v>19</v>
      </c>
      <c r="D33" s="21"/>
      <c r="E33" s="142"/>
      <c r="F33" s="101"/>
      <c r="G33" s="101"/>
      <c r="H33" s="101"/>
      <c r="I33" s="101"/>
      <c r="J33" s="145"/>
      <c r="K33" s="113"/>
    </row>
    <row r="34" spans="1:11" ht="15" customHeight="1">
      <c r="A34" s="107"/>
      <c r="B34" s="101" t="s">
        <v>216</v>
      </c>
      <c r="C34" s="143">
        <v>20</v>
      </c>
      <c r="D34" s="21"/>
      <c r="E34" s="142"/>
      <c r="F34" s="101"/>
      <c r="G34" s="101"/>
      <c r="H34" s="101"/>
      <c r="I34" s="101"/>
      <c r="J34" s="145"/>
      <c r="K34" s="113"/>
    </row>
    <row r="35" spans="1:11" ht="15" customHeight="1">
      <c r="A35" s="107"/>
      <c r="B35" s="101" t="s">
        <v>139</v>
      </c>
      <c r="C35" s="143">
        <v>21</v>
      </c>
      <c r="D35" s="21"/>
      <c r="E35" s="142"/>
      <c r="F35" s="101"/>
      <c r="G35" s="101"/>
      <c r="H35" s="101"/>
      <c r="I35" s="101"/>
      <c r="J35" s="145"/>
      <c r="K35" s="113"/>
    </row>
    <row r="36" spans="1:11" ht="15" customHeight="1">
      <c r="A36" s="107"/>
      <c r="B36" s="101" t="s">
        <v>140</v>
      </c>
      <c r="C36" s="143">
        <v>22</v>
      </c>
      <c r="D36" s="21"/>
      <c r="E36" s="142"/>
      <c r="F36" s="101"/>
      <c r="G36" s="101"/>
      <c r="H36" s="101"/>
      <c r="I36" s="101"/>
      <c r="J36" s="145"/>
      <c r="K36" s="113"/>
    </row>
    <row r="37" spans="1:11" ht="15" customHeight="1">
      <c r="A37" s="107"/>
      <c r="B37" s="101" t="s">
        <v>141</v>
      </c>
      <c r="C37" s="143">
        <v>23</v>
      </c>
      <c r="D37" s="21"/>
      <c r="E37" s="142"/>
      <c r="F37" s="101"/>
      <c r="G37" s="101"/>
      <c r="H37" s="101"/>
      <c r="I37" s="101"/>
      <c r="J37" s="145"/>
      <c r="K37" s="113"/>
    </row>
    <row r="38" spans="1:11" ht="15" customHeight="1">
      <c r="A38" s="107"/>
      <c r="B38" s="101" t="s">
        <v>142</v>
      </c>
      <c r="C38" s="143">
        <v>24</v>
      </c>
      <c r="D38" s="21"/>
      <c r="E38" s="142"/>
      <c r="F38" s="101"/>
      <c r="G38" s="101"/>
      <c r="H38" s="101"/>
      <c r="I38" s="101"/>
      <c r="J38" s="145"/>
      <c r="K38" s="113"/>
    </row>
    <row r="39" spans="1:11" ht="15" customHeight="1">
      <c r="A39" s="107"/>
      <c r="B39" s="101" t="s">
        <v>143</v>
      </c>
      <c r="C39" s="143">
        <v>25</v>
      </c>
      <c r="D39" s="21"/>
      <c r="E39" s="142"/>
      <c r="F39" s="101"/>
      <c r="G39" s="101"/>
      <c r="H39" s="101"/>
      <c r="I39" s="101"/>
      <c r="J39" s="145"/>
      <c r="K39" s="113"/>
    </row>
    <row r="40" spans="1:11" ht="15" customHeight="1">
      <c r="A40" s="107"/>
      <c r="B40" s="101" t="s">
        <v>144</v>
      </c>
      <c r="C40" s="143">
        <v>26</v>
      </c>
      <c r="D40" s="21"/>
      <c r="E40" s="142"/>
      <c r="F40" s="101"/>
      <c r="G40" s="101"/>
      <c r="H40" s="101"/>
      <c r="I40" s="101"/>
      <c r="J40" s="145"/>
      <c r="K40" s="113"/>
    </row>
    <row r="41" spans="1:11" ht="15" customHeight="1">
      <c r="A41" s="107"/>
      <c r="B41" s="101" t="s">
        <v>145</v>
      </c>
      <c r="C41" s="143">
        <v>27</v>
      </c>
      <c r="D41" s="21"/>
      <c r="E41" s="142"/>
      <c r="F41" s="101"/>
      <c r="G41" s="101"/>
      <c r="H41" s="101"/>
      <c r="I41" s="101"/>
      <c r="J41" s="145"/>
      <c r="K41" s="113"/>
    </row>
    <row r="42" spans="1:11" ht="15" customHeight="1">
      <c r="A42" s="107"/>
      <c r="B42" s="101" t="s">
        <v>462</v>
      </c>
      <c r="C42" s="143">
        <v>28</v>
      </c>
      <c r="D42" s="21"/>
      <c r="E42" s="142"/>
      <c r="F42" s="101"/>
      <c r="G42" s="101"/>
      <c r="H42" s="101"/>
      <c r="I42" s="101"/>
      <c r="J42" s="145"/>
      <c r="K42" s="113"/>
    </row>
    <row r="43" spans="1:11" ht="15" customHeight="1">
      <c r="A43" s="107"/>
      <c r="B43" s="101" t="s">
        <v>463</v>
      </c>
      <c r="C43" s="143">
        <v>29</v>
      </c>
      <c r="D43" s="146"/>
      <c r="E43" s="142"/>
      <c r="F43" s="101"/>
      <c r="G43" s="101"/>
      <c r="H43" s="101"/>
      <c r="I43" s="101"/>
      <c r="J43" s="145"/>
      <c r="K43" s="113"/>
    </row>
    <row r="44" spans="1:11" ht="15" customHeight="1">
      <c r="A44" s="107"/>
      <c r="B44" s="101" t="s">
        <v>464</v>
      </c>
      <c r="C44" s="143">
        <v>30</v>
      </c>
      <c r="D44" s="146"/>
      <c r="E44" s="142"/>
      <c r="F44" s="101"/>
      <c r="G44" s="101"/>
      <c r="H44" s="101"/>
      <c r="I44" s="101"/>
      <c r="J44" s="145"/>
      <c r="K44" s="113"/>
    </row>
    <row r="45" spans="1:11" ht="15" customHeight="1">
      <c r="A45" s="107"/>
      <c r="B45" s="106" t="s">
        <v>465</v>
      </c>
      <c r="C45" s="143">
        <v>31</v>
      </c>
      <c r="D45" s="21"/>
      <c r="E45" s="142"/>
      <c r="F45" s="101"/>
      <c r="G45" s="101"/>
      <c r="H45" s="101"/>
      <c r="I45" s="101"/>
      <c r="J45" s="145"/>
      <c r="K45" s="113"/>
    </row>
    <row r="46" spans="1:11" ht="15" customHeight="1">
      <c r="A46" s="107"/>
      <c r="B46" s="101" t="s">
        <v>251</v>
      </c>
      <c r="C46" s="143">
        <v>32</v>
      </c>
      <c r="D46" s="101"/>
      <c r="E46" s="147"/>
      <c r="F46" s="101"/>
      <c r="G46" s="101"/>
      <c r="H46" s="101"/>
      <c r="I46" s="101"/>
      <c r="J46" s="100"/>
      <c r="K46" s="113"/>
    </row>
    <row r="47" spans="1:11" ht="15" customHeight="1">
      <c r="A47" s="107"/>
      <c r="B47" s="106" t="s">
        <v>466</v>
      </c>
      <c r="C47" s="143">
        <v>33</v>
      </c>
      <c r="D47" s="101"/>
      <c r="E47" s="147"/>
      <c r="F47" s="101"/>
      <c r="G47" s="101"/>
      <c r="H47" s="101"/>
      <c r="I47" s="101"/>
      <c r="J47" s="100"/>
      <c r="K47" s="113"/>
    </row>
    <row r="48" spans="1:11" ht="15" customHeight="1">
      <c r="A48" s="107"/>
      <c r="B48" s="101" t="s">
        <v>467</v>
      </c>
      <c r="C48" s="143">
        <v>34</v>
      </c>
      <c r="D48" s="101"/>
      <c r="E48" s="147"/>
      <c r="F48" s="101"/>
      <c r="G48" s="101"/>
      <c r="H48" s="101"/>
      <c r="I48" s="101"/>
      <c r="J48" s="100"/>
      <c r="K48" s="113"/>
    </row>
    <row r="49" spans="1:11" ht="15" customHeight="1">
      <c r="A49" s="107"/>
      <c r="B49" s="101" t="s">
        <v>468</v>
      </c>
      <c r="C49" s="143">
        <v>35</v>
      </c>
      <c r="D49" s="101"/>
      <c r="E49" s="147"/>
      <c r="F49" s="101"/>
      <c r="G49" s="101"/>
      <c r="H49" s="101"/>
      <c r="I49" s="101"/>
      <c r="J49" s="100"/>
      <c r="K49" s="113"/>
    </row>
    <row r="50" spans="1:11" ht="13">
      <c r="A50" s="107"/>
      <c r="B50" s="101"/>
      <c r="C50" s="143"/>
      <c r="D50" s="101"/>
      <c r="E50" s="147"/>
      <c r="F50" s="101"/>
      <c r="G50" s="101"/>
      <c r="H50" s="101"/>
      <c r="I50" s="101"/>
      <c r="J50" s="100"/>
      <c r="K50" s="113"/>
    </row>
    <row r="51" spans="1:11" ht="13">
      <c r="A51" s="107"/>
      <c r="B51" s="101"/>
      <c r="C51" s="143"/>
      <c r="D51" s="101"/>
      <c r="E51" s="147"/>
      <c r="F51" s="101"/>
      <c r="G51" s="101"/>
      <c r="H51" s="101"/>
      <c r="I51" s="101"/>
      <c r="J51" s="100"/>
      <c r="K51" s="113"/>
    </row>
    <row r="52" spans="1:11" ht="12.75" customHeight="1">
      <c r="A52" s="148"/>
      <c r="B52" s="149"/>
      <c r="C52" s="56"/>
      <c r="D52" s="150"/>
      <c r="E52" s="150"/>
      <c r="F52" s="150"/>
      <c r="G52" s="150"/>
      <c r="H52" s="150"/>
      <c r="I52" s="150"/>
      <c r="J52" s="149"/>
      <c r="K52" s="151"/>
    </row>
    <row r="53" spans="1:11" ht="13">
      <c r="B53" s="152"/>
      <c r="C53" s="153"/>
      <c r="J53" s="152"/>
    </row>
    <row r="54" spans="1:11">
      <c r="B54" s="152"/>
      <c r="J54" s="152"/>
    </row>
    <row r="55" spans="1:11">
      <c r="B55" s="152"/>
      <c r="J55" s="152"/>
    </row>
    <row r="56" spans="1:11">
      <c r="B56" s="152"/>
      <c r="J56" s="152"/>
    </row>
    <row r="59" spans="1:11" ht="13">
      <c r="C59" s="153"/>
    </row>
    <row r="60" spans="1:11" ht="13">
      <c r="C60" s="153"/>
    </row>
    <row r="61" spans="1:11" ht="13">
      <c r="C61" s="153"/>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81640625" style="146" customWidth="1"/>
    <col min="4" max="4" width="29.179687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157</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K12" s="113"/>
      <c r="M12" s="21"/>
      <c r="N12" s="21"/>
      <c r="O12" s="21"/>
      <c r="P12" s="21"/>
      <c r="Q12" s="21"/>
    </row>
    <row r="13" spans="1:17" ht="29">
      <c r="A13" s="182"/>
      <c r="B13" s="14"/>
      <c r="C13" s="13"/>
      <c r="D13" s="503" t="s">
        <v>72</v>
      </c>
      <c r="E13" s="538" t="s">
        <v>71</v>
      </c>
      <c r="F13" s="504" t="s">
        <v>118</v>
      </c>
      <c r="G13" s="505" t="s">
        <v>61</v>
      </c>
      <c r="H13" s="539" t="s">
        <v>119</v>
      </c>
      <c r="I13" s="106"/>
      <c r="K13" s="176"/>
      <c r="M13" s="215"/>
      <c r="N13" s="218"/>
      <c r="O13" s="216"/>
      <c r="P13" s="500"/>
      <c r="Q13" s="500"/>
    </row>
    <row r="14" spans="1:17" ht="13.5" customHeight="1">
      <c r="A14" s="182"/>
      <c r="B14" s="14"/>
      <c r="C14" s="13"/>
      <c r="D14" s="590" t="s">
        <v>660</v>
      </c>
      <c r="E14" s="591">
        <f>VLOOKUP(CONCATENATE("payment_",D14),Assets_20,3,0)</f>
        <v>275825423.19999963</v>
      </c>
      <c r="F14" s="592">
        <f>E14/$E$16</f>
        <v>0.9308107403228113</v>
      </c>
      <c r="G14" s="593">
        <f>VLOOKUP(CONCATENATE("payment_",D14),Assets_20,2,0)</f>
        <v>40181</v>
      </c>
      <c r="H14" s="594">
        <f>G14/$G$16</f>
        <v>0.93940102401047387</v>
      </c>
      <c r="I14" s="106"/>
      <c r="K14" s="176"/>
      <c r="M14" s="595"/>
      <c r="N14" s="596"/>
      <c r="O14" s="597"/>
      <c r="P14" s="598"/>
      <c r="Q14" s="597"/>
    </row>
    <row r="15" spans="1:17" ht="13" thickBot="1">
      <c r="A15" s="182"/>
      <c r="B15" s="14"/>
      <c r="C15" s="13"/>
      <c r="D15" s="599" t="s">
        <v>661</v>
      </c>
      <c r="E15" s="600">
        <f>VLOOKUP(CONCATENATE("payment_",D15),Assets_20,3,0)</f>
        <v>20502725.209999956</v>
      </c>
      <c r="F15" s="592">
        <f>E15/$E$16</f>
        <v>6.9189259677188641E-2</v>
      </c>
      <c r="G15" s="601">
        <f>VLOOKUP(CONCATENATE("payment_",D15),Assets_20,2,0)</f>
        <v>2592</v>
      </c>
      <c r="H15" s="602">
        <f>G15/$G$16</f>
        <v>6.0598975989526106E-2</v>
      </c>
      <c r="I15" s="106"/>
      <c r="K15" s="176"/>
      <c r="M15" s="595"/>
      <c r="N15" s="596"/>
      <c r="O15" s="597"/>
      <c r="P15" s="598"/>
      <c r="Q15" s="597"/>
    </row>
    <row r="16" spans="1:17" ht="14" thickTop="1" thickBot="1">
      <c r="A16" s="182"/>
      <c r="B16" s="14"/>
      <c r="C16" s="13"/>
      <c r="D16" s="603" t="s">
        <v>36</v>
      </c>
      <c r="E16" s="604">
        <f>SUM(E14:E15)</f>
        <v>296328148.40999961</v>
      </c>
      <c r="F16" s="605">
        <f>SUM(F14:F15)</f>
        <v>1</v>
      </c>
      <c r="G16" s="606">
        <f>SUM(G14:G15)</f>
        <v>42773</v>
      </c>
      <c r="H16" s="607">
        <f>SUM(H14:H15)</f>
        <v>1</v>
      </c>
      <c r="I16" s="106"/>
      <c r="K16" s="176"/>
      <c r="M16" s="608"/>
      <c r="N16" s="609"/>
      <c r="O16" s="610"/>
      <c r="P16" s="611"/>
      <c r="Q16" s="610"/>
    </row>
    <row r="17" spans="1:17">
      <c r="A17" s="182"/>
      <c r="B17" s="14"/>
      <c r="C17" s="13"/>
      <c r="D17" s="612"/>
      <c r="E17" s="612"/>
      <c r="F17" s="612"/>
      <c r="G17" s="612"/>
      <c r="H17" s="612"/>
      <c r="I17" s="106"/>
      <c r="K17" s="176"/>
      <c r="M17" s="201"/>
      <c r="N17" s="201"/>
      <c r="O17" s="201"/>
      <c r="P17" s="201"/>
      <c r="Q17" s="201"/>
    </row>
    <row r="18" spans="1:17">
      <c r="A18" s="182"/>
      <c r="B18" s="14"/>
      <c r="C18" s="13"/>
      <c r="D18" s="612"/>
      <c r="E18" s="234"/>
      <c r="F18" s="612"/>
      <c r="G18" s="613"/>
      <c r="H18" s="612"/>
      <c r="I18" s="106"/>
      <c r="K18" s="176"/>
      <c r="M18" s="201"/>
      <c r="N18" s="234"/>
      <c r="O18" s="201"/>
      <c r="P18" s="204"/>
      <c r="Q18" s="201"/>
    </row>
    <row r="19" spans="1:17" ht="13" thickBot="1">
      <c r="A19" s="182"/>
      <c r="B19" s="14"/>
      <c r="C19" s="13"/>
      <c r="D19" s="612"/>
      <c r="E19" s="612"/>
      <c r="F19" s="612"/>
      <c r="G19" s="612"/>
      <c r="H19" s="612"/>
      <c r="I19" s="101"/>
      <c r="K19" s="176"/>
      <c r="M19" s="201"/>
      <c r="N19" s="201"/>
      <c r="O19" s="201"/>
      <c r="P19" s="201"/>
      <c r="Q19" s="201"/>
    </row>
    <row r="20" spans="1:17" ht="29">
      <c r="A20" s="182"/>
      <c r="B20" s="14"/>
      <c r="C20" s="13"/>
      <c r="D20" s="503" t="s">
        <v>73</v>
      </c>
      <c r="E20" s="538" t="s">
        <v>71</v>
      </c>
      <c r="F20" s="504" t="s">
        <v>118</v>
      </c>
      <c r="G20" s="505" t="s">
        <v>61</v>
      </c>
      <c r="H20" s="539" t="s">
        <v>119</v>
      </c>
      <c r="I20" s="567"/>
      <c r="K20" s="176"/>
      <c r="M20" s="215"/>
      <c r="N20" s="218"/>
      <c r="O20" s="216"/>
      <c r="P20" s="500"/>
      <c r="Q20" s="500"/>
    </row>
    <row r="21" spans="1:17" ht="13.5" customHeight="1">
      <c r="A21" s="182"/>
      <c r="B21" s="14"/>
      <c r="C21" s="13"/>
      <c r="D21" s="614" t="s">
        <v>662</v>
      </c>
      <c r="E21" s="591">
        <f>VLOOKUP(CONCATENATE("payment_",D21),Assets_20,3,0)</f>
        <v>82265495.960000038</v>
      </c>
      <c r="F21" s="592">
        <f>E21/$E$23</f>
        <v>0.27761620487763128</v>
      </c>
      <c r="G21" s="593">
        <f>VLOOKUP(CONCATENATE("payment_",D21),Assets_20,2,0)</f>
        <v>11491</v>
      </c>
      <c r="H21" s="594">
        <f>G21/$G$23</f>
        <v>0.26865078437331963</v>
      </c>
      <c r="I21" s="21"/>
      <c r="K21" s="176"/>
      <c r="M21" s="595"/>
      <c r="N21" s="596"/>
      <c r="O21" s="597"/>
      <c r="P21" s="598"/>
      <c r="Q21" s="597"/>
    </row>
    <row r="22" spans="1:17" ht="13.5" customHeight="1" thickBot="1">
      <c r="A22" s="182"/>
      <c r="B22" s="14"/>
      <c r="C22" s="13"/>
      <c r="D22" s="615" t="s">
        <v>663</v>
      </c>
      <c r="E22" s="600">
        <f>VLOOKUP(CONCATENATE("payment_",D22),Assets_20,3,0)</f>
        <v>214062652.45000124</v>
      </c>
      <c r="F22" s="616">
        <f>E22/$E$23</f>
        <v>0.72238379512236872</v>
      </c>
      <c r="G22" s="601">
        <f>VLOOKUP(CONCATENATE("payment_",D22),Assets_20,2,0)</f>
        <v>31282</v>
      </c>
      <c r="H22" s="617">
        <f>G22/$G$23</f>
        <v>0.73134921562668043</v>
      </c>
      <c r="I22" s="569"/>
      <c r="K22" s="176"/>
      <c r="M22" s="595"/>
      <c r="N22" s="596"/>
      <c r="O22" s="597"/>
      <c r="P22" s="598"/>
      <c r="Q22" s="597"/>
    </row>
    <row r="23" spans="1:17" ht="14" thickTop="1" thickBot="1">
      <c r="A23" s="182"/>
      <c r="B23" s="14"/>
      <c r="C23" s="13"/>
      <c r="D23" s="618" t="s">
        <v>36</v>
      </c>
      <c r="E23" s="604">
        <f>SUM(E21:E22)</f>
        <v>296328148.41000128</v>
      </c>
      <c r="F23" s="605">
        <f>SUM(F21:F22)</f>
        <v>1</v>
      </c>
      <c r="G23" s="606">
        <f>SUM(G21:G22)</f>
        <v>42773</v>
      </c>
      <c r="H23" s="607">
        <f>SUM(H21:H22)</f>
        <v>1</v>
      </c>
      <c r="I23" s="21"/>
      <c r="K23" s="176"/>
      <c r="M23" s="608"/>
      <c r="N23" s="609"/>
      <c r="O23" s="610"/>
      <c r="P23" s="611"/>
      <c r="Q23" s="610"/>
    </row>
    <row r="24" spans="1:17" ht="13">
      <c r="A24" s="182"/>
      <c r="B24" s="14"/>
      <c r="C24" s="13"/>
      <c r="D24" s="619"/>
      <c r="E24" s="620"/>
      <c r="F24" s="621"/>
      <c r="G24" s="622"/>
      <c r="H24" s="621"/>
      <c r="I24" s="21"/>
      <c r="K24" s="176"/>
      <c r="M24" s="608"/>
      <c r="N24" s="609"/>
      <c r="O24" s="610"/>
      <c r="P24" s="611"/>
      <c r="Q24" s="610"/>
    </row>
    <row r="25" spans="1:17" ht="13">
      <c r="A25" s="182"/>
      <c r="B25" s="14"/>
      <c r="C25" s="13"/>
      <c r="D25" s="619"/>
      <c r="E25" s="620"/>
      <c r="F25" s="621"/>
      <c r="G25" s="622"/>
      <c r="H25" s="621"/>
      <c r="I25" s="21"/>
      <c r="K25" s="176"/>
      <c r="M25" s="608"/>
      <c r="N25" s="609"/>
      <c r="O25" s="610"/>
      <c r="P25" s="611"/>
      <c r="Q25" s="610"/>
    </row>
    <row r="26" spans="1:17" ht="13">
      <c r="A26" s="182"/>
      <c r="B26" s="14"/>
      <c r="C26" s="13"/>
      <c r="D26" s="619"/>
      <c r="E26" s="620"/>
      <c r="F26" s="621"/>
      <c r="G26" s="622"/>
      <c r="H26" s="621"/>
      <c r="I26" s="21"/>
      <c r="K26" s="176"/>
      <c r="M26" s="608"/>
      <c r="N26" s="609"/>
      <c r="O26" s="610"/>
      <c r="P26" s="611"/>
      <c r="Q26" s="610"/>
    </row>
    <row r="27" spans="1:17" ht="13">
      <c r="A27" s="182"/>
      <c r="B27" s="14"/>
      <c r="C27" s="13"/>
      <c r="D27" s="619"/>
      <c r="E27" s="620"/>
      <c r="F27" s="621"/>
      <c r="G27" s="622"/>
      <c r="H27" s="621"/>
      <c r="I27" s="21"/>
      <c r="K27" s="176"/>
      <c r="M27" s="608"/>
      <c r="N27" s="609"/>
      <c r="O27" s="610"/>
      <c r="P27" s="611"/>
      <c r="Q27" s="610"/>
    </row>
    <row r="28" spans="1:17" ht="13">
      <c r="A28" s="182"/>
      <c r="B28" s="14"/>
      <c r="C28" s="13"/>
      <c r="D28" s="619"/>
      <c r="E28" s="620"/>
      <c r="F28" s="621"/>
      <c r="G28" s="622"/>
      <c r="H28" s="621"/>
      <c r="I28" s="21"/>
      <c r="K28" s="176"/>
      <c r="M28" s="608"/>
      <c r="N28" s="609"/>
      <c r="O28" s="610"/>
      <c r="P28" s="611"/>
      <c r="Q28" s="610"/>
    </row>
    <row r="29" spans="1:17" ht="13">
      <c r="A29" s="182"/>
      <c r="B29" s="14"/>
      <c r="C29" s="13"/>
      <c r="D29" s="619"/>
      <c r="E29" s="620"/>
      <c r="F29" s="621"/>
      <c r="G29" s="622"/>
      <c r="H29" s="621"/>
      <c r="I29" s="21"/>
      <c r="K29" s="176"/>
      <c r="M29" s="608"/>
      <c r="N29" s="609"/>
      <c r="O29" s="610"/>
      <c r="P29" s="611"/>
      <c r="Q29" s="610"/>
    </row>
    <row r="30" spans="1:17" ht="13">
      <c r="A30" s="182"/>
      <c r="B30" s="14"/>
      <c r="C30" s="13"/>
      <c r="D30" s="619"/>
      <c r="E30" s="620"/>
      <c r="F30" s="621"/>
      <c r="G30" s="622"/>
      <c r="H30" s="621"/>
      <c r="I30" s="21"/>
      <c r="K30" s="176"/>
      <c r="M30" s="608"/>
      <c r="N30" s="609"/>
      <c r="O30" s="610"/>
      <c r="P30" s="611"/>
      <c r="Q30" s="610"/>
    </row>
    <row r="31" spans="1:17" ht="13">
      <c r="A31" s="182"/>
      <c r="B31" s="14"/>
      <c r="C31" s="13"/>
      <c r="D31" s="619"/>
      <c r="E31" s="620"/>
      <c r="F31" s="621"/>
      <c r="G31" s="622"/>
      <c r="H31" s="621"/>
      <c r="I31" s="21"/>
      <c r="K31" s="176"/>
      <c r="M31" s="608"/>
      <c r="N31" s="609"/>
      <c r="O31" s="610"/>
      <c r="P31" s="611"/>
      <c r="Q31" s="610"/>
    </row>
    <row r="32" spans="1:17" ht="13">
      <c r="A32" s="182"/>
      <c r="B32" s="14"/>
      <c r="C32" s="13"/>
      <c r="D32" s="619"/>
      <c r="E32" s="620"/>
      <c r="F32" s="621"/>
      <c r="G32" s="622"/>
      <c r="H32" s="621"/>
      <c r="I32" s="21"/>
      <c r="K32" s="176"/>
      <c r="M32" s="608"/>
      <c r="N32" s="609"/>
      <c r="O32" s="610"/>
      <c r="P32" s="611"/>
      <c r="Q32" s="610"/>
    </row>
    <row r="33" spans="1:17" ht="13">
      <c r="A33" s="182"/>
      <c r="B33" s="14"/>
      <c r="C33" s="13"/>
      <c r="D33" s="619"/>
      <c r="E33" s="620"/>
      <c r="F33" s="621"/>
      <c r="G33" s="622"/>
      <c r="H33" s="621"/>
      <c r="I33" s="21"/>
      <c r="K33" s="176"/>
      <c r="M33" s="608"/>
      <c r="N33" s="609"/>
      <c r="O33" s="610"/>
      <c r="P33" s="611"/>
      <c r="Q33" s="610"/>
    </row>
    <row r="34" spans="1:17" ht="13">
      <c r="A34" s="182"/>
      <c r="B34" s="14"/>
      <c r="C34" s="13"/>
      <c r="D34" s="619"/>
      <c r="E34" s="620"/>
      <c r="F34" s="621"/>
      <c r="G34" s="622"/>
      <c r="H34" s="621"/>
      <c r="I34" s="21"/>
      <c r="K34" s="176"/>
      <c r="M34" s="608"/>
      <c r="N34" s="609"/>
      <c r="O34" s="610"/>
      <c r="P34" s="611"/>
      <c r="Q34" s="610"/>
    </row>
    <row r="35" spans="1:17" ht="13">
      <c r="A35" s="182"/>
      <c r="B35" s="14"/>
      <c r="C35" s="13"/>
      <c r="D35" s="619"/>
      <c r="E35" s="620"/>
      <c r="F35" s="621"/>
      <c r="G35" s="622"/>
      <c r="H35" s="621"/>
      <c r="I35" s="21"/>
      <c r="K35" s="176"/>
      <c r="M35" s="608"/>
      <c r="N35" s="609"/>
      <c r="O35" s="610"/>
      <c r="P35" s="611"/>
      <c r="Q35" s="610"/>
    </row>
    <row r="36" spans="1:17" ht="13">
      <c r="A36" s="182"/>
      <c r="B36" s="14"/>
      <c r="C36" s="13"/>
      <c r="D36" s="619"/>
      <c r="E36" s="620"/>
      <c r="F36" s="621"/>
      <c r="G36" s="622"/>
      <c r="H36" s="621"/>
      <c r="I36" s="21"/>
      <c r="K36" s="176"/>
      <c r="M36" s="608"/>
      <c r="N36" s="609"/>
      <c r="O36" s="610"/>
      <c r="P36" s="611"/>
      <c r="Q36" s="610"/>
    </row>
    <row r="37" spans="1:17" ht="13">
      <c r="A37" s="182"/>
      <c r="B37" s="14"/>
      <c r="C37" s="13"/>
      <c r="D37" s="619"/>
      <c r="E37" s="620"/>
      <c r="F37" s="621"/>
      <c r="G37" s="622"/>
      <c r="H37" s="621"/>
      <c r="I37" s="21"/>
      <c r="K37" s="176"/>
      <c r="M37" s="608"/>
      <c r="N37" s="609"/>
      <c r="O37" s="610"/>
      <c r="P37" s="611"/>
      <c r="Q37" s="610"/>
    </row>
    <row r="38" spans="1:17" ht="13">
      <c r="A38" s="182"/>
      <c r="B38" s="14"/>
      <c r="C38" s="13"/>
      <c r="D38" s="619"/>
      <c r="E38" s="620"/>
      <c r="F38" s="621"/>
      <c r="G38" s="622"/>
      <c r="H38" s="621"/>
      <c r="I38" s="21"/>
      <c r="K38" s="176"/>
      <c r="M38" s="608"/>
      <c r="N38" s="609"/>
      <c r="O38" s="610"/>
      <c r="P38" s="611"/>
      <c r="Q38" s="610"/>
    </row>
    <row r="39" spans="1:17" ht="13">
      <c r="A39" s="182"/>
      <c r="B39" s="14"/>
      <c r="C39" s="13"/>
      <c r="D39" s="619"/>
      <c r="E39" s="623"/>
      <c r="F39" s="623"/>
      <c r="G39" s="68"/>
      <c r="H39" s="68"/>
      <c r="I39" s="106"/>
      <c r="J39" s="21"/>
      <c r="K39" s="176"/>
      <c r="M39" s="608"/>
      <c r="N39" s="623"/>
      <c r="O39" s="623"/>
      <c r="P39" s="37"/>
      <c r="Q39" s="37"/>
    </row>
    <row r="40" spans="1:17" ht="13">
      <c r="A40" s="182"/>
      <c r="B40" s="14"/>
      <c r="C40" s="13"/>
      <c r="D40" s="619"/>
      <c r="E40" s="623"/>
      <c r="F40" s="623"/>
      <c r="G40" s="68"/>
      <c r="H40" s="68"/>
      <c r="I40" s="106"/>
      <c r="J40" s="21"/>
      <c r="K40" s="176"/>
      <c r="M40" s="608"/>
      <c r="N40" s="623"/>
      <c r="O40" s="623"/>
      <c r="P40" s="37"/>
      <c r="Q40" s="37"/>
    </row>
    <row r="41" spans="1:17" ht="13">
      <c r="A41" s="182"/>
      <c r="B41" s="14"/>
      <c r="C41" s="13"/>
      <c r="D41" s="619"/>
      <c r="E41" s="623"/>
      <c r="F41" s="623"/>
      <c r="G41" s="68"/>
      <c r="H41" s="68"/>
      <c r="I41" s="106"/>
      <c r="J41" s="21"/>
      <c r="K41" s="176"/>
      <c r="M41" s="608"/>
      <c r="N41" s="623"/>
      <c r="O41" s="623"/>
      <c r="P41" s="37"/>
      <c r="Q41" s="37"/>
    </row>
    <row r="42" spans="1:17" ht="13">
      <c r="A42" s="182"/>
      <c r="B42" s="14"/>
      <c r="C42" s="13"/>
      <c r="D42" s="619"/>
      <c r="E42" s="623"/>
      <c r="F42" s="623"/>
      <c r="G42" s="68"/>
      <c r="H42" s="68"/>
      <c r="I42" s="106"/>
      <c r="J42" s="21"/>
      <c r="K42" s="176"/>
      <c r="M42" s="608"/>
      <c r="N42" s="623"/>
      <c r="O42" s="623"/>
      <c r="P42" s="37"/>
      <c r="Q42" s="37"/>
    </row>
    <row r="43" spans="1:17" ht="13">
      <c r="A43" s="182"/>
      <c r="B43" s="14"/>
      <c r="C43" s="13"/>
      <c r="D43" s="619"/>
      <c r="E43" s="623"/>
      <c r="F43" s="623"/>
      <c r="G43" s="68"/>
      <c r="H43" s="68"/>
      <c r="I43" s="106"/>
      <c r="J43" s="21"/>
      <c r="K43" s="176"/>
      <c r="M43" s="608"/>
      <c r="N43" s="623"/>
      <c r="O43" s="623"/>
      <c r="P43" s="37"/>
      <c r="Q43" s="37"/>
    </row>
    <row r="44" spans="1:17" ht="13">
      <c r="A44" s="182"/>
      <c r="B44" s="14"/>
      <c r="C44" s="13"/>
      <c r="D44" s="619"/>
      <c r="E44" s="623"/>
      <c r="F44" s="623"/>
      <c r="G44" s="68"/>
      <c r="H44" s="68"/>
      <c r="I44" s="106"/>
      <c r="J44" s="21"/>
      <c r="K44" s="176"/>
      <c r="M44" s="608"/>
      <c r="N44" s="623"/>
      <c r="O44" s="623"/>
      <c r="P44" s="37"/>
      <c r="Q44" s="37"/>
    </row>
    <row r="45" spans="1:17" ht="13">
      <c r="A45" s="182"/>
      <c r="B45" s="14"/>
      <c r="C45" s="13"/>
      <c r="D45" s="619"/>
      <c r="E45" s="623"/>
      <c r="F45" s="623"/>
      <c r="G45" s="68"/>
      <c r="H45" s="68"/>
      <c r="I45" s="106"/>
      <c r="J45" s="21"/>
      <c r="K45" s="176"/>
      <c r="M45" s="608"/>
      <c r="N45" s="623"/>
      <c r="O45" s="623"/>
      <c r="P45" s="37"/>
      <c r="Q45" s="37"/>
    </row>
    <row r="46" spans="1:17" ht="13">
      <c r="A46" s="182"/>
      <c r="B46" s="14"/>
      <c r="C46" s="13"/>
      <c r="D46" s="619"/>
      <c r="E46" s="623"/>
      <c r="F46" s="623"/>
      <c r="G46" s="68"/>
      <c r="H46" s="68"/>
      <c r="I46" s="106"/>
      <c r="J46" s="21"/>
      <c r="K46" s="176"/>
      <c r="M46" s="608"/>
      <c r="N46" s="623"/>
      <c r="O46" s="623"/>
      <c r="P46" s="37"/>
      <c r="Q46" s="37"/>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20.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217</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D12" s="21"/>
      <c r="E12" s="21"/>
      <c r="F12" s="21"/>
      <c r="G12" s="21"/>
      <c r="H12" s="21"/>
      <c r="I12" s="21"/>
      <c r="J12" s="21"/>
      <c r="K12" s="113"/>
      <c r="M12" s="21"/>
      <c r="N12" s="21"/>
      <c r="O12" s="21"/>
      <c r="P12" s="21"/>
      <c r="Q12" s="21"/>
    </row>
    <row r="13" spans="1:17" ht="29">
      <c r="A13" s="182"/>
      <c r="B13" s="14"/>
      <c r="C13" s="13"/>
      <c r="D13" s="503" t="s">
        <v>543</v>
      </c>
      <c r="E13" s="538" t="s">
        <v>71</v>
      </c>
      <c r="F13" s="504" t="s">
        <v>118</v>
      </c>
      <c r="G13" s="505" t="s">
        <v>61</v>
      </c>
      <c r="H13" s="539" t="s">
        <v>119</v>
      </c>
      <c r="I13" s="21"/>
      <c r="J13" s="21"/>
      <c r="K13" s="176"/>
      <c r="M13" s="215"/>
      <c r="N13" s="218"/>
      <c r="O13" s="216"/>
      <c r="P13" s="500"/>
      <c r="Q13" s="500"/>
    </row>
    <row r="14" spans="1:17">
      <c r="A14" s="182"/>
      <c r="B14" s="14"/>
      <c r="C14" s="13"/>
      <c r="D14" s="558" t="s">
        <v>664</v>
      </c>
      <c r="E14" s="559">
        <f t="shared" ref="E14:E27" si="0">VLOOKUP(CONCATENATE("interest_",D14),Assets_20,3,0)</f>
        <v>593956.68999999983</v>
      </c>
      <c r="F14" s="560">
        <f>E14/$E$28</f>
        <v>2.0043883552304321E-3</v>
      </c>
      <c r="G14" s="561">
        <f t="shared" ref="G14:G27" si="1">VLOOKUP(CONCATENATE("interest_",D14),Assets_20,2,0)</f>
        <v>496</v>
      </c>
      <c r="H14" s="562">
        <f>G14/$G$28</f>
        <v>1.1596100343674748E-2</v>
      </c>
      <c r="I14" s="21"/>
      <c r="J14" s="21"/>
      <c r="K14" s="176"/>
      <c r="M14" s="563"/>
      <c r="N14" s="564"/>
      <c r="O14" s="565"/>
      <c r="P14" s="566"/>
      <c r="Q14" s="565"/>
    </row>
    <row r="15" spans="1:17">
      <c r="A15" s="182"/>
      <c r="B15" s="14"/>
      <c r="C15" s="13"/>
      <c r="D15" s="558" t="s">
        <v>665</v>
      </c>
      <c r="E15" s="559">
        <f t="shared" si="0"/>
        <v>2477997.2899999996</v>
      </c>
      <c r="F15" s="560">
        <f t="shared" ref="F15:F27" si="2">E15/$E$28</f>
        <v>8.3623418946061016E-3</v>
      </c>
      <c r="G15" s="561">
        <f t="shared" si="1"/>
        <v>673</v>
      </c>
      <c r="H15" s="562">
        <f t="shared" ref="H15:H27" si="3">G15/$G$28</f>
        <v>1.5734224861478036E-2</v>
      </c>
      <c r="I15" s="21"/>
      <c r="J15" s="21"/>
      <c r="K15" s="176"/>
      <c r="M15" s="563"/>
      <c r="N15" s="564"/>
      <c r="O15" s="565"/>
      <c r="P15" s="566"/>
      <c r="Q15" s="565"/>
    </row>
    <row r="16" spans="1:17">
      <c r="A16" s="182"/>
      <c r="B16" s="14"/>
      <c r="C16" s="13"/>
      <c r="D16" s="558" t="s">
        <v>666</v>
      </c>
      <c r="E16" s="559">
        <f t="shared" si="0"/>
        <v>20714195.719999976</v>
      </c>
      <c r="F16" s="560">
        <f t="shared" si="2"/>
        <v>6.99028959319105E-2</v>
      </c>
      <c r="G16" s="561">
        <f t="shared" si="1"/>
        <v>3126</v>
      </c>
      <c r="H16" s="562">
        <f t="shared" si="3"/>
        <v>7.308348724662754E-2</v>
      </c>
      <c r="I16" s="21"/>
      <c r="J16" s="21"/>
      <c r="K16" s="176"/>
      <c r="M16" s="563"/>
      <c r="N16" s="564"/>
      <c r="O16" s="565"/>
      <c r="P16" s="566"/>
      <c r="Q16" s="565"/>
    </row>
    <row r="17" spans="1:17">
      <c r="A17" s="182"/>
      <c r="B17" s="14"/>
      <c r="C17" s="13"/>
      <c r="D17" s="558" t="s">
        <v>667</v>
      </c>
      <c r="E17" s="559">
        <f t="shared" si="0"/>
        <v>36035352.219999984</v>
      </c>
      <c r="F17" s="560">
        <f t="shared" si="2"/>
        <v>0.12160624096412667</v>
      </c>
      <c r="G17" s="561">
        <f t="shared" si="1"/>
        <v>5733</v>
      </c>
      <c r="H17" s="562">
        <f t="shared" si="3"/>
        <v>0.13403315175461156</v>
      </c>
      <c r="I17" s="21"/>
      <c r="J17" s="21"/>
      <c r="K17" s="176"/>
      <c r="M17" s="563"/>
      <c r="N17" s="564"/>
      <c r="O17" s="565"/>
      <c r="P17" s="566"/>
      <c r="Q17" s="565"/>
    </row>
    <row r="18" spans="1:17">
      <c r="A18" s="182"/>
      <c r="B18" s="14"/>
      <c r="C18" s="13"/>
      <c r="D18" s="558" t="s">
        <v>668</v>
      </c>
      <c r="E18" s="559">
        <f t="shared" si="0"/>
        <v>61901824.300000332</v>
      </c>
      <c r="F18" s="560">
        <f t="shared" si="2"/>
        <v>0.20889620048633664</v>
      </c>
      <c r="G18" s="561">
        <f t="shared" si="1"/>
        <v>9747</v>
      </c>
      <c r="H18" s="562">
        <f t="shared" si="3"/>
        <v>0.22787739929394712</v>
      </c>
      <c r="I18" s="21"/>
      <c r="J18" s="21"/>
      <c r="K18" s="176"/>
      <c r="M18" s="563"/>
      <c r="N18" s="564"/>
      <c r="O18" s="565"/>
      <c r="P18" s="566"/>
      <c r="Q18" s="565"/>
    </row>
    <row r="19" spans="1:17">
      <c r="A19" s="182"/>
      <c r="B19" s="14"/>
      <c r="C19" s="13"/>
      <c r="D19" s="558" t="s">
        <v>669</v>
      </c>
      <c r="E19" s="559">
        <f t="shared" si="0"/>
        <v>61985039.170000002</v>
      </c>
      <c r="F19" s="560">
        <f t="shared" si="2"/>
        <v>0.20917702048418757</v>
      </c>
      <c r="G19" s="561">
        <f t="shared" si="1"/>
        <v>8252</v>
      </c>
      <c r="H19" s="562">
        <f t="shared" si="3"/>
        <v>0.19292544362097586</v>
      </c>
      <c r="I19" s="21"/>
      <c r="J19" s="21"/>
      <c r="K19" s="176"/>
      <c r="M19" s="563"/>
      <c r="N19" s="564"/>
      <c r="O19" s="565"/>
      <c r="P19" s="566"/>
      <c r="Q19" s="565"/>
    </row>
    <row r="20" spans="1:17">
      <c r="A20" s="182"/>
      <c r="B20" s="14"/>
      <c r="C20" s="13"/>
      <c r="D20" s="558" t="s">
        <v>670</v>
      </c>
      <c r="E20" s="559">
        <f t="shared" si="0"/>
        <v>61092321.709999993</v>
      </c>
      <c r="F20" s="560">
        <f t="shared" si="2"/>
        <v>0.20616442291358877</v>
      </c>
      <c r="G20" s="561">
        <f t="shared" si="1"/>
        <v>7061</v>
      </c>
      <c r="H20" s="562">
        <f t="shared" si="3"/>
        <v>0.16508077525541814</v>
      </c>
      <c r="I20" s="21"/>
      <c r="J20" s="21"/>
      <c r="K20" s="176"/>
      <c r="M20" s="563"/>
      <c r="N20" s="564"/>
      <c r="O20" s="565"/>
      <c r="P20" s="566"/>
      <c r="Q20" s="565"/>
    </row>
    <row r="21" spans="1:17">
      <c r="A21" s="182"/>
      <c r="B21" s="14"/>
      <c r="C21" s="13"/>
      <c r="D21" s="558" t="s">
        <v>671</v>
      </c>
      <c r="E21" s="559">
        <f t="shared" si="0"/>
        <v>35387719.429999955</v>
      </c>
      <c r="F21" s="560">
        <f t="shared" si="2"/>
        <v>0.11942071524382297</v>
      </c>
      <c r="G21" s="561">
        <f t="shared" si="1"/>
        <v>5345</v>
      </c>
      <c r="H21" s="562">
        <f t="shared" si="3"/>
        <v>0.12496200874383373</v>
      </c>
      <c r="I21" s="567"/>
      <c r="J21" s="21"/>
      <c r="K21" s="176"/>
      <c r="M21" s="563"/>
      <c r="N21" s="564"/>
      <c r="O21" s="565"/>
      <c r="P21" s="566"/>
      <c r="Q21" s="565"/>
    </row>
    <row r="22" spans="1:17">
      <c r="A22" s="182"/>
      <c r="B22" s="14"/>
      <c r="C22" s="13"/>
      <c r="D22" s="558" t="s">
        <v>672</v>
      </c>
      <c r="E22" s="559">
        <f t="shared" si="0"/>
        <v>11235736.279999997</v>
      </c>
      <c r="F22" s="560">
        <f t="shared" si="2"/>
        <v>3.7916533884098678E-2</v>
      </c>
      <c r="G22" s="561">
        <f t="shared" si="1"/>
        <v>1548</v>
      </c>
      <c r="H22" s="562">
        <f t="shared" si="3"/>
        <v>3.6191055104855867E-2</v>
      </c>
      <c r="I22" s="21"/>
      <c r="J22" s="21"/>
      <c r="K22" s="176"/>
      <c r="M22" s="563"/>
      <c r="N22" s="564"/>
      <c r="O22" s="565"/>
      <c r="P22" s="566"/>
      <c r="Q22" s="565"/>
    </row>
    <row r="23" spans="1:17">
      <c r="A23" s="182"/>
      <c r="B23" s="14"/>
      <c r="C23" s="13"/>
      <c r="D23" s="558" t="s">
        <v>673</v>
      </c>
      <c r="E23" s="559">
        <f t="shared" si="0"/>
        <v>3885916.6800000006</v>
      </c>
      <c r="F23" s="560">
        <f t="shared" si="2"/>
        <v>1.3113559075810233E-2</v>
      </c>
      <c r="G23" s="561">
        <f t="shared" si="1"/>
        <v>632</v>
      </c>
      <c r="H23" s="562">
        <f t="shared" si="3"/>
        <v>1.477567624435976E-2</v>
      </c>
      <c r="I23" s="21"/>
      <c r="J23" s="21"/>
      <c r="K23" s="176"/>
      <c r="M23" s="563"/>
      <c r="N23" s="564"/>
      <c r="O23" s="565"/>
      <c r="P23" s="566"/>
      <c r="Q23" s="565"/>
    </row>
    <row r="24" spans="1:17" ht="12.75" customHeight="1">
      <c r="A24" s="182"/>
      <c r="B24" s="14"/>
      <c r="C24" s="13"/>
      <c r="D24" s="568" t="s">
        <v>674</v>
      </c>
      <c r="E24" s="559">
        <f t="shared" si="0"/>
        <v>776789.71999999986</v>
      </c>
      <c r="F24" s="560">
        <f t="shared" si="2"/>
        <v>2.6213835039566743E-3</v>
      </c>
      <c r="G24" s="561">
        <f t="shared" si="1"/>
        <v>123</v>
      </c>
      <c r="H24" s="562">
        <f t="shared" si="3"/>
        <v>2.8756458513548265E-3</v>
      </c>
      <c r="I24" s="569"/>
      <c r="J24" s="21"/>
      <c r="K24" s="176"/>
      <c r="M24" s="570"/>
      <c r="N24" s="564"/>
      <c r="O24" s="565"/>
      <c r="P24" s="566"/>
      <c r="Q24" s="565"/>
    </row>
    <row r="25" spans="1:17">
      <c r="A25" s="182"/>
      <c r="B25" s="14"/>
      <c r="C25" s="13"/>
      <c r="D25" s="568" t="s">
        <v>675</v>
      </c>
      <c r="E25" s="559">
        <f t="shared" si="0"/>
        <v>178214.09999999995</v>
      </c>
      <c r="F25" s="560">
        <f t="shared" si="2"/>
        <v>6.0140793561542637E-4</v>
      </c>
      <c r="G25" s="561">
        <f t="shared" si="1"/>
        <v>26</v>
      </c>
      <c r="H25" s="562">
        <f t="shared" si="3"/>
        <v>6.0786009866036991E-4</v>
      </c>
      <c r="I25" s="21"/>
      <c r="J25" s="21"/>
      <c r="K25" s="176"/>
      <c r="M25" s="570"/>
      <c r="N25" s="564"/>
      <c r="O25" s="565"/>
      <c r="P25" s="566"/>
      <c r="Q25" s="565"/>
    </row>
    <row r="26" spans="1:17">
      <c r="A26" s="182"/>
      <c r="B26" s="14"/>
      <c r="C26" s="13"/>
      <c r="D26" s="568" t="s">
        <v>676</v>
      </c>
      <c r="E26" s="559">
        <f t="shared" si="0"/>
        <v>58463.249999999993</v>
      </c>
      <c r="F26" s="560">
        <f t="shared" si="2"/>
        <v>1.9729225965772957E-4</v>
      </c>
      <c r="G26" s="561">
        <f t="shared" si="1"/>
        <v>10</v>
      </c>
      <c r="H26" s="562">
        <f t="shared" si="3"/>
        <v>2.3379234563860378E-4</v>
      </c>
      <c r="I26" s="21"/>
      <c r="J26" s="21"/>
      <c r="K26" s="176"/>
      <c r="M26" s="570"/>
      <c r="N26" s="564"/>
      <c r="O26" s="565"/>
      <c r="P26" s="566"/>
      <c r="Q26" s="565"/>
    </row>
    <row r="27" spans="1:17" ht="13" thickBot="1">
      <c r="A27" s="182"/>
      <c r="B27" s="14"/>
      <c r="C27" s="13"/>
      <c r="D27" s="568" t="s">
        <v>677</v>
      </c>
      <c r="E27" s="559">
        <f t="shared" si="0"/>
        <v>4621.8500000000004</v>
      </c>
      <c r="F27" s="560">
        <f t="shared" si="2"/>
        <v>1.5597067051508043E-5</v>
      </c>
      <c r="G27" s="561">
        <f t="shared" si="1"/>
        <v>1</v>
      </c>
      <c r="H27" s="562">
        <f t="shared" si="3"/>
        <v>2.3379234563860378E-5</v>
      </c>
      <c r="I27" s="571"/>
      <c r="J27" s="21"/>
      <c r="K27" s="176"/>
      <c r="M27" s="570"/>
      <c r="N27" s="564"/>
      <c r="O27" s="565"/>
      <c r="P27" s="566"/>
      <c r="Q27" s="565"/>
    </row>
    <row r="28" spans="1:17" ht="14" thickTop="1" thickBot="1">
      <c r="A28" s="182"/>
      <c r="B28" s="14"/>
      <c r="C28" s="13"/>
      <c r="D28" s="533" t="s">
        <v>36</v>
      </c>
      <c r="E28" s="493">
        <f>SUM(E14:E27)</f>
        <v>296328148.41000026</v>
      </c>
      <c r="F28" s="572">
        <f>SUM(F14:F27)</f>
        <v>0.99999999999999978</v>
      </c>
      <c r="G28" s="573">
        <f>SUM(G14:G27)</f>
        <v>42773</v>
      </c>
      <c r="H28" s="574">
        <f>SUM(H14:H27)</f>
        <v>0.99999999999999989</v>
      </c>
      <c r="I28" s="21"/>
      <c r="J28" s="21"/>
      <c r="K28" s="176"/>
      <c r="M28" s="37"/>
      <c r="N28" s="514"/>
      <c r="O28" s="575"/>
      <c r="P28" s="576"/>
      <c r="Q28" s="575"/>
    </row>
    <row r="29" spans="1:17">
      <c r="A29" s="182"/>
      <c r="B29" s="14"/>
      <c r="C29" s="13"/>
      <c r="D29" s="106"/>
      <c r="E29" s="577"/>
      <c r="F29" s="106"/>
      <c r="G29" s="106"/>
      <c r="H29" s="106"/>
      <c r="I29" s="21"/>
      <c r="J29" s="175"/>
      <c r="K29" s="176"/>
      <c r="N29" s="211"/>
    </row>
    <row r="30" spans="1:17">
      <c r="A30" s="182"/>
      <c r="B30" s="14"/>
      <c r="C30" s="13"/>
      <c r="E30" s="234"/>
      <c r="F30" s="106"/>
      <c r="G30" s="578"/>
      <c r="H30" s="106"/>
      <c r="I30" s="21"/>
      <c r="J30" s="175"/>
      <c r="K30" s="176"/>
      <c r="N30" s="234"/>
      <c r="P30" s="579"/>
    </row>
    <row r="31" spans="1:17" ht="13.5" thickBot="1">
      <c r="A31" s="182"/>
      <c r="B31" s="14"/>
      <c r="C31" s="13"/>
      <c r="D31" s="580" t="s">
        <v>69</v>
      </c>
      <c r="E31" s="580" t="s">
        <v>8</v>
      </c>
      <c r="F31" s="106"/>
      <c r="G31" s="106"/>
      <c r="H31" s="106"/>
      <c r="I31" s="21"/>
      <c r="J31" s="175"/>
      <c r="K31" s="176"/>
      <c r="M31" s="513"/>
      <c r="N31" s="513"/>
    </row>
    <row r="32" spans="1:17" ht="13" thickBot="1">
      <c r="A32" s="182"/>
      <c r="B32" s="14"/>
      <c r="C32" s="13"/>
      <c r="D32" s="520" t="s">
        <v>64</v>
      </c>
      <c r="E32" s="581">
        <f>VLOOKUP(CONCATENATE("interest_",D32),Assets_20,3,0)</f>
        <v>5.6704768129488166E-2</v>
      </c>
      <c r="F32" s="106"/>
      <c r="G32" s="582"/>
      <c r="H32" s="582"/>
      <c r="I32" s="21"/>
      <c r="J32" s="175"/>
      <c r="K32" s="176"/>
      <c r="M32" s="583"/>
      <c r="N32" s="584"/>
      <c r="P32" s="582"/>
      <c r="Q32" s="582"/>
    </row>
    <row r="33" spans="1:17">
      <c r="A33" s="182"/>
      <c r="B33" s="14"/>
      <c r="C33" s="13"/>
      <c r="D33" s="585"/>
      <c r="E33" s="584"/>
      <c r="F33" s="106"/>
      <c r="G33" s="586"/>
      <c r="H33" s="586"/>
      <c r="I33" s="21"/>
      <c r="J33" s="175"/>
      <c r="K33" s="176"/>
      <c r="M33" s="585"/>
      <c r="N33" s="584"/>
      <c r="P33" s="586"/>
      <c r="Q33" s="586"/>
    </row>
    <row r="34" spans="1:17" ht="14.5">
      <c r="A34" s="182"/>
      <c r="B34" s="14"/>
      <c r="C34" s="13"/>
      <c r="D34" s="557" t="s">
        <v>542</v>
      </c>
      <c r="E34" s="584"/>
      <c r="F34" s="106"/>
      <c r="G34" s="106"/>
      <c r="H34" s="106"/>
      <c r="I34" s="21"/>
      <c r="J34" s="175"/>
      <c r="K34" s="176"/>
      <c r="M34" s="166"/>
      <c r="N34" s="584"/>
    </row>
    <row r="35" spans="1:17">
      <c r="A35" s="182"/>
      <c r="B35" s="14"/>
      <c r="C35" s="13"/>
      <c r="D35" s="166"/>
      <c r="E35" s="587"/>
      <c r="F35" s="106"/>
      <c r="G35" s="106"/>
      <c r="H35" s="106"/>
      <c r="I35" s="21"/>
      <c r="J35" s="175"/>
      <c r="K35" s="176"/>
      <c r="M35" s="166"/>
      <c r="N35" s="584"/>
    </row>
    <row r="36" spans="1:17">
      <c r="A36" s="182"/>
      <c r="B36" s="14"/>
      <c r="C36" s="13"/>
      <c r="D36" s="166"/>
      <c r="E36" s="587"/>
      <c r="F36" s="106"/>
      <c r="G36" s="106"/>
      <c r="H36" s="106"/>
      <c r="I36" s="21"/>
      <c r="J36" s="175"/>
      <c r="K36" s="176"/>
      <c r="M36" s="166"/>
      <c r="N36" s="584"/>
    </row>
    <row r="37" spans="1:17">
      <c r="A37" s="182"/>
      <c r="B37" s="14"/>
      <c r="C37" s="13"/>
      <c r="D37" s="21"/>
      <c r="E37" s="21"/>
      <c r="F37" s="21"/>
      <c r="G37" s="21"/>
      <c r="H37" s="21"/>
      <c r="I37" s="21"/>
      <c r="J37" s="175"/>
      <c r="K37" s="176"/>
    </row>
    <row r="38" spans="1:17" ht="12" customHeight="1">
      <c r="A38" s="182"/>
      <c r="B38" s="14"/>
      <c r="C38" s="13"/>
      <c r="D38" s="588"/>
      <c r="E38" s="21"/>
      <c r="F38" s="21"/>
      <c r="G38" s="21"/>
      <c r="H38" s="21"/>
      <c r="I38" s="21"/>
      <c r="J38" s="21"/>
      <c r="K38" s="176"/>
      <c r="M38" s="588"/>
    </row>
    <row r="39" spans="1:17">
      <c r="A39" s="182"/>
      <c r="B39" s="14"/>
      <c r="C39" s="13"/>
      <c r="D39" s="21"/>
      <c r="E39" s="21"/>
      <c r="F39" s="21"/>
      <c r="G39" s="21"/>
      <c r="H39" s="21"/>
      <c r="I39" s="175"/>
      <c r="J39" s="21"/>
      <c r="K39" s="176"/>
    </row>
    <row r="40" spans="1:17" ht="14.5">
      <c r="A40" s="182"/>
      <c r="B40" s="14"/>
      <c r="C40" s="13"/>
      <c r="D40" s="215"/>
      <c r="E40" s="218"/>
      <c r="F40" s="216"/>
      <c r="G40" s="500"/>
      <c r="H40" s="500"/>
      <c r="I40" s="175"/>
      <c r="J40" s="21"/>
      <c r="K40" s="176"/>
      <c r="L40" s="21"/>
      <c r="M40" s="215"/>
      <c r="N40" s="218"/>
      <c r="O40" s="216"/>
      <c r="P40" s="500"/>
      <c r="Q40" s="500"/>
    </row>
    <row r="41" spans="1:17" s="21" customFormat="1">
      <c r="A41" s="182"/>
      <c r="B41" s="14"/>
      <c r="C41" s="13"/>
      <c r="D41" s="589"/>
      <c r="E41" s="564"/>
      <c r="F41" s="565"/>
      <c r="G41" s="566"/>
      <c r="H41" s="565"/>
      <c r="I41" s="175"/>
      <c r="K41" s="176"/>
      <c r="M41" s="589"/>
      <c r="N41" s="564"/>
      <c r="O41" s="565"/>
      <c r="P41" s="566"/>
      <c r="Q41" s="565"/>
    </row>
    <row r="42" spans="1:17" s="21" customFormat="1">
      <c r="A42" s="182"/>
      <c r="B42" s="14"/>
      <c r="C42" s="13"/>
      <c r="D42" s="589"/>
      <c r="E42" s="564"/>
      <c r="F42" s="565"/>
      <c r="G42" s="566"/>
      <c r="H42" s="565"/>
      <c r="I42" s="175"/>
      <c r="K42" s="176"/>
      <c r="M42" s="589"/>
      <c r="N42" s="564"/>
      <c r="O42" s="565"/>
      <c r="P42" s="566"/>
      <c r="Q42" s="565"/>
    </row>
    <row r="43" spans="1:17" s="101" customFormat="1" ht="15" customHeight="1">
      <c r="A43" s="107"/>
      <c r="B43" s="14"/>
      <c r="C43" s="13"/>
      <c r="D43" s="37"/>
      <c r="E43" s="514"/>
      <c r="F43" s="575"/>
      <c r="G43" s="576"/>
      <c r="H43" s="575"/>
      <c r="I43" s="175"/>
      <c r="K43" s="113"/>
      <c r="M43" s="37"/>
      <c r="N43" s="514"/>
      <c r="O43" s="575"/>
      <c r="P43" s="576"/>
      <c r="Q43" s="575"/>
    </row>
    <row r="44" spans="1:17" s="101" customFormat="1">
      <c r="A44" s="107"/>
      <c r="B44" s="14"/>
      <c r="C44" s="13"/>
      <c r="D44" s="198"/>
      <c r="E44" s="13"/>
      <c r="F44" s="199"/>
      <c r="G44" s="200"/>
      <c r="H44" s="199"/>
      <c r="I44" s="175"/>
      <c r="K44" s="113"/>
      <c r="M44" s="198"/>
      <c r="N44" s="13"/>
      <c r="O44" s="199"/>
      <c r="P44" s="200"/>
      <c r="Q44" s="199"/>
    </row>
    <row r="45" spans="1:17" s="101" customFormat="1">
      <c r="A45" s="107"/>
      <c r="B45" s="14"/>
      <c r="C45" s="13"/>
      <c r="D45" s="198"/>
      <c r="E45" s="13"/>
      <c r="F45" s="199"/>
      <c r="G45" s="200"/>
      <c r="H45" s="199"/>
      <c r="I45" s="175"/>
      <c r="K45" s="113"/>
      <c r="M45" s="198"/>
      <c r="N45" s="13"/>
      <c r="O45" s="199"/>
      <c r="P45" s="200"/>
      <c r="Q45" s="199"/>
    </row>
    <row r="46" spans="1:17" s="101" customFormat="1">
      <c r="A46" s="107"/>
      <c r="B46" s="14"/>
      <c r="C46" s="13"/>
      <c r="D46" s="198"/>
      <c r="E46" s="13"/>
      <c r="F46" s="199"/>
      <c r="G46" s="200"/>
      <c r="H46" s="199"/>
      <c r="I46" s="175"/>
      <c r="K46" s="113"/>
      <c r="M46" s="198"/>
      <c r="N46" s="13"/>
      <c r="O46" s="199"/>
      <c r="P46" s="200"/>
      <c r="Q46" s="199"/>
    </row>
    <row r="47" spans="1:17" s="21" customFormat="1">
      <c r="A47" s="196"/>
      <c r="B47" s="29"/>
      <c r="C47" s="11"/>
      <c r="D47" s="351"/>
      <c r="E47" s="11"/>
      <c r="F47" s="318"/>
      <c r="G47" s="352"/>
      <c r="H47" s="318"/>
      <c r="I47" s="394"/>
      <c r="J47" s="56"/>
      <c r="K47" s="197"/>
      <c r="M47" s="198"/>
      <c r="N47" s="13"/>
      <c r="O47" s="199"/>
      <c r="P47" s="200"/>
      <c r="Q47" s="199"/>
    </row>
    <row r="48" spans="1:17" s="21" customFormat="1">
      <c r="B48" s="14"/>
      <c r="C48" s="13"/>
      <c r="D48" s="198"/>
      <c r="E48" s="13"/>
      <c r="F48" s="199"/>
      <c r="G48" s="200"/>
      <c r="H48" s="199"/>
      <c r="I48" s="175"/>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21" customFormat="1">
      <c r="B51" s="14"/>
      <c r="C51" s="13"/>
      <c r="D51" s="198"/>
      <c r="E51" s="13"/>
      <c r="F51" s="199"/>
      <c r="G51" s="200"/>
      <c r="H51" s="199"/>
      <c r="I51" s="175"/>
      <c r="M51" s="198"/>
      <c r="N51" s="13"/>
      <c r="O51" s="199"/>
      <c r="P51" s="200"/>
      <c r="Q51" s="199"/>
    </row>
    <row r="52" spans="2:17" s="21" customFormat="1">
      <c r="B52" s="14"/>
      <c r="C52" s="13"/>
      <c r="D52" s="198"/>
      <c r="E52" s="13"/>
      <c r="F52" s="199"/>
      <c r="G52" s="200"/>
      <c r="H52" s="199"/>
      <c r="I52" s="175"/>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201"/>
      <c r="E75" s="202"/>
      <c r="F75" s="233"/>
      <c r="G75" s="204"/>
      <c r="H75" s="233"/>
      <c r="I75" s="175"/>
      <c r="M75" s="201"/>
      <c r="N75" s="202"/>
      <c r="O75" s="233"/>
      <c r="P75" s="204"/>
      <c r="Q75" s="233"/>
    </row>
    <row r="76" spans="2:17" s="21" customFormat="1">
      <c r="B76" s="14"/>
      <c r="C76" s="13"/>
      <c r="D76" s="201"/>
      <c r="E76" s="201"/>
      <c r="F76" s="201"/>
      <c r="G76" s="201"/>
      <c r="H76" s="201"/>
      <c r="I76" s="175"/>
      <c r="M76" s="201"/>
      <c r="N76" s="201"/>
      <c r="O76" s="201"/>
      <c r="P76" s="201"/>
      <c r="Q76" s="201"/>
    </row>
    <row r="77" spans="2:17" s="21" customFormat="1">
      <c r="B77" s="14"/>
      <c r="C77" s="13"/>
      <c r="D77" s="201"/>
      <c r="E77" s="201"/>
      <c r="F77" s="201"/>
      <c r="G77" s="201"/>
      <c r="H77" s="201"/>
      <c r="I77" s="175"/>
      <c r="M77" s="201"/>
      <c r="N77" s="201"/>
      <c r="O77" s="201"/>
      <c r="P77" s="201"/>
      <c r="Q77" s="201"/>
    </row>
    <row r="78" spans="2:17" s="21" customFormat="1">
      <c r="B78" s="14"/>
      <c r="C78" s="13"/>
      <c r="D78" s="205"/>
      <c r="E78" s="234"/>
      <c r="F78" s="201"/>
      <c r="G78" s="201"/>
      <c r="H78" s="201"/>
      <c r="I78" s="175"/>
      <c r="M78" s="205"/>
      <c r="N78" s="234"/>
      <c r="O78" s="201"/>
      <c r="P78" s="201"/>
      <c r="Q78" s="201"/>
    </row>
    <row r="79" spans="2:17" s="21" customFormat="1">
      <c r="B79" s="14"/>
      <c r="C79" s="13"/>
      <c r="D79" s="202"/>
      <c r="E79" s="234"/>
      <c r="F79" s="201"/>
      <c r="G79" s="201"/>
      <c r="H79" s="201"/>
      <c r="I79" s="175"/>
      <c r="M79" s="202"/>
      <c r="N79" s="234"/>
      <c r="O79" s="201"/>
      <c r="P79" s="201"/>
      <c r="Q79" s="201"/>
    </row>
    <row r="80" spans="2:17" s="21" customFormat="1">
      <c r="B80" s="14"/>
      <c r="C80" s="13"/>
      <c r="D80" s="201"/>
      <c r="E80" s="234"/>
      <c r="F80" s="201"/>
      <c r="G80" s="201"/>
      <c r="H80" s="201"/>
      <c r="I80" s="175"/>
      <c r="M80" s="201"/>
      <c r="N80" s="234"/>
      <c r="O80" s="201"/>
      <c r="P80" s="201"/>
      <c r="Q80" s="201"/>
    </row>
    <row r="81" spans="2:17" s="21" customFormat="1" ht="14">
      <c r="B81" s="201"/>
      <c r="C81" s="202"/>
      <c r="D81" s="207"/>
      <c r="E81" s="207"/>
      <c r="F81" s="207"/>
      <c r="G81" s="207"/>
      <c r="H81" s="207"/>
      <c r="I81" s="175"/>
      <c r="M81" s="207"/>
      <c r="N81" s="207"/>
      <c r="O81" s="207"/>
      <c r="P81" s="207"/>
      <c r="Q81" s="207"/>
    </row>
    <row r="82" spans="2:17" s="21" customFormat="1" ht="14">
      <c r="B82" s="101"/>
      <c r="C82" s="101"/>
      <c r="D82" s="207"/>
      <c r="E82" s="207"/>
      <c r="F82" s="207"/>
      <c r="G82" s="207"/>
      <c r="H82" s="207"/>
      <c r="I82" s="175"/>
      <c r="M82" s="207"/>
      <c r="N82" s="207"/>
      <c r="O82" s="207"/>
      <c r="P82" s="207"/>
      <c r="Q82" s="207"/>
    </row>
    <row r="83" spans="2:17" s="21" customFormat="1" ht="14">
      <c r="B83" s="101"/>
      <c r="C83" s="101"/>
      <c r="D83" s="208"/>
      <c r="E83" s="235"/>
      <c r="F83" s="207"/>
      <c r="G83" s="207"/>
      <c r="H83" s="207"/>
      <c r="I83" s="175"/>
      <c r="M83" s="208"/>
      <c r="N83" s="235"/>
      <c r="O83" s="207"/>
      <c r="P83" s="207"/>
      <c r="Q83" s="207"/>
    </row>
    <row r="84" spans="2:17" s="21" customFormat="1" ht="14">
      <c r="B84" s="205"/>
      <c r="C84" s="234"/>
      <c r="D84" s="210"/>
      <c r="E84" s="235"/>
      <c r="F84" s="207"/>
      <c r="G84" s="207"/>
      <c r="H84" s="207"/>
      <c r="I84" s="175"/>
      <c r="M84" s="210"/>
      <c r="N84" s="235"/>
      <c r="O84" s="207"/>
      <c r="P84" s="207"/>
      <c r="Q84" s="207"/>
    </row>
    <row r="85" spans="2:17" s="21" customFormat="1" ht="14">
      <c r="B85" s="211"/>
      <c r="C85" s="234"/>
      <c r="D85" s="207"/>
      <c r="E85" s="235"/>
      <c r="F85" s="207"/>
      <c r="G85" s="207"/>
      <c r="H85" s="207"/>
      <c r="I85" s="175"/>
      <c r="M85" s="207"/>
      <c r="N85" s="235"/>
      <c r="O85" s="207"/>
      <c r="P85" s="207"/>
      <c r="Q85" s="207"/>
    </row>
    <row r="86" spans="2:17" s="21" customFormat="1">
      <c r="C86" s="234"/>
      <c r="I86" s="175"/>
    </row>
    <row r="87" spans="2:17" s="21" customFormat="1">
      <c r="I87" s="175"/>
    </row>
    <row r="88" spans="2:17" s="21" customFormat="1">
      <c r="I88" s="175"/>
    </row>
    <row r="89" spans="2:17" s="21" customFormat="1">
      <c r="I89" s="175"/>
    </row>
    <row r="90" spans="2:17" s="21" customFormat="1">
      <c r="I90" s="175"/>
    </row>
    <row r="91" spans="2:17" s="21" customFormat="1">
      <c r="I91" s="175"/>
    </row>
    <row r="92" spans="2:17" s="21" customFormat="1">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218</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557" t="s">
        <v>542</v>
      </c>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6.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158</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499"/>
      <c r="C13" s="21"/>
      <c r="D13" s="503" t="s">
        <v>76</v>
      </c>
      <c r="E13" s="538" t="s">
        <v>71</v>
      </c>
      <c r="F13" s="504" t="s">
        <v>118</v>
      </c>
      <c r="G13" s="505" t="s">
        <v>61</v>
      </c>
      <c r="H13" s="539" t="s">
        <v>119</v>
      </c>
      <c r="I13" s="175"/>
      <c r="K13" s="113"/>
      <c r="M13" s="215"/>
      <c r="N13" s="218"/>
      <c r="O13" s="216"/>
      <c r="P13" s="500"/>
      <c r="Q13" s="500"/>
    </row>
    <row r="14" spans="1:17" s="106" customFormat="1">
      <c r="A14" s="107"/>
      <c r="B14" s="174"/>
      <c r="C14" s="174"/>
      <c r="D14" s="540" t="s">
        <v>678</v>
      </c>
      <c r="E14" s="541">
        <f t="shared" ref="E14:E41" si="0">VLOOKUP(CONCATENATE("seasoning_",D14),Assets_20,3,0)</f>
        <v>0</v>
      </c>
      <c r="F14" s="542">
        <f>E14/$E$42</f>
        <v>0</v>
      </c>
      <c r="G14" s="543">
        <f t="shared" ref="G14:G41" si="1">VLOOKUP(CONCATENATE("seasoning_",D14),Assets_20,2,0)</f>
        <v>0</v>
      </c>
      <c r="H14" s="544">
        <f>G14/$G$42</f>
        <v>0</v>
      </c>
      <c r="I14" s="175"/>
      <c r="K14" s="113"/>
      <c r="M14" s="545"/>
      <c r="N14" s="537"/>
      <c r="O14" s="534"/>
      <c r="P14" s="535"/>
      <c r="Q14" s="534"/>
    </row>
    <row r="15" spans="1:17">
      <c r="A15" s="182"/>
      <c r="B15" s="14"/>
      <c r="C15" s="13"/>
      <c r="D15" s="540" t="s">
        <v>679</v>
      </c>
      <c r="E15" s="541">
        <f t="shared" si="0"/>
        <v>0</v>
      </c>
      <c r="F15" s="542">
        <f t="shared" ref="F15:F41" si="2">E15/$E$42</f>
        <v>0</v>
      </c>
      <c r="G15" s="543">
        <f t="shared" si="1"/>
        <v>0</v>
      </c>
      <c r="H15" s="544">
        <f t="shared" ref="H15:H41" si="3">G15/$G$42</f>
        <v>0</v>
      </c>
      <c r="I15" s="175"/>
      <c r="K15" s="176"/>
      <c r="M15" s="545"/>
      <c r="N15" s="537"/>
      <c r="O15" s="534"/>
      <c r="P15" s="535"/>
      <c r="Q15" s="534"/>
    </row>
    <row r="16" spans="1:17">
      <c r="A16" s="182"/>
      <c r="B16" s="14"/>
      <c r="C16" s="13"/>
      <c r="D16" s="540" t="s">
        <v>680</v>
      </c>
      <c r="E16" s="541">
        <f t="shared" si="0"/>
        <v>0</v>
      </c>
      <c r="F16" s="542">
        <f t="shared" si="2"/>
        <v>0</v>
      </c>
      <c r="G16" s="543">
        <f t="shared" si="1"/>
        <v>0</v>
      </c>
      <c r="H16" s="544">
        <f t="shared" si="3"/>
        <v>0</v>
      </c>
      <c r="I16" s="175"/>
      <c r="K16" s="176"/>
      <c r="M16" s="545"/>
      <c r="N16" s="537"/>
      <c r="O16" s="534"/>
      <c r="P16" s="535"/>
      <c r="Q16" s="534"/>
    </row>
    <row r="17" spans="1:17">
      <c r="A17" s="182"/>
      <c r="B17" s="14"/>
      <c r="C17" s="13"/>
      <c r="D17" s="540" t="s">
        <v>681</v>
      </c>
      <c r="E17" s="541">
        <f t="shared" si="0"/>
        <v>0</v>
      </c>
      <c r="F17" s="542">
        <f t="shared" si="2"/>
        <v>0</v>
      </c>
      <c r="G17" s="543">
        <f t="shared" si="1"/>
        <v>0</v>
      </c>
      <c r="H17" s="544">
        <f t="shared" si="3"/>
        <v>0</v>
      </c>
      <c r="I17" s="175"/>
      <c r="K17" s="176"/>
      <c r="M17" s="546"/>
      <c r="N17" s="537"/>
      <c r="O17" s="534"/>
      <c r="P17" s="535"/>
      <c r="Q17" s="534"/>
    </row>
    <row r="18" spans="1:17">
      <c r="A18" s="182"/>
      <c r="B18" s="14"/>
      <c r="C18" s="13"/>
      <c r="D18" s="540" t="s">
        <v>682</v>
      </c>
      <c r="E18" s="541">
        <f t="shared" si="0"/>
        <v>0</v>
      </c>
      <c r="F18" s="542">
        <f t="shared" si="2"/>
        <v>0</v>
      </c>
      <c r="G18" s="543">
        <f t="shared" si="1"/>
        <v>0</v>
      </c>
      <c r="H18" s="544">
        <f t="shared" si="3"/>
        <v>0</v>
      </c>
      <c r="I18" s="175"/>
      <c r="K18" s="176"/>
      <c r="M18" s="546"/>
      <c r="N18" s="537"/>
      <c r="O18" s="534"/>
      <c r="P18" s="535"/>
      <c r="Q18" s="534"/>
    </row>
    <row r="19" spans="1:17">
      <c r="A19" s="182"/>
      <c r="B19" s="14"/>
      <c r="C19" s="13"/>
      <c r="D19" s="540" t="s">
        <v>683</v>
      </c>
      <c r="E19" s="541">
        <f t="shared" si="0"/>
        <v>0</v>
      </c>
      <c r="F19" s="542">
        <f t="shared" si="2"/>
        <v>0</v>
      </c>
      <c r="G19" s="543">
        <f t="shared" si="1"/>
        <v>0</v>
      </c>
      <c r="H19" s="544">
        <f t="shared" si="3"/>
        <v>0</v>
      </c>
      <c r="I19" s="175"/>
      <c r="K19" s="176"/>
      <c r="M19" s="546"/>
      <c r="N19" s="537"/>
      <c r="O19" s="534"/>
      <c r="P19" s="535"/>
      <c r="Q19" s="534"/>
    </row>
    <row r="20" spans="1:17">
      <c r="A20" s="182"/>
      <c r="B20" s="14"/>
      <c r="C20" s="13"/>
      <c r="D20" s="540" t="s">
        <v>684</v>
      </c>
      <c r="E20" s="541">
        <f t="shared" si="0"/>
        <v>0</v>
      </c>
      <c r="F20" s="542">
        <f t="shared" si="2"/>
        <v>0</v>
      </c>
      <c r="G20" s="543">
        <f t="shared" si="1"/>
        <v>0</v>
      </c>
      <c r="H20" s="544">
        <f t="shared" si="3"/>
        <v>0</v>
      </c>
      <c r="I20" s="175"/>
      <c r="K20" s="176"/>
      <c r="M20" s="546"/>
      <c r="N20" s="537"/>
      <c r="O20" s="534"/>
      <c r="P20" s="535"/>
      <c r="Q20" s="534"/>
    </row>
    <row r="21" spans="1:17">
      <c r="A21" s="182"/>
      <c r="B21" s="14"/>
      <c r="C21" s="13"/>
      <c r="D21" s="540" t="s">
        <v>685</v>
      </c>
      <c r="E21" s="541">
        <f t="shared" si="0"/>
        <v>0</v>
      </c>
      <c r="F21" s="542">
        <f t="shared" si="2"/>
        <v>0</v>
      </c>
      <c r="G21" s="543">
        <f t="shared" si="1"/>
        <v>0</v>
      </c>
      <c r="H21" s="544">
        <f t="shared" si="3"/>
        <v>0</v>
      </c>
      <c r="I21" s="175"/>
      <c r="K21" s="176"/>
      <c r="M21" s="546"/>
      <c r="N21" s="537"/>
      <c r="O21" s="534"/>
      <c r="P21" s="535"/>
      <c r="Q21" s="534"/>
    </row>
    <row r="22" spans="1:17">
      <c r="A22" s="182"/>
      <c r="B22" s="14"/>
      <c r="C22" s="13"/>
      <c r="D22" s="540" t="s">
        <v>686</v>
      </c>
      <c r="E22" s="541">
        <f t="shared" si="0"/>
        <v>0</v>
      </c>
      <c r="F22" s="542">
        <f t="shared" si="2"/>
        <v>0</v>
      </c>
      <c r="G22" s="543">
        <f t="shared" si="1"/>
        <v>0</v>
      </c>
      <c r="H22" s="544">
        <f t="shared" si="3"/>
        <v>0</v>
      </c>
      <c r="I22" s="175"/>
      <c r="K22" s="176"/>
      <c r="M22" s="547"/>
      <c r="N22" s="537"/>
      <c r="O22" s="534"/>
      <c r="P22" s="535"/>
      <c r="Q22" s="534"/>
    </row>
    <row r="23" spans="1:17">
      <c r="A23" s="182"/>
      <c r="B23" s="14"/>
      <c r="C23" s="13"/>
      <c r="D23" s="540" t="s">
        <v>687</v>
      </c>
      <c r="E23" s="541">
        <f t="shared" si="0"/>
        <v>0</v>
      </c>
      <c r="F23" s="542">
        <f t="shared" si="2"/>
        <v>0</v>
      </c>
      <c r="G23" s="543">
        <f t="shared" si="1"/>
        <v>0</v>
      </c>
      <c r="H23" s="544">
        <f t="shared" si="3"/>
        <v>0</v>
      </c>
      <c r="I23" s="175"/>
      <c r="K23" s="176"/>
      <c r="M23" s="548"/>
      <c r="N23" s="537"/>
      <c r="O23" s="534"/>
      <c r="P23" s="535"/>
      <c r="Q23" s="534"/>
    </row>
    <row r="24" spans="1:17" ht="12.75" customHeight="1">
      <c r="A24" s="182"/>
      <c r="B24" s="14"/>
      <c r="C24" s="13"/>
      <c r="D24" s="540" t="s">
        <v>688</v>
      </c>
      <c r="E24" s="541">
        <f t="shared" si="0"/>
        <v>0</v>
      </c>
      <c r="F24" s="542">
        <f t="shared" si="2"/>
        <v>0</v>
      </c>
      <c r="G24" s="543">
        <f t="shared" si="1"/>
        <v>0</v>
      </c>
      <c r="H24" s="544">
        <f t="shared" si="3"/>
        <v>0</v>
      </c>
      <c r="I24" s="175"/>
      <c r="K24" s="176"/>
      <c r="M24" s="548"/>
      <c r="N24" s="537"/>
      <c r="O24" s="534"/>
      <c r="P24" s="535"/>
      <c r="Q24" s="534"/>
    </row>
    <row r="25" spans="1:17" ht="12.75" customHeight="1">
      <c r="A25" s="182"/>
      <c r="B25" s="14"/>
      <c r="C25" s="13"/>
      <c r="D25" s="540" t="s">
        <v>689</v>
      </c>
      <c r="E25" s="541">
        <f t="shared" si="0"/>
        <v>0</v>
      </c>
      <c r="F25" s="542">
        <f t="shared" si="2"/>
        <v>0</v>
      </c>
      <c r="G25" s="543">
        <f t="shared" si="1"/>
        <v>0</v>
      </c>
      <c r="H25" s="544">
        <f t="shared" si="3"/>
        <v>0</v>
      </c>
      <c r="I25" s="175"/>
      <c r="K25" s="176"/>
      <c r="M25" s="548"/>
      <c r="N25" s="537"/>
      <c r="O25" s="534"/>
      <c r="P25" s="535"/>
      <c r="Q25" s="534"/>
    </row>
    <row r="26" spans="1:17" ht="12.75" customHeight="1">
      <c r="A26" s="182"/>
      <c r="B26" s="14"/>
      <c r="C26" s="13"/>
      <c r="D26" s="540" t="s">
        <v>690</v>
      </c>
      <c r="E26" s="541">
        <f t="shared" si="0"/>
        <v>0</v>
      </c>
      <c r="F26" s="542">
        <f t="shared" si="2"/>
        <v>0</v>
      </c>
      <c r="G26" s="543">
        <f t="shared" si="1"/>
        <v>0</v>
      </c>
      <c r="H26" s="544">
        <f t="shared" si="3"/>
        <v>0</v>
      </c>
      <c r="I26" s="175"/>
      <c r="K26" s="176"/>
      <c r="M26" s="548"/>
      <c r="N26" s="537"/>
      <c r="O26" s="534"/>
      <c r="P26" s="535"/>
      <c r="Q26" s="534"/>
    </row>
    <row r="27" spans="1:17" ht="12.75" customHeight="1">
      <c r="A27" s="182"/>
      <c r="B27" s="14"/>
      <c r="C27" s="13"/>
      <c r="D27" s="540" t="s">
        <v>691</v>
      </c>
      <c r="E27" s="541">
        <f t="shared" si="0"/>
        <v>0</v>
      </c>
      <c r="F27" s="542">
        <f t="shared" si="2"/>
        <v>0</v>
      </c>
      <c r="G27" s="543">
        <f t="shared" si="1"/>
        <v>0</v>
      </c>
      <c r="H27" s="544">
        <f t="shared" si="3"/>
        <v>0</v>
      </c>
      <c r="I27" s="175"/>
      <c r="K27" s="176"/>
      <c r="M27" s="548"/>
      <c r="N27" s="537"/>
      <c r="O27" s="534"/>
      <c r="P27" s="535"/>
      <c r="Q27" s="534"/>
    </row>
    <row r="28" spans="1:17" ht="12.75" customHeight="1">
      <c r="A28" s="182"/>
      <c r="B28" s="14"/>
      <c r="C28" s="13"/>
      <c r="D28" s="540" t="s">
        <v>692</v>
      </c>
      <c r="E28" s="541">
        <f t="shared" si="0"/>
        <v>66021.39</v>
      </c>
      <c r="F28" s="542">
        <f t="shared" si="2"/>
        <v>2.2279824024227558E-4</v>
      </c>
      <c r="G28" s="543">
        <f t="shared" si="1"/>
        <v>9</v>
      </c>
      <c r="H28" s="544">
        <f t="shared" si="3"/>
        <v>2.104131110747434E-4</v>
      </c>
      <c r="I28" s="175"/>
      <c r="K28" s="176"/>
      <c r="M28" s="548"/>
      <c r="N28" s="537"/>
      <c r="O28" s="534"/>
      <c r="P28" s="535"/>
      <c r="Q28" s="534"/>
    </row>
    <row r="29" spans="1:17" ht="12.75" customHeight="1">
      <c r="A29" s="182"/>
      <c r="B29" s="14"/>
      <c r="C29" s="13"/>
      <c r="D29" s="540" t="s">
        <v>693</v>
      </c>
      <c r="E29" s="541">
        <f t="shared" si="0"/>
        <v>14712863.669999989</v>
      </c>
      <c r="F29" s="542">
        <f t="shared" si="2"/>
        <v>4.96505774053001E-2</v>
      </c>
      <c r="G29" s="543">
        <f t="shared" si="1"/>
        <v>1576</v>
      </c>
      <c r="H29" s="544">
        <f t="shared" si="3"/>
        <v>3.6845673672643957E-2</v>
      </c>
      <c r="I29" s="175"/>
      <c r="K29" s="176"/>
      <c r="M29" s="548"/>
      <c r="N29" s="537"/>
      <c r="O29" s="534"/>
      <c r="P29" s="535"/>
      <c r="Q29" s="534"/>
    </row>
    <row r="30" spans="1:17" ht="12.75" customHeight="1">
      <c r="A30" s="182"/>
      <c r="B30" s="14"/>
      <c r="C30" s="13"/>
      <c r="D30" s="540" t="s">
        <v>694</v>
      </c>
      <c r="E30" s="541">
        <f t="shared" si="0"/>
        <v>30180269.149999898</v>
      </c>
      <c r="F30" s="542">
        <f t="shared" si="2"/>
        <v>0.10184745968932517</v>
      </c>
      <c r="G30" s="543">
        <f t="shared" si="1"/>
        <v>3304</v>
      </c>
      <c r="H30" s="544">
        <f t="shared" si="3"/>
        <v>7.7244990998994692E-2</v>
      </c>
      <c r="I30" s="175"/>
      <c r="K30" s="176"/>
      <c r="M30" s="548"/>
      <c r="N30" s="537"/>
      <c r="O30" s="534"/>
      <c r="P30" s="535"/>
      <c r="Q30" s="534"/>
    </row>
    <row r="31" spans="1:17" ht="12.75" customHeight="1">
      <c r="A31" s="182"/>
      <c r="B31" s="14"/>
      <c r="C31" s="13"/>
      <c r="D31" s="540" t="s">
        <v>695</v>
      </c>
      <c r="E31" s="541">
        <f t="shared" si="0"/>
        <v>32899176.14000012</v>
      </c>
      <c r="F31" s="542">
        <f t="shared" si="2"/>
        <v>0.11102278442505811</v>
      </c>
      <c r="G31" s="543">
        <f t="shared" si="1"/>
        <v>3782</v>
      </c>
      <c r="H31" s="544">
        <f t="shared" si="3"/>
        <v>8.8420265120519953E-2</v>
      </c>
      <c r="I31" s="175"/>
      <c r="K31" s="176"/>
      <c r="M31" s="548"/>
      <c r="N31" s="537"/>
      <c r="O31" s="534"/>
      <c r="P31" s="535"/>
      <c r="Q31" s="534"/>
    </row>
    <row r="32" spans="1:17" ht="12.75" customHeight="1">
      <c r="A32" s="182"/>
      <c r="B32" s="14"/>
      <c r="C32" s="13"/>
      <c r="D32" s="540" t="s">
        <v>696</v>
      </c>
      <c r="E32" s="541">
        <f t="shared" si="0"/>
        <v>45995122.680000156</v>
      </c>
      <c r="F32" s="542">
        <f t="shared" si="2"/>
        <v>0.15521685309611952</v>
      </c>
      <c r="G32" s="543">
        <f t="shared" si="1"/>
        <v>5981</v>
      </c>
      <c r="H32" s="544">
        <f t="shared" si="3"/>
        <v>0.13983120192644893</v>
      </c>
      <c r="I32" s="175"/>
      <c r="K32" s="176"/>
      <c r="M32" s="548"/>
      <c r="N32" s="537"/>
      <c r="O32" s="534"/>
      <c r="P32" s="535"/>
      <c r="Q32" s="534"/>
    </row>
    <row r="33" spans="1:17" ht="12.75" customHeight="1">
      <c r="A33" s="182"/>
      <c r="B33" s="14"/>
      <c r="C33" s="13"/>
      <c r="D33" s="540" t="s">
        <v>697</v>
      </c>
      <c r="E33" s="541">
        <f t="shared" si="0"/>
        <v>59973335.000000067</v>
      </c>
      <c r="F33" s="542">
        <f t="shared" si="2"/>
        <v>0.20238824870940297</v>
      </c>
      <c r="G33" s="543">
        <f t="shared" si="1"/>
        <v>9144</v>
      </c>
      <c r="H33" s="544">
        <f t="shared" si="3"/>
        <v>0.2137797208519393</v>
      </c>
      <c r="I33" s="175"/>
      <c r="K33" s="176"/>
      <c r="M33" s="548"/>
      <c r="N33" s="537"/>
      <c r="O33" s="534"/>
      <c r="P33" s="535"/>
      <c r="Q33" s="534"/>
    </row>
    <row r="34" spans="1:17" ht="12.75" customHeight="1">
      <c r="A34" s="182"/>
      <c r="B34" s="14"/>
      <c r="C34" s="13"/>
      <c r="D34" s="540" t="s">
        <v>698</v>
      </c>
      <c r="E34" s="541">
        <f t="shared" si="0"/>
        <v>40219905.480000161</v>
      </c>
      <c r="F34" s="542">
        <f t="shared" si="2"/>
        <v>0.13572759015910893</v>
      </c>
      <c r="G34" s="543">
        <f t="shared" si="1"/>
        <v>6168</v>
      </c>
      <c r="H34" s="544">
        <f t="shared" si="3"/>
        <v>0.14420311878989081</v>
      </c>
      <c r="I34" s="175"/>
      <c r="K34" s="176"/>
      <c r="M34" s="548"/>
      <c r="N34" s="537"/>
      <c r="O34" s="534"/>
      <c r="P34" s="535"/>
      <c r="Q34" s="534"/>
    </row>
    <row r="35" spans="1:17" ht="12.75" customHeight="1">
      <c r="A35" s="182"/>
      <c r="B35" s="14"/>
      <c r="C35" s="13"/>
      <c r="D35" s="540" t="s">
        <v>699</v>
      </c>
      <c r="E35" s="541">
        <f t="shared" si="0"/>
        <v>33869927.96000012</v>
      </c>
      <c r="F35" s="542">
        <f t="shared" si="2"/>
        <v>0.11429871965162615</v>
      </c>
      <c r="G35" s="543">
        <f t="shared" si="1"/>
        <v>5554</v>
      </c>
      <c r="H35" s="544">
        <f t="shared" si="3"/>
        <v>0.12984826876768055</v>
      </c>
      <c r="I35" s="175"/>
      <c r="K35" s="176"/>
      <c r="M35" s="548"/>
      <c r="N35" s="537"/>
      <c r="O35" s="534"/>
      <c r="P35" s="535"/>
      <c r="Q35" s="534"/>
    </row>
    <row r="36" spans="1:17" ht="12.75" customHeight="1">
      <c r="A36" s="182"/>
      <c r="B36" s="14"/>
      <c r="C36" s="13"/>
      <c r="D36" s="540" t="s">
        <v>700</v>
      </c>
      <c r="E36" s="541">
        <f t="shared" si="0"/>
        <v>25259786.360000063</v>
      </c>
      <c r="F36" s="542">
        <f t="shared" si="2"/>
        <v>8.5242615308521216E-2</v>
      </c>
      <c r="G36" s="543">
        <f t="shared" si="1"/>
        <v>4349</v>
      </c>
      <c r="H36" s="544">
        <f t="shared" si="3"/>
        <v>0.10167629111822879</v>
      </c>
      <c r="I36" s="175"/>
      <c r="K36" s="176"/>
      <c r="M36" s="548"/>
      <c r="N36" s="537"/>
      <c r="O36" s="534"/>
      <c r="P36" s="535"/>
      <c r="Q36" s="534"/>
    </row>
    <row r="37" spans="1:17" ht="12.75" customHeight="1">
      <c r="A37" s="182"/>
      <c r="B37" s="14"/>
      <c r="C37" s="13"/>
      <c r="D37" s="540" t="s">
        <v>701</v>
      </c>
      <c r="E37" s="541">
        <f t="shared" si="0"/>
        <v>3055944.9799999972</v>
      </c>
      <c r="F37" s="542">
        <f t="shared" si="2"/>
        <v>1.0312705682525247E-2</v>
      </c>
      <c r="G37" s="543">
        <f t="shared" si="1"/>
        <v>542</v>
      </c>
      <c r="H37" s="544">
        <f t="shared" si="3"/>
        <v>1.2671545133612325E-2</v>
      </c>
      <c r="I37" s="175"/>
      <c r="K37" s="176"/>
      <c r="M37" s="548"/>
      <c r="N37" s="537"/>
      <c r="O37" s="534"/>
      <c r="P37" s="535"/>
      <c r="Q37" s="534"/>
    </row>
    <row r="38" spans="1:17" ht="12.75" customHeight="1">
      <c r="A38" s="182"/>
      <c r="B38" s="14"/>
      <c r="C38" s="13"/>
      <c r="D38" s="540" t="s">
        <v>702</v>
      </c>
      <c r="E38" s="541">
        <f t="shared" si="0"/>
        <v>3831404.0099999993</v>
      </c>
      <c r="F38" s="542">
        <f t="shared" si="2"/>
        <v>1.2929598590474965E-2</v>
      </c>
      <c r="G38" s="543">
        <f t="shared" si="1"/>
        <v>710</v>
      </c>
      <c r="H38" s="544">
        <f t="shared" si="3"/>
        <v>1.6599256540340869E-2</v>
      </c>
      <c r="I38" s="175"/>
      <c r="K38" s="176"/>
      <c r="M38" s="548"/>
      <c r="N38" s="537"/>
      <c r="O38" s="534"/>
      <c r="P38" s="535"/>
      <c r="Q38" s="534"/>
    </row>
    <row r="39" spans="1:17" ht="12.75" customHeight="1">
      <c r="A39" s="182"/>
      <c r="B39" s="14"/>
      <c r="C39" s="13"/>
      <c r="D39" s="540" t="s">
        <v>703</v>
      </c>
      <c r="E39" s="541">
        <f t="shared" si="0"/>
        <v>3730371.0300000007</v>
      </c>
      <c r="F39" s="542">
        <f t="shared" si="2"/>
        <v>1.2588648935364209E-2</v>
      </c>
      <c r="G39" s="543">
        <f t="shared" si="1"/>
        <v>822</v>
      </c>
      <c r="H39" s="544">
        <f t="shared" si="3"/>
        <v>1.9217730811493233E-2</v>
      </c>
      <c r="I39" s="175"/>
      <c r="K39" s="176"/>
      <c r="M39" s="548"/>
      <c r="N39" s="537"/>
      <c r="O39" s="534"/>
      <c r="P39" s="535"/>
      <c r="Q39" s="534"/>
    </row>
    <row r="40" spans="1:17" ht="12.75" customHeight="1">
      <c r="A40" s="182"/>
      <c r="B40" s="14"/>
      <c r="C40" s="13"/>
      <c r="D40" s="540" t="s">
        <v>704</v>
      </c>
      <c r="E40" s="541">
        <f t="shared" si="0"/>
        <v>1817151.0499999991</v>
      </c>
      <c r="F40" s="542">
        <f t="shared" si="2"/>
        <v>6.1322255740814176E-3</v>
      </c>
      <c r="G40" s="543">
        <f t="shared" si="1"/>
        <v>503</v>
      </c>
      <c r="H40" s="544">
        <f t="shared" si="3"/>
        <v>1.1759754985621771E-2</v>
      </c>
      <c r="I40" s="175"/>
      <c r="K40" s="176"/>
      <c r="M40" s="548"/>
      <c r="N40" s="537"/>
      <c r="O40" s="534"/>
      <c r="P40" s="535"/>
      <c r="Q40" s="534"/>
    </row>
    <row r="41" spans="1:17" ht="12.75" customHeight="1" thickBot="1">
      <c r="A41" s="182"/>
      <c r="B41" s="14"/>
      <c r="C41" s="13"/>
      <c r="D41" s="540" t="s">
        <v>705</v>
      </c>
      <c r="E41" s="541">
        <f t="shared" si="0"/>
        <v>716869.50999999919</v>
      </c>
      <c r="F41" s="542">
        <f t="shared" si="2"/>
        <v>2.4191745328497657E-3</v>
      </c>
      <c r="G41" s="543">
        <f t="shared" si="1"/>
        <v>329</v>
      </c>
      <c r="H41" s="544">
        <f t="shared" si="3"/>
        <v>7.6917681715100647E-3</v>
      </c>
      <c r="I41" s="175"/>
      <c r="K41" s="176"/>
      <c r="M41" s="548"/>
      <c r="N41" s="537"/>
      <c r="O41" s="534"/>
      <c r="P41" s="535"/>
      <c r="Q41" s="534"/>
    </row>
    <row r="42" spans="1:17" ht="14" thickTop="1" thickBot="1">
      <c r="A42" s="182"/>
      <c r="B42" s="14"/>
      <c r="C42" s="13"/>
      <c r="D42" s="549" t="s">
        <v>36</v>
      </c>
      <c r="E42" s="550">
        <f>SUM(E14:E41)</f>
        <v>296328148.41000056</v>
      </c>
      <c r="F42" s="551">
        <f>SUM(F14:F41)</f>
        <v>1</v>
      </c>
      <c r="G42" s="552">
        <f>SUM(G14:G41)</f>
        <v>42773</v>
      </c>
      <c r="H42" s="553">
        <f>SUM(H14:H41)</f>
        <v>1</v>
      </c>
      <c r="I42" s="175"/>
      <c r="J42" s="175"/>
      <c r="K42" s="176"/>
      <c r="M42" s="37"/>
      <c r="N42" s="514"/>
      <c r="O42" s="554"/>
      <c r="P42" s="516"/>
      <c r="Q42" s="515"/>
    </row>
    <row r="43" spans="1:17" ht="13">
      <c r="A43" s="182"/>
      <c r="B43" s="14"/>
      <c r="C43" s="13"/>
      <c r="D43" s="555"/>
      <c r="E43" s="556"/>
      <c r="F43" s="554"/>
      <c r="G43" s="498"/>
      <c r="H43" s="228"/>
      <c r="I43" s="175"/>
      <c r="J43" s="175"/>
      <c r="K43" s="176"/>
      <c r="M43" s="37"/>
      <c r="N43" s="514"/>
      <c r="O43" s="554"/>
      <c r="P43" s="516"/>
      <c r="Q43" s="515"/>
    </row>
    <row r="44" spans="1:17" ht="13">
      <c r="A44" s="182"/>
      <c r="B44" s="14"/>
      <c r="C44" s="13"/>
      <c r="D44" s="37"/>
      <c r="E44" s="514"/>
      <c r="F44" s="554"/>
      <c r="G44" s="498"/>
      <c r="H44" s="228"/>
      <c r="I44" s="175"/>
      <c r="J44" s="175"/>
      <c r="K44" s="176"/>
      <c r="M44" s="37"/>
      <c r="N44" s="514"/>
      <c r="O44" s="554"/>
      <c r="P44" s="516"/>
      <c r="Q44" s="515"/>
    </row>
    <row r="45" spans="1:17" ht="13.5" thickBot="1">
      <c r="A45" s="182"/>
      <c r="B45" s="14"/>
      <c r="C45" s="13"/>
      <c r="D45" s="519" t="s">
        <v>69</v>
      </c>
      <c r="E45" s="519"/>
      <c r="F45" s="106"/>
      <c r="G45" s="106"/>
      <c r="H45" s="106"/>
      <c r="I45" s="175"/>
      <c r="J45" s="175"/>
      <c r="K45" s="176"/>
      <c r="N45" s="518"/>
    </row>
    <row r="46" spans="1:17" ht="13" thickBot="1">
      <c r="A46" s="182"/>
      <c r="B46" s="14"/>
      <c r="C46" s="13"/>
      <c r="D46" s="520" t="s">
        <v>74</v>
      </c>
      <c r="E46" s="521">
        <f>VLOOKUP(CONCATENATE("seasoning_",D46),Assets_20,3,0)</f>
        <v>57.937501078620471</v>
      </c>
      <c r="F46" s="106"/>
      <c r="G46" s="106"/>
      <c r="H46" s="106"/>
      <c r="I46" s="175"/>
      <c r="J46" s="175"/>
      <c r="K46" s="176"/>
      <c r="N46" s="518"/>
    </row>
    <row r="47" spans="1:17">
      <c r="A47" s="182"/>
      <c r="B47" s="14"/>
      <c r="C47" s="13"/>
      <c r="D47" s="202"/>
      <c r="E47" s="234"/>
      <c r="F47" s="106"/>
      <c r="G47" s="106"/>
      <c r="H47" s="106"/>
      <c r="I47" s="175"/>
      <c r="J47" s="175"/>
      <c r="K47" s="176"/>
      <c r="N47" s="518"/>
    </row>
    <row r="48" spans="1:17">
      <c r="A48" s="182"/>
      <c r="B48" s="14"/>
      <c r="C48" s="13"/>
      <c r="D48" s="201"/>
      <c r="E48" s="234"/>
      <c r="F48" s="106"/>
      <c r="G48" s="106"/>
      <c r="H48" s="106"/>
      <c r="I48" s="175"/>
      <c r="J48" s="175"/>
      <c r="K48" s="176"/>
      <c r="N48" s="518"/>
    </row>
    <row r="49" spans="1:17">
      <c r="A49" s="182"/>
      <c r="B49" s="14"/>
      <c r="C49" s="13"/>
      <c r="D49" s="101"/>
      <c r="E49" s="518"/>
      <c r="F49" s="106"/>
      <c r="G49" s="106"/>
      <c r="H49" s="106"/>
      <c r="I49" s="175"/>
      <c r="J49" s="175"/>
      <c r="K49" s="176"/>
      <c r="N49" s="518"/>
    </row>
    <row r="50" spans="1:17">
      <c r="A50" s="182"/>
      <c r="B50" s="14"/>
      <c r="C50" s="13"/>
      <c r="D50" s="101"/>
      <c r="E50" s="518"/>
      <c r="F50" s="106"/>
      <c r="G50" s="106"/>
      <c r="H50" s="106"/>
      <c r="I50" s="175"/>
      <c r="J50" s="175"/>
      <c r="K50" s="176"/>
      <c r="N50" s="518"/>
    </row>
    <row r="51" spans="1:17">
      <c r="A51" s="182"/>
      <c r="B51" s="14"/>
      <c r="C51" s="13"/>
      <c r="D51" s="101"/>
      <c r="E51" s="518"/>
      <c r="F51" s="106"/>
      <c r="G51" s="106"/>
      <c r="H51" s="106"/>
      <c r="I51" s="175"/>
      <c r="J51" s="175"/>
      <c r="K51" s="176"/>
      <c r="N51" s="518"/>
    </row>
    <row r="52" spans="1:17">
      <c r="A52" s="182"/>
      <c r="B52" s="14"/>
      <c r="C52" s="13"/>
      <c r="D52" s="101"/>
      <c r="E52" s="518"/>
      <c r="F52" s="106"/>
      <c r="G52" s="106"/>
      <c r="H52" s="106"/>
      <c r="I52" s="175"/>
      <c r="J52" s="175"/>
      <c r="K52" s="176"/>
      <c r="N52" s="518"/>
    </row>
    <row r="53" spans="1:17">
      <c r="A53" s="182"/>
      <c r="B53" s="14"/>
      <c r="C53" s="13"/>
      <c r="D53" s="101"/>
      <c r="E53" s="518"/>
      <c r="F53" s="106"/>
      <c r="G53" s="106"/>
      <c r="H53" s="106"/>
      <c r="I53" s="175"/>
      <c r="J53" s="175"/>
      <c r="K53" s="176"/>
      <c r="N53" s="518"/>
    </row>
    <row r="54" spans="1:17">
      <c r="A54" s="196"/>
      <c r="B54" s="29"/>
      <c r="C54" s="11"/>
      <c r="D54" s="351"/>
      <c r="E54" s="11"/>
      <c r="F54" s="318"/>
      <c r="G54" s="352"/>
      <c r="H54" s="318"/>
      <c r="I54" s="394"/>
      <c r="J54" s="56"/>
      <c r="K54" s="197"/>
      <c r="M54" s="198"/>
      <c r="N54" s="13"/>
      <c r="O54" s="199"/>
      <c r="P54" s="200"/>
      <c r="Q54" s="199"/>
    </row>
    <row r="55" spans="1:17">
      <c r="A55" s="49"/>
      <c r="B55" s="14"/>
      <c r="C55" s="13"/>
      <c r="D55" s="198"/>
      <c r="E55" s="13"/>
      <c r="F55" s="199"/>
      <c r="G55" s="200"/>
      <c r="H55" s="199"/>
      <c r="I55" s="175"/>
      <c r="J55" s="21"/>
      <c r="K55" s="21"/>
      <c r="L55" s="21"/>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101" customFormat="1" ht="15" customHeight="1">
      <c r="B58" s="14"/>
      <c r="C58" s="13"/>
      <c r="D58" s="198"/>
      <c r="E58" s="13"/>
      <c r="F58" s="199"/>
      <c r="G58" s="200"/>
      <c r="H58" s="199"/>
      <c r="I58" s="147"/>
      <c r="M58" s="198"/>
      <c r="N58" s="13"/>
      <c r="O58" s="199"/>
      <c r="P58" s="200"/>
      <c r="Q58" s="199"/>
    </row>
    <row r="59" spans="1:17" s="101" customFormat="1">
      <c r="B59" s="14"/>
      <c r="C59" s="13"/>
      <c r="D59" s="198"/>
      <c r="E59" s="13"/>
      <c r="F59" s="199"/>
      <c r="G59" s="200"/>
      <c r="H59" s="199"/>
      <c r="I59" s="147"/>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201"/>
      <c r="E88" s="202"/>
      <c r="F88" s="233"/>
      <c r="G88" s="204"/>
      <c r="H88" s="233"/>
      <c r="I88" s="175"/>
      <c r="M88" s="201"/>
      <c r="N88" s="202"/>
      <c r="O88" s="233"/>
      <c r="P88" s="204"/>
      <c r="Q88" s="233"/>
    </row>
    <row r="89" spans="2:17" s="21" customFormat="1">
      <c r="B89" s="14"/>
      <c r="C89" s="13"/>
      <c r="D89" s="201"/>
      <c r="E89" s="201"/>
      <c r="F89" s="201"/>
      <c r="G89" s="201"/>
      <c r="H89" s="201"/>
      <c r="I89" s="175"/>
      <c r="M89" s="201"/>
      <c r="N89" s="201"/>
      <c r="O89" s="201"/>
      <c r="P89" s="201"/>
      <c r="Q89" s="201"/>
    </row>
    <row r="90" spans="2:17" s="21" customFormat="1">
      <c r="B90" s="14"/>
      <c r="C90" s="13"/>
      <c r="D90" s="201"/>
      <c r="E90" s="201"/>
      <c r="F90" s="201"/>
      <c r="G90" s="201"/>
      <c r="H90" s="201"/>
      <c r="I90" s="175"/>
      <c r="M90" s="201"/>
      <c r="N90" s="201"/>
      <c r="O90" s="201"/>
      <c r="P90" s="201"/>
      <c r="Q90" s="201"/>
    </row>
    <row r="91" spans="2:17" s="21" customFormat="1">
      <c r="B91" s="14"/>
      <c r="C91" s="13"/>
      <c r="D91" s="205"/>
      <c r="E91" s="234"/>
      <c r="F91" s="201"/>
      <c r="G91" s="201"/>
      <c r="H91" s="201"/>
      <c r="I91" s="175"/>
      <c r="M91" s="205"/>
      <c r="N91" s="234"/>
      <c r="O91" s="201"/>
      <c r="P91" s="201"/>
      <c r="Q91" s="201"/>
    </row>
    <row r="92" spans="2:17" s="21" customFormat="1">
      <c r="B92" s="14"/>
      <c r="C92" s="13"/>
      <c r="D92" s="202"/>
      <c r="E92" s="234"/>
      <c r="F92" s="201"/>
      <c r="G92" s="201"/>
      <c r="H92" s="201"/>
      <c r="I92" s="175"/>
      <c r="M92" s="202"/>
      <c r="N92" s="234"/>
      <c r="O92" s="201"/>
      <c r="P92" s="201"/>
      <c r="Q92" s="201"/>
    </row>
    <row r="93" spans="2:17" s="21" customFormat="1">
      <c r="B93" s="14"/>
      <c r="C93" s="13"/>
      <c r="D93" s="201"/>
      <c r="E93" s="234"/>
      <c r="F93" s="201"/>
      <c r="G93" s="201"/>
      <c r="H93" s="201"/>
      <c r="I93" s="175"/>
      <c r="M93" s="201"/>
      <c r="N93" s="234"/>
      <c r="O93" s="201"/>
      <c r="P93" s="201"/>
      <c r="Q93" s="201"/>
    </row>
    <row r="94" spans="2:17" s="21" customFormat="1" ht="14">
      <c r="B94" s="201"/>
      <c r="C94" s="202"/>
      <c r="D94" s="207"/>
      <c r="E94" s="207"/>
      <c r="F94" s="207"/>
      <c r="G94" s="207"/>
      <c r="H94" s="207"/>
      <c r="I94" s="175"/>
      <c r="M94" s="207"/>
      <c r="N94" s="207"/>
      <c r="O94" s="207"/>
      <c r="P94" s="207"/>
      <c r="Q94" s="207"/>
    </row>
    <row r="95" spans="2:17" s="21" customFormat="1" ht="14">
      <c r="B95" s="101"/>
      <c r="C95" s="101"/>
      <c r="D95" s="207"/>
      <c r="E95" s="207"/>
      <c r="F95" s="207"/>
      <c r="G95" s="207"/>
      <c r="H95" s="207"/>
      <c r="I95" s="175"/>
      <c r="M95" s="207"/>
      <c r="N95" s="207"/>
      <c r="O95" s="207"/>
      <c r="P95" s="207"/>
      <c r="Q95" s="207"/>
    </row>
    <row r="96" spans="2:17" s="21" customFormat="1" ht="14">
      <c r="B96" s="101"/>
      <c r="C96" s="101"/>
      <c r="D96" s="208"/>
      <c r="E96" s="235"/>
      <c r="F96" s="207"/>
      <c r="G96" s="207"/>
      <c r="H96" s="207"/>
      <c r="I96" s="175"/>
      <c r="M96" s="208"/>
      <c r="N96" s="235"/>
      <c r="O96" s="207"/>
      <c r="P96" s="207"/>
      <c r="Q96" s="207"/>
    </row>
    <row r="97" spans="2:17" s="21" customFormat="1" ht="14">
      <c r="B97" s="205"/>
      <c r="C97" s="234"/>
      <c r="D97" s="210"/>
      <c r="E97" s="235"/>
      <c r="F97" s="207"/>
      <c r="G97" s="207"/>
      <c r="H97" s="207"/>
      <c r="I97" s="175"/>
      <c r="M97" s="210"/>
      <c r="N97" s="235"/>
      <c r="O97" s="207"/>
      <c r="P97" s="207"/>
      <c r="Q97" s="207"/>
    </row>
    <row r="98" spans="2:17" s="21" customFormat="1" ht="14">
      <c r="B98" s="211"/>
      <c r="C98" s="234"/>
      <c r="D98" s="207"/>
      <c r="E98" s="235"/>
      <c r="F98" s="207"/>
      <c r="G98" s="207"/>
      <c r="H98" s="207"/>
      <c r="I98" s="175"/>
      <c r="M98" s="207"/>
      <c r="N98" s="235"/>
      <c r="O98" s="207"/>
      <c r="P98" s="207"/>
      <c r="Q98" s="207"/>
    </row>
    <row r="99" spans="2:17" s="21" customFormat="1">
      <c r="C99" s="234"/>
      <c r="I99" s="175"/>
    </row>
    <row r="100" spans="2:17" s="21" customFormat="1">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159</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18.81640625" style="146" customWidth="1"/>
    <col min="5" max="5" width="18.5429687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160</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174"/>
      <c r="C13" s="174"/>
      <c r="D13" s="522" t="s">
        <v>75</v>
      </c>
      <c r="E13" s="504" t="s">
        <v>71</v>
      </c>
      <c r="F13" s="505" t="s">
        <v>118</v>
      </c>
      <c r="G13" s="506" t="s">
        <v>61</v>
      </c>
      <c r="H13" s="507" t="s">
        <v>119</v>
      </c>
      <c r="I13" s="215"/>
      <c r="K13" s="113"/>
      <c r="M13" s="523"/>
      <c r="N13" s="216"/>
      <c r="O13" s="500"/>
      <c r="P13" s="500"/>
      <c r="Q13" s="215"/>
    </row>
    <row r="14" spans="1:17">
      <c r="A14" s="182"/>
      <c r="B14" s="14"/>
      <c r="C14" s="13"/>
      <c r="D14" s="524" t="s">
        <v>706</v>
      </c>
      <c r="E14" s="525">
        <f t="shared" ref="E14:E28" si="0">VLOOKUP(CONCATENATE("remaining_",D14),Assets_20,3,0)</f>
        <v>3319298.5400000047</v>
      </c>
      <c r="F14" s="526">
        <f>E14/$E$29</f>
        <v>1.1201428409046749E-2</v>
      </c>
      <c r="G14" s="527">
        <f t="shared" ref="G14:G28" si="1">VLOOKUP(CONCATENATE("remaining_",D14),Assets_20,2,0)</f>
        <v>4614</v>
      </c>
      <c r="H14" s="528">
        <f>G14/$G$29</f>
        <v>0.10787178827765179</v>
      </c>
      <c r="I14" s="529"/>
      <c r="K14" s="176"/>
      <c r="M14" s="530"/>
      <c r="N14" s="531"/>
      <c r="O14" s="529"/>
      <c r="P14" s="532"/>
      <c r="Q14" s="529"/>
    </row>
    <row r="15" spans="1:17">
      <c r="A15" s="182"/>
      <c r="B15" s="14"/>
      <c r="C15" s="13"/>
      <c r="D15" s="524" t="s">
        <v>707</v>
      </c>
      <c r="E15" s="525">
        <f t="shared" si="0"/>
        <v>10134352.870000005</v>
      </c>
      <c r="F15" s="526">
        <f t="shared" ref="F15:F28" si="2">E15/$E$29</f>
        <v>3.4199764431349505E-2</v>
      </c>
      <c r="G15" s="527">
        <f t="shared" si="1"/>
        <v>4453</v>
      </c>
      <c r="H15" s="528">
        <f t="shared" ref="H15:H28" si="3">G15/$G$29</f>
        <v>0.10410773151287027</v>
      </c>
      <c r="I15" s="529"/>
      <c r="K15" s="176"/>
      <c r="M15" s="530"/>
      <c r="N15" s="531"/>
      <c r="O15" s="529"/>
      <c r="P15" s="532"/>
      <c r="Q15" s="529"/>
    </row>
    <row r="16" spans="1:17">
      <c r="A16" s="182"/>
      <c r="B16" s="14"/>
      <c r="C16" s="13"/>
      <c r="D16" s="524" t="s">
        <v>708</v>
      </c>
      <c r="E16" s="525">
        <f t="shared" si="0"/>
        <v>19519381.979999918</v>
      </c>
      <c r="F16" s="526">
        <f t="shared" si="2"/>
        <v>6.5870833009737645E-2</v>
      </c>
      <c r="G16" s="527">
        <f t="shared" si="1"/>
        <v>4890</v>
      </c>
      <c r="H16" s="528">
        <f t="shared" si="3"/>
        <v>0.11432445701727725</v>
      </c>
      <c r="I16" s="529"/>
      <c r="K16" s="176"/>
      <c r="M16" s="530"/>
      <c r="N16" s="531"/>
      <c r="O16" s="529"/>
      <c r="P16" s="532"/>
      <c r="Q16" s="529"/>
    </row>
    <row r="17" spans="1:17">
      <c r="A17" s="182"/>
      <c r="B17" s="14"/>
      <c r="C17" s="13"/>
      <c r="D17" s="524" t="s">
        <v>709</v>
      </c>
      <c r="E17" s="525">
        <f t="shared" si="0"/>
        <v>31744328.830000158</v>
      </c>
      <c r="F17" s="526">
        <f t="shared" si="2"/>
        <v>0.10712559370525467</v>
      </c>
      <c r="G17" s="527">
        <f t="shared" si="1"/>
        <v>6024</v>
      </c>
      <c r="H17" s="528">
        <f t="shared" si="3"/>
        <v>0.14083650901269493</v>
      </c>
      <c r="I17" s="529"/>
      <c r="K17" s="176"/>
      <c r="M17" s="530"/>
      <c r="N17" s="531"/>
      <c r="O17" s="529"/>
      <c r="P17" s="532"/>
      <c r="Q17" s="529"/>
    </row>
    <row r="18" spans="1:17">
      <c r="A18" s="182"/>
      <c r="B18" s="14"/>
      <c r="C18" s="13"/>
      <c r="D18" s="524" t="s">
        <v>710</v>
      </c>
      <c r="E18" s="525">
        <f t="shared" si="0"/>
        <v>57536569.380000301</v>
      </c>
      <c r="F18" s="526">
        <f t="shared" si="2"/>
        <v>0.1941650487431672</v>
      </c>
      <c r="G18" s="527">
        <f t="shared" si="1"/>
        <v>7747</v>
      </c>
      <c r="H18" s="528">
        <f t="shared" si="3"/>
        <v>0.18111893016622635</v>
      </c>
      <c r="I18" s="529"/>
      <c r="K18" s="176"/>
      <c r="M18" s="530"/>
      <c r="N18" s="531"/>
      <c r="O18" s="529"/>
      <c r="P18" s="532"/>
      <c r="Q18" s="529"/>
    </row>
    <row r="19" spans="1:17">
      <c r="A19" s="182"/>
      <c r="B19" s="14"/>
      <c r="C19" s="13"/>
      <c r="D19" s="524" t="s">
        <v>711</v>
      </c>
      <c r="E19" s="525">
        <f t="shared" si="0"/>
        <v>80918954.020000517</v>
      </c>
      <c r="F19" s="526">
        <f t="shared" si="2"/>
        <v>0.27307211432388367</v>
      </c>
      <c r="G19" s="527">
        <f t="shared" si="1"/>
        <v>8331</v>
      </c>
      <c r="H19" s="528">
        <f t="shared" si="3"/>
        <v>0.19477240315152081</v>
      </c>
      <c r="I19" s="529"/>
      <c r="K19" s="176"/>
      <c r="M19" s="530"/>
      <c r="N19" s="531"/>
      <c r="O19" s="529"/>
      <c r="P19" s="532"/>
      <c r="Q19" s="529"/>
    </row>
    <row r="20" spans="1:17">
      <c r="A20" s="182"/>
      <c r="B20" s="14"/>
      <c r="C20" s="13"/>
      <c r="D20" s="524" t="s">
        <v>712</v>
      </c>
      <c r="E20" s="525">
        <f t="shared" si="0"/>
        <v>60710000.910000041</v>
      </c>
      <c r="F20" s="526">
        <f t="shared" si="2"/>
        <v>0.20487422891058404</v>
      </c>
      <c r="G20" s="527">
        <f t="shared" si="1"/>
        <v>4834</v>
      </c>
      <c r="H20" s="528">
        <f t="shared" si="3"/>
        <v>0.11301521988170107</v>
      </c>
      <c r="I20" s="529"/>
      <c r="K20" s="176"/>
      <c r="M20" s="530"/>
      <c r="N20" s="531"/>
      <c r="O20" s="529"/>
      <c r="P20" s="532"/>
      <c r="Q20" s="529"/>
    </row>
    <row r="21" spans="1:17">
      <c r="A21" s="182"/>
      <c r="B21" s="14"/>
      <c r="C21" s="13"/>
      <c r="D21" s="524" t="s">
        <v>713</v>
      </c>
      <c r="E21" s="525">
        <f t="shared" si="0"/>
        <v>25730891.529999997</v>
      </c>
      <c r="F21" s="526">
        <f t="shared" si="2"/>
        <v>8.6832424351393808E-2</v>
      </c>
      <c r="G21" s="527">
        <f t="shared" si="1"/>
        <v>1574</v>
      </c>
      <c r="H21" s="528">
        <f t="shared" si="3"/>
        <v>3.679891520351624E-2</v>
      </c>
      <c r="I21" s="529"/>
      <c r="K21" s="176"/>
      <c r="M21" s="530"/>
      <c r="N21" s="531"/>
      <c r="O21" s="529"/>
      <c r="P21" s="532"/>
      <c r="Q21" s="529"/>
    </row>
    <row r="22" spans="1:17">
      <c r="A22" s="182"/>
      <c r="B22" s="14"/>
      <c r="C22" s="13"/>
      <c r="D22" s="524" t="s">
        <v>714</v>
      </c>
      <c r="E22" s="525">
        <f t="shared" si="0"/>
        <v>4422392.0600000015</v>
      </c>
      <c r="F22" s="526">
        <f t="shared" si="2"/>
        <v>1.4923968862658168E-2</v>
      </c>
      <c r="G22" s="527">
        <f t="shared" si="1"/>
        <v>210</v>
      </c>
      <c r="H22" s="528">
        <f t="shared" si="3"/>
        <v>4.9096392584106795E-3</v>
      </c>
      <c r="I22" s="529"/>
      <c r="K22" s="176"/>
      <c r="M22" s="530"/>
      <c r="N22" s="531"/>
      <c r="O22" s="529"/>
      <c r="P22" s="532"/>
      <c r="Q22" s="529"/>
    </row>
    <row r="23" spans="1:17">
      <c r="A23" s="182"/>
      <c r="B23" s="14"/>
      <c r="C23" s="13"/>
      <c r="D23" s="524" t="s">
        <v>715</v>
      </c>
      <c r="E23" s="525">
        <f t="shared" si="0"/>
        <v>1127663.2299999997</v>
      </c>
      <c r="F23" s="526">
        <f t="shared" si="2"/>
        <v>3.8054543115484266E-3</v>
      </c>
      <c r="G23" s="527">
        <f t="shared" si="1"/>
        <v>49</v>
      </c>
      <c r="H23" s="528">
        <f t="shared" si="3"/>
        <v>1.1455824936291586E-3</v>
      </c>
      <c r="I23" s="529"/>
      <c r="K23" s="176"/>
      <c r="M23" s="530"/>
      <c r="N23" s="531"/>
      <c r="O23" s="529"/>
      <c r="P23" s="532"/>
      <c r="Q23" s="529"/>
    </row>
    <row r="24" spans="1:17">
      <c r="A24" s="182"/>
      <c r="B24" s="14"/>
      <c r="C24" s="13"/>
      <c r="D24" s="524" t="s">
        <v>716</v>
      </c>
      <c r="E24" s="525">
        <f t="shared" si="0"/>
        <v>375473.19999999995</v>
      </c>
      <c r="F24" s="526">
        <f t="shared" si="2"/>
        <v>1.267085837152715E-3</v>
      </c>
      <c r="G24" s="527">
        <f t="shared" si="1"/>
        <v>16</v>
      </c>
      <c r="H24" s="528">
        <f t="shared" si="3"/>
        <v>3.7406775302176604E-4</v>
      </c>
      <c r="I24" s="529"/>
      <c r="K24" s="176"/>
      <c r="M24" s="530"/>
      <c r="N24" s="531"/>
      <c r="O24" s="529"/>
      <c r="P24" s="532"/>
      <c r="Q24" s="529"/>
    </row>
    <row r="25" spans="1:17">
      <c r="A25" s="182"/>
      <c r="B25" s="14"/>
      <c r="C25" s="13"/>
      <c r="D25" s="524" t="s">
        <v>717</v>
      </c>
      <c r="E25" s="525">
        <f t="shared" si="0"/>
        <v>376029.52</v>
      </c>
      <c r="F25" s="526">
        <f t="shared" si="2"/>
        <v>1.2689632153329018E-3</v>
      </c>
      <c r="G25" s="527">
        <f t="shared" si="1"/>
        <v>13</v>
      </c>
      <c r="H25" s="528">
        <f t="shared" si="3"/>
        <v>3.0393004933018496E-4</v>
      </c>
      <c r="I25" s="529"/>
      <c r="K25" s="176"/>
      <c r="M25" s="530"/>
      <c r="N25" s="531"/>
      <c r="O25" s="529"/>
      <c r="P25" s="532"/>
      <c r="Q25" s="529"/>
    </row>
    <row r="26" spans="1:17">
      <c r="A26" s="182"/>
      <c r="B26" s="14"/>
      <c r="C26" s="13"/>
      <c r="D26" s="524" t="s">
        <v>718</v>
      </c>
      <c r="E26" s="525">
        <f t="shared" si="0"/>
        <v>162300.27000000002</v>
      </c>
      <c r="F26" s="526">
        <f t="shared" si="2"/>
        <v>5.4770453252871772E-4</v>
      </c>
      <c r="G26" s="527">
        <f t="shared" si="1"/>
        <v>8</v>
      </c>
      <c r="H26" s="528">
        <f t="shared" si="3"/>
        <v>1.8703387651088302E-4</v>
      </c>
      <c r="I26" s="529"/>
      <c r="K26" s="176"/>
      <c r="M26" s="530"/>
      <c r="N26" s="531"/>
      <c r="O26" s="529"/>
      <c r="P26" s="532"/>
      <c r="Q26" s="529"/>
    </row>
    <row r="27" spans="1:17" ht="12.75" customHeight="1">
      <c r="A27" s="182"/>
      <c r="B27" s="14"/>
      <c r="C27" s="13"/>
      <c r="D27" s="524" t="s">
        <v>719</v>
      </c>
      <c r="E27" s="525">
        <f t="shared" si="0"/>
        <v>118566.59</v>
      </c>
      <c r="F27" s="526">
        <f t="shared" si="2"/>
        <v>4.0011922807937493E-4</v>
      </c>
      <c r="G27" s="527">
        <f t="shared" si="1"/>
        <v>5</v>
      </c>
      <c r="H27" s="528">
        <f t="shared" si="3"/>
        <v>1.1689617281930189E-4</v>
      </c>
      <c r="I27" s="529"/>
      <c r="K27" s="176"/>
      <c r="M27" s="530"/>
      <c r="N27" s="531"/>
      <c r="O27" s="529"/>
      <c r="P27" s="532"/>
      <c r="Q27" s="529"/>
    </row>
    <row r="28" spans="1:17" ht="13" thickBot="1">
      <c r="A28" s="182"/>
      <c r="B28" s="14"/>
      <c r="C28" s="13"/>
      <c r="D28" s="524" t="s">
        <v>720</v>
      </c>
      <c r="E28" s="525">
        <f t="shared" si="0"/>
        <v>131945.48000000001</v>
      </c>
      <c r="F28" s="526">
        <f t="shared" si="2"/>
        <v>4.4526812828270262E-4</v>
      </c>
      <c r="G28" s="527">
        <f t="shared" si="1"/>
        <v>5</v>
      </c>
      <c r="H28" s="528">
        <f t="shared" si="3"/>
        <v>1.1689617281930189E-4</v>
      </c>
      <c r="I28" s="529"/>
      <c r="K28" s="176"/>
      <c r="M28" s="530"/>
      <c r="N28" s="531"/>
      <c r="O28" s="529"/>
      <c r="P28" s="532"/>
      <c r="Q28" s="529"/>
    </row>
    <row r="29" spans="1:17" ht="14" thickTop="1" thickBot="1">
      <c r="A29" s="182"/>
      <c r="B29" s="14"/>
      <c r="C29" s="13"/>
      <c r="D29" s="533" t="s">
        <v>36</v>
      </c>
      <c r="E29" s="493">
        <f>SUM(E14:E28)</f>
        <v>296328148.41000086</v>
      </c>
      <c r="F29" s="494">
        <f>SUM(F14:F28)</f>
        <v>1.0000000000000002</v>
      </c>
      <c r="G29" s="495">
        <f>SUM(G14:G28)</f>
        <v>42773</v>
      </c>
      <c r="H29" s="496">
        <f>SUM(H14:H28)</f>
        <v>0.99999999999999989</v>
      </c>
      <c r="I29" s="515"/>
      <c r="K29" s="176"/>
      <c r="M29" s="37"/>
      <c r="N29" s="514"/>
      <c r="O29" s="515"/>
      <c r="P29" s="516"/>
      <c r="Q29" s="515"/>
    </row>
    <row r="30" spans="1:17" ht="13">
      <c r="A30" s="182"/>
      <c r="B30" s="14"/>
      <c r="C30" s="13"/>
      <c r="D30" s="100"/>
      <c r="E30" s="497"/>
      <c r="F30" s="228"/>
      <c r="G30" s="498"/>
      <c r="H30" s="228"/>
      <c r="I30" s="515"/>
      <c r="K30" s="176"/>
      <c r="M30" s="37"/>
      <c r="N30" s="514"/>
      <c r="O30" s="515"/>
      <c r="P30" s="516"/>
      <c r="Q30" s="515"/>
    </row>
    <row r="31" spans="1:17" ht="13">
      <c r="A31" s="182"/>
      <c r="B31" s="14"/>
      <c r="C31" s="13"/>
      <c r="D31" s="100"/>
      <c r="E31" s="497"/>
      <c r="F31" s="228"/>
      <c r="G31" s="498"/>
      <c r="H31" s="228"/>
      <c r="I31" s="515"/>
      <c r="K31" s="176"/>
      <c r="M31" s="37"/>
      <c r="N31" s="514"/>
      <c r="O31" s="515"/>
      <c r="P31" s="516"/>
      <c r="Q31" s="515"/>
    </row>
    <row r="32" spans="1:17">
      <c r="A32" s="182"/>
      <c r="B32" s="14"/>
      <c r="C32" s="13"/>
      <c r="D32" s="106"/>
      <c r="E32" s="106"/>
      <c r="F32" s="106"/>
      <c r="G32" s="106"/>
      <c r="H32" s="106"/>
      <c r="I32" s="21"/>
      <c r="J32" s="175"/>
      <c r="K32" s="176"/>
    </row>
    <row r="33" spans="1:17" ht="13.5" thickBot="1">
      <c r="A33" s="182"/>
      <c r="B33" s="14"/>
      <c r="C33" s="13"/>
      <c r="D33" s="519" t="s">
        <v>69</v>
      </c>
      <c r="E33" s="519"/>
      <c r="F33" s="106"/>
      <c r="G33" s="106"/>
      <c r="H33" s="106"/>
      <c r="I33" s="21"/>
      <c r="J33" s="175"/>
      <c r="K33" s="176"/>
      <c r="N33" s="518"/>
    </row>
    <row r="34" spans="1:17" ht="13" thickBot="1">
      <c r="A34" s="182"/>
      <c r="B34" s="14"/>
      <c r="C34" s="13"/>
      <c r="D34" s="520" t="s">
        <v>65</v>
      </c>
      <c r="E34" s="521">
        <f>VLOOKUP(CONCATENATE("remaining_",D34),Assets_20,3,0)</f>
        <v>35.67359859085613</v>
      </c>
      <c r="F34" s="534"/>
      <c r="G34" s="535"/>
      <c r="H34" s="534"/>
      <c r="I34" s="175"/>
      <c r="J34" s="175"/>
      <c r="K34" s="176"/>
      <c r="M34" s="536"/>
      <c r="N34" s="537"/>
      <c r="O34" s="534"/>
      <c r="P34" s="535"/>
      <c r="Q34" s="534"/>
    </row>
    <row r="35" spans="1:17">
      <c r="A35" s="182"/>
      <c r="B35" s="14"/>
      <c r="C35" s="13"/>
      <c r="D35" s="202"/>
      <c r="E35" s="234"/>
      <c r="F35" s="534"/>
      <c r="G35" s="535"/>
      <c r="H35" s="534"/>
      <c r="I35" s="175"/>
      <c r="J35" s="175"/>
      <c r="K35" s="176"/>
      <c r="M35" s="536"/>
      <c r="N35" s="537"/>
      <c r="O35" s="534"/>
      <c r="P35" s="535"/>
      <c r="Q35" s="534"/>
    </row>
    <row r="36" spans="1:17">
      <c r="A36" s="182"/>
      <c r="B36" s="14"/>
      <c r="C36" s="13"/>
      <c r="D36" s="201"/>
      <c r="E36" s="234"/>
      <c r="F36" s="534"/>
      <c r="G36" s="535"/>
      <c r="H36" s="534"/>
      <c r="I36" s="175"/>
      <c r="J36" s="175"/>
      <c r="K36" s="176"/>
      <c r="M36" s="536"/>
      <c r="N36" s="537"/>
      <c r="O36" s="534"/>
      <c r="P36" s="535"/>
      <c r="Q36" s="534"/>
    </row>
    <row r="37" spans="1:17">
      <c r="A37" s="182"/>
      <c r="B37" s="14"/>
      <c r="C37" s="13"/>
      <c r="D37" s="536"/>
      <c r="E37" s="537"/>
      <c r="F37" s="534"/>
      <c r="G37" s="535"/>
      <c r="H37" s="534"/>
      <c r="I37" s="175"/>
      <c r="J37" s="175"/>
      <c r="K37" s="176"/>
      <c r="M37" s="536"/>
      <c r="N37" s="537"/>
      <c r="O37" s="534"/>
      <c r="P37" s="535"/>
      <c r="Q37" s="534"/>
    </row>
    <row r="38" spans="1:17">
      <c r="A38" s="182"/>
      <c r="B38" s="14"/>
      <c r="C38" s="13"/>
      <c r="D38" s="536"/>
      <c r="E38" s="537"/>
      <c r="F38" s="534"/>
      <c r="G38" s="535"/>
      <c r="H38" s="534"/>
      <c r="I38" s="175"/>
      <c r="J38" s="175"/>
      <c r="K38" s="176"/>
      <c r="M38" s="536"/>
      <c r="N38" s="537"/>
      <c r="O38" s="534"/>
      <c r="P38" s="535"/>
      <c r="Q38" s="534"/>
    </row>
    <row r="39" spans="1:17">
      <c r="A39" s="182"/>
      <c r="B39" s="14"/>
      <c r="C39" s="13"/>
      <c r="D39" s="536"/>
      <c r="E39" s="537"/>
      <c r="F39" s="534"/>
      <c r="G39" s="535"/>
      <c r="H39" s="534"/>
      <c r="I39" s="175"/>
      <c r="J39" s="175"/>
      <c r="K39" s="176"/>
      <c r="M39" s="536"/>
      <c r="N39" s="537"/>
      <c r="O39" s="534"/>
      <c r="P39" s="535"/>
      <c r="Q39" s="534"/>
    </row>
    <row r="40" spans="1:17">
      <c r="A40" s="182"/>
      <c r="B40" s="14"/>
      <c r="C40" s="13"/>
      <c r="D40" s="536"/>
      <c r="E40" s="537"/>
      <c r="F40" s="534"/>
      <c r="G40" s="535"/>
      <c r="H40" s="534"/>
      <c r="I40" s="175"/>
      <c r="J40" s="175"/>
      <c r="K40" s="176"/>
      <c r="M40" s="536"/>
      <c r="N40" s="537"/>
      <c r="O40" s="534"/>
      <c r="P40" s="535"/>
      <c r="Q40" s="534"/>
    </row>
    <row r="41" spans="1:17">
      <c r="A41" s="182"/>
      <c r="B41" s="14"/>
      <c r="C41" s="13"/>
      <c r="D41" s="536"/>
      <c r="E41" s="537"/>
      <c r="F41" s="534"/>
      <c r="G41" s="535"/>
      <c r="H41" s="534"/>
      <c r="I41" s="175"/>
      <c r="J41" s="175"/>
      <c r="K41" s="176"/>
      <c r="M41" s="536"/>
      <c r="N41" s="537"/>
      <c r="O41" s="534"/>
      <c r="P41" s="535"/>
      <c r="Q41" s="534"/>
    </row>
    <row r="42" spans="1:17">
      <c r="A42" s="182"/>
      <c r="B42" s="14"/>
      <c r="C42" s="13"/>
      <c r="D42" s="536"/>
      <c r="E42" s="537"/>
      <c r="F42" s="534"/>
      <c r="G42" s="535"/>
      <c r="H42" s="534"/>
      <c r="I42" s="175"/>
      <c r="J42" s="175"/>
      <c r="K42" s="176"/>
      <c r="M42" s="536"/>
      <c r="N42" s="537"/>
      <c r="O42" s="534"/>
      <c r="P42" s="535"/>
      <c r="Q42" s="534"/>
    </row>
    <row r="43" spans="1:17">
      <c r="A43" s="182"/>
      <c r="B43" s="14"/>
      <c r="C43" s="13"/>
      <c r="D43" s="536"/>
      <c r="E43" s="537"/>
      <c r="F43" s="534"/>
      <c r="G43" s="535"/>
      <c r="H43" s="534"/>
      <c r="I43" s="175"/>
      <c r="J43" s="175"/>
      <c r="K43" s="176"/>
      <c r="M43" s="536"/>
      <c r="N43" s="537"/>
      <c r="O43" s="534"/>
      <c r="P43" s="535"/>
      <c r="Q43" s="534"/>
    </row>
    <row r="44" spans="1:17">
      <c r="A44" s="182"/>
      <c r="B44" s="14"/>
      <c r="C44" s="13"/>
      <c r="D44" s="536"/>
      <c r="E44" s="537"/>
      <c r="F44" s="534"/>
      <c r="G44" s="535"/>
      <c r="H44" s="534"/>
      <c r="I44" s="175"/>
      <c r="J44" s="175"/>
      <c r="K44" s="176"/>
      <c r="M44" s="536"/>
      <c r="N44" s="537"/>
      <c r="O44" s="534"/>
      <c r="P44" s="535"/>
      <c r="Q44" s="534"/>
    </row>
    <row r="45" spans="1:17">
      <c r="A45" s="182"/>
      <c r="B45" s="14"/>
      <c r="C45" s="13"/>
      <c r="D45" s="536"/>
      <c r="E45" s="537"/>
      <c r="F45" s="534"/>
      <c r="G45" s="535"/>
      <c r="H45" s="534"/>
      <c r="I45" s="175"/>
      <c r="J45" s="175"/>
      <c r="K45" s="176"/>
      <c r="M45" s="536"/>
      <c r="N45" s="537"/>
      <c r="O45" s="534"/>
      <c r="P45" s="535"/>
      <c r="Q45" s="534"/>
    </row>
    <row r="46" spans="1:17">
      <c r="A46" s="182"/>
      <c r="B46" s="14"/>
      <c r="C46" s="13"/>
      <c r="D46" s="536"/>
      <c r="E46" s="537"/>
      <c r="F46" s="534"/>
      <c r="G46" s="535"/>
      <c r="H46" s="534"/>
      <c r="I46" s="175"/>
      <c r="J46" s="175"/>
      <c r="K46" s="176"/>
      <c r="M46" s="536"/>
      <c r="N46" s="537"/>
      <c r="O46" s="534"/>
      <c r="P46" s="535"/>
      <c r="Q46" s="534"/>
    </row>
    <row r="47" spans="1:17">
      <c r="A47" s="182"/>
      <c r="B47" s="14"/>
      <c r="C47" s="13"/>
      <c r="D47" s="536"/>
      <c r="E47" s="537"/>
      <c r="F47" s="534"/>
      <c r="G47" s="535"/>
      <c r="H47" s="534"/>
      <c r="I47" s="175"/>
      <c r="J47" s="175"/>
      <c r="K47" s="176"/>
      <c r="M47" s="536"/>
      <c r="N47" s="537"/>
      <c r="O47" s="534"/>
      <c r="P47" s="535"/>
      <c r="Q47" s="534"/>
    </row>
    <row r="48" spans="1:17">
      <c r="A48" s="196"/>
      <c r="B48" s="29"/>
      <c r="C48" s="11"/>
      <c r="D48" s="351"/>
      <c r="E48" s="11"/>
      <c r="F48" s="318"/>
      <c r="G48" s="352"/>
      <c r="H48" s="318"/>
      <c r="I48" s="394"/>
      <c r="J48" s="56"/>
      <c r="K48" s="197"/>
      <c r="M48" s="198"/>
      <c r="N48" s="13"/>
      <c r="O48" s="199"/>
      <c r="P48" s="200"/>
      <c r="Q48" s="199"/>
    </row>
    <row r="49" spans="1:17">
      <c r="A49" s="49"/>
      <c r="B49" s="14"/>
      <c r="C49" s="13"/>
      <c r="D49" s="198"/>
      <c r="E49" s="13"/>
      <c r="F49" s="199"/>
      <c r="G49" s="200"/>
      <c r="H49" s="199"/>
      <c r="I49" s="175"/>
      <c r="J49" s="21"/>
      <c r="K49" s="21"/>
      <c r="L49" s="21"/>
      <c r="M49" s="198"/>
      <c r="N49" s="13"/>
      <c r="O49" s="199"/>
      <c r="P49" s="200"/>
      <c r="Q49" s="199"/>
    </row>
    <row r="50" spans="1:17" s="21" customFormat="1">
      <c r="B50" s="14"/>
      <c r="C50" s="13"/>
      <c r="D50" s="198"/>
      <c r="E50" s="13"/>
      <c r="F50" s="199"/>
      <c r="G50" s="200"/>
      <c r="H50" s="199"/>
      <c r="I50" s="175"/>
      <c r="M50" s="198"/>
      <c r="N50" s="13"/>
      <c r="O50" s="199"/>
      <c r="P50" s="200"/>
      <c r="Q50" s="199"/>
    </row>
    <row r="51" spans="1:17" s="21" customFormat="1">
      <c r="B51" s="14"/>
      <c r="C51" s="13"/>
      <c r="D51" s="198"/>
      <c r="E51" s="13"/>
      <c r="F51" s="199"/>
      <c r="G51" s="200"/>
      <c r="H51" s="199"/>
      <c r="I51" s="175"/>
      <c r="M51" s="198"/>
      <c r="N51" s="13"/>
      <c r="O51" s="199"/>
      <c r="P51" s="200"/>
      <c r="Q51" s="199"/>
    </row>
    <row r="52" spans="1:17" s="101" customFormat="1" ht="15" customHeight="1">
      <c r="B52" s="14"/>
      <c r="C52" s="13"/>
      <c r="D52" s="198"/>
      <c r="E52" s="13"/>
      <c r="F52" s="199"/>
      <c r="G52" s="200"/>
      <c r="H52" s="199"/>
      <c r="I52" s="147"/>
      <c r="M52" s="198"/>
      <c r="N52" s="13"/>
      <c r="O52" s="199"/>
      <c r="P52" s="200"/>
      <c r="Q52" s="199"/>
    </row>
    <row r="53" spans="1:17" s="101" customFormat="1">
      <c r="B53" s="14"/>
      <c r="C53" s="13"/>
      <c r="D53" s="198"/>
      <c r="E53" s="13"/>
      <c r="F53" s="199"/>
      <c r="G53" s="200"/>
      <c r="H53" s="199"/>
      <c r="I53" s="147"/>
      <c r="M53" s="198"/>
      <c r="N53" s="13"/>
      <c r="O53" s="199"/>
      <c r="P53" s="200"/>
      <c r="Q53" s="199"/>
    </row>
    <row r="54" spans="1:17" s="21" customFormat="1">
      <c r="B54" s="14"/>
      <c r="C54" s="13"/>
      <c r="D54" s="198"/>
      <c r="E54" s="13"/>
      <c r="F54" s="199"/>
      <c r="G54" s="200"/>
      <c r="H54" s="199"/>
      <c r="I54" s="175"/>
      <c r="M54" s="198"/>
      <c r="N54" s="13"/>
      <c r="O54" s="199"/>
      <c r="P54" s="200"/>
      <c r="Q54" s="199"/>
    </row>
    <row r="55" spans="1:17" s="21" customFormat="1">
      <c r="B55" s="14"/>
      <c r="C55" s="13"/>
      <c r="D55" s="198"/>
      <c r="E55" s="13"/>
      <c r="F55" s="199"/>
      <c r="G55" s="200"/>
      <c r="H55" s="199"/>
      <c r="I55" s="175"/>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21" customFormat="1">
      <c r="B59" s="14"/>
      <c r="C59" s="13"/>
      <c r="D59" s="198"/>
      <c r="E59" s="13"/>
      <c r="F59" s="199"/>
      <c r="G59" s="200"/>
      <c r="H59" s="199"/>
      <c r="I59" s="175"/>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201"/>
      <c r="E82" s="202"/>
      <c r="F82" s="233"/>
      <c r="G82" s="204"/>
      <c r="H82" s="233"/>
      <c r="I82" s="175"/>
      <c r="M82" s="201"/>
      <c r="N82" s="202"/>
      <c r="O82" s="233"/>
      <c r="P82" s="204"/>
      <c r="Q82" s="233"/>
    </row>
    <row r="83" spans="2:17" s="21" customFormat="1">
      <c r="B83" s="14"/>
      <c r="C83" s="13"/>
      <c r="D83" s="201"/>
      <c r="E83" s="201"/>
      <c r="F83" s="201"/>
      <c r="G83" s="201"/>
      <c r="H83" s="201"/>
      <c r="I83" s="175"/>
      <c r="M83" s="201"/>
      <c r="N83" s="201"/>
      <c r="O83" s="201"/>
      <c r="P83" s="201"/>
      <c r="Q83" s="201"/>
    </row>
    <row r="84" spans="2:17" s="21" customFormat="1">
      <c r="B84" s="14"/>
      <c r="C84" s="13"/>
      <c r="D84" s="201"/>
      <c r="E84" s="201"/>
      <c r="F84" s="201"/>
      <c r="G84" s="201"/>
      <c r="H84" s="201"/>
      <c r="I84" s="175"/>
      <c r="M84" s="201"/>
      <c r="N84" s="201"/>
      <c r="O84" s="201"/>
      <c r="P84" s="201"/>
      <c r="Q84" s="201"/>
    </row>
    <row r="85" spans="2:17" s="21" customFormat="1">
      <c r="B85" s="14"/>
      <c r="C85" s="13"/>
      <c r="D85" s="205"/>
      <c r="E85" s="234"/>
      <c r="F85" s="201"/>
      <c r="G85" s="201"/>
      <c r="H85" s="201"/>
      <c r="I85" s="175"/>
      <c r="M85" s="205"/>
      <c r="N85" s="234"/>
      <c r="O85" s="201"/>
      <c r="P85" s="201"/>
      <c r="Q85" s="201"/>
    </row>
    <row r="86" spans="2:17" s="21" customFormat="1">
      <c r="B86" s="14"/>
      <c r="C86" s="13"/>
      <c r="D86" s="202"/>
      <c r="E86" s="234"/>
      <c r="F86" s="201"/>
      <c r="G86" s="201"/>
      <c r="H86" s="201"/>
      <c r="I86" s="175"/>
      <c r="M86" s="202"/>
      <c r="N86" s="234"/>
      <c r="O86" s="201"/>
      <c r="P86" s="201"/>
      <c r="Q86" s="201"/>
    </row>
    <row r="87" spans="2:17" s="21" customFormat="1">
      <c r="B87" s="14"/>
      <c r="C87" s="13"/>
      <c r="D87" s="201"/>
      <c r="E87" s="234"/>
      <c r="F87" s="201"/>
      <c r="G87" s="201"/>
      <c r="H87" s="201"/>
      <c r="I87" s="175"/>
      <c r="M87" s="201"/>
      <c r="N87" s="234"/>
      <c r="O87" s="201"/>
      <c r="P87" s="201"/>
      <c r="Q87" s="201"/>
    </row>
    <row r="88" spans="2:17" s="21" customFormat="1" ht="14">
      <c r="B88" s="201"/>
      <c r="C88" s="202"/>
      <c r="D88" s="207"/>
      <c r="E88" s="207"/>
      <c r="F88" s="207"/>
      <c r="G88" s="207"/>
      <c r="H88" s="207"/>
      <c r="I88" s="175"/>
      <c r="M88" s="207"/>
      <c r="N88" s="207"/>
      <c r="O88" s="207"/>
      <c r="P88" s="207"/>
      <c r="Q88" s="207"/>
    </row>
    <row r="89" spans="2:17" s="21" customFormat="1" ht="14">
      <c r="B89" s="101"/>
      <c r="C89" s="101"/>
      <c r="D89" s="207"/>
      <c r="E89" s="207"/>
      <c r="F89" s="207"/>
      <c r="G89" s="207"/>
      <c r="H89" s="207"/>
      <c r="I89" s="175"/>
      <c r="M89" s="207"/>
      <c r="N89" s="207"/>
      <c r="O89" s="207"/>
      <c r="P89" s="207"/>
      <c r="Q89" s="207"/>
    </row>
    <row r="90" spans="2:17" s="21" customFormat="1" ht="14">
      <c r="B90" s="101"/>
      <c r="C90" s="101"/>
      <c r="D90" s="208"/>
      <c r="E90" s="235"/>
      <c r="F90" s="207"/>
      <c r="G90" s="207"/>
      <c r="H90" s="207"/>
      <c r="I90" s="175"/>
      <c r="M90" s="208"/>
      <c r="N90" s="235"/>
      <c r="O90" s="207"/>
      <c r="P90" s="207"/>
      <c r="Q90" s="207"/>
    </row>
    <row r="91" spans="2:17" s="21" customFormat="1" ht="14">
      <c r="B91" s="205"/>
      <c r="C91" s="234"/>
      <c r="D91" s="210"/>
      <c r="E91" s="235"/>
      <c r="F91" s="207"/>
      <c r="G91" s="207"/>
      <c r="H91" s="207"/>
      <c r="I91" s="175"/>
      <c r="M91" s="210"/>
      <c r="N91" s="235"/>
      <c r="O91" s="207"/>
      <c r="P91" s="207"/>
      <c r="Q91" s="207"/>
    </row>
    <row r="92" spans="2:17" s="21" customFormat="1" ht="14">
      <c r="B92" s="211"/>
      <c r="C92" s="234"/>
      <c r="D92" s="207"/>
      <c r="E92" s="235"/>
      <c r="F92" s="207"/>
      <c r="G92" s="207"/>
      <c r="H92" s="207"/>
      <c r="I92" s="175"/>
      <c r="M92" s="207"/>
      <c r="N92" s="235"/>
      <c r="O92" s="207"/>
      <c r="P92" s="207"/>
      <c r="Q92" s="207"/>
    </row>
    <row r="93" spans="2:17" s="21" customFormat="1">
      <c r="C93" s="234"/>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161</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E30" sqref="E30:H30"/>
    </sheetView>
  </sheetViews>
  <sheetFormatPr baseColWidth="10" defaultColWidth="9.1796875" defaultRowHeight="12.5"/>
  <cols>
    <col min="1" max="1" width="1.1796875" style="146" customWidth="1"/>
    <col min="2" max="2" width="26" style="146" customWidth="1"/>
    <col min="3" max="3" width="23.453125" style="146" customWidth="1"/>
    <col min="4" max="4" width="18.81640625" style="146" customWidth="1"/>
    <col min="5" max="5" width="20.8164062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row>
    <row r="4" spans="1:17" s="106" customFormat="1" ht="13">
      <c r="A4" s="107"/>
      <c r="B4" s="159"/>
      <c r="C4" s="160"/>
      <c r="D4" s="115" t="str">
        <f>'Cover Sheet'!D4</f>
        <v>Period  No</v>
      </c>
      <c r="E4" s="116"/>
      <c r="F4" s="120">
        <f>'Cover Sheet'!F4</f>
        <v>55</v>
      </c>
      <c r="G4" s="116"/>
      <c r="H4" s="121"/>
      <c r="I4" s="116"/>
      <c r="J4" s="122"/>
      <c r="K4" s="362"/>
      <c r="M4" s="166"/>
      <c r="N4" s="21"/>
      <c r="O4" s="230"/>
      <c r="P4" s="21"/>
      <c r="Q4" s="166"/>
    </row>
    <row r="5" spans="1:17" s="106" customFormat="1" ht="18">
      <c r="A5" s="107"/>
      <c r="B5" s="162" t="s">
        <v>162</v>
      </c>
      <c r="C5" s="123"/>
      <c r="D5" s="115" t="str">
        <f>'Cover Sheet'!D5</f>
        <v>Monthly Period</v>
      </c>
      <c r="E5" s="116"/>
      <c r="F5" s="124">
        <f>'Cover Sheet'!F5</f>
        <v>45824</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21"/>
      <c r="E10" s="101"/>
      <c r="F10" s="147"/>
      <c r="G10" s="101"/>
      <c r="H10" s="101"/>
      <c r="I10" s="21"/>
      <c r="J10" s="21"/>
      <c r="K10" s="113"/>
      <c r="M10" s="21"/>
      <c r="N10" s="21"/>
      <c r="O10" s="175"/>
      <c r="P10" s="21"/>
      <c r="Q10" s="21"/>
    </row>
    <row r="11" spans="1:17" s="106" customFormat="1" ht="18">
      <c r="A11" s="107"/>
      <c r="B11" s="171"/>
      <c r="C11" s="101"/>
      <c r="D11" s="2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J12" s="21"/>
      <c r="K12" s="113"/>
      <c r="M12" s="21"/>
      <c r="N12" s="21"/>
      <c r="O12" s="21"/>
      <c r="P12" s="365"/>
      <c r="Q12" s="365"/>
    </row>
    <row r="13" spans="1:17" s="106" customFormat="1" ht="31.5" customHeight="1">
      <c r="A13" s="107"/>
      <c r="B13" s="174"/>
      <c r="C13" s="174"/>
      <c r="D13" s="503" t="s">
        <v>77</v>
      </c>
      <c r="E13" s="504" t="s">
        <v>71</v>
      </c>
      <c r="F13" s="505" t="s">
        <v>118</v>
      </c>
      <c r="G13" s="506" t="s">
        <v>61</v>
      </c>
      <c r="H13" s="507" t="s">
        <v>119</v>
      </c>
      <c r="I13" s="174"/>
      <c r="J13" s="21"/>
      <c r="K13" s="113"/>
      <c r="M13" s="215"/>
      <c r="N13" s="216"/>
      <c r="O13" s="500"/>
      <c r="P13" s="500"/>
      <c r="Q13" s="218"/>
    </row>
    <row r="14" spans="1:17">
      <c r="A14" s="182"/>
      <c r="B14" s="14"/>
      <c r="C14" s="13"/>
      <c r="D14" s="508" t="s">
        <v>721</v>
      </c>
      <c r="E14" s="509">
        <f t="shared" ref="E14:E29" si="0">VLOOKUP(CONCATENATE("origterm_",D14),Assets_20,3,0)</f>
        <v>-15391.59</v>
      </c>
      <c r="F14" s="510">
        <f>E14/$E$30</f>
        <v>-5.1941032543098644E-5</v>
      </c>
      <c r="G14" s="511">
        <f t="shared" ref="G14:G29" si="1">VLOOKUP(CONCATENATE("origterm_",D14),Assets_20,2,0)</f>
        <v>17</v>
      </c>
      <c r="H14" s="512">
        <f>G14/$G$30</f>
        <v>3.9744698758562643E-4</v>
      </c>
      <c r="I14" s="220"/>
      <c r="J14" s="21"/>
      <c r="K14" s="176"/>
      <c r="N14" s="368"/>
      <c r="O14" s="220"/>
      <c r="P14" s="369"/>
      <c r="Q14" s="220"/>
    </row>
    <row r="15" spans="1:17">
      <c r="A15" s="182"/>
      <c r="B15" s="14"/>
      <c r="C15" s="13"/>
      <c r="D15" s="508" t="s">
        <v>708</v>
      </c>
      <c r="E15" s="509">
        <f t="shared" si="0"/>
        <v>-32552.489999999998</v>
      </c>
      <c r="F15" s="510">
        <f t="shared" ref="F15:F29" si="2">E15/$E$30</f>
        <v>-1.0985284447213661E-4</v>
      </c>
      <c r="G15" s="511">
        <f t="shared" si="1"/>
        <v>25</v>
      </c>
      <c r="H15" s="512">
        <f t="shared" ref="H15:H29" si="3">G15/$G$30</f>
        <v>5.8448086409650948E-4</v>
      </c>
      <c r="I15" s="220"/>
      <c r="J15" s="21"/>
      <c r="K15" s="176"/>
      <c r="N15" s="368"/>
      <c r="O15" s="220"/>
      <c r="P15" s="369"/>
      <c r="Q15" s="220"/>
    </row>
    <row r="16" spans="1:17">
      <c r="A16" s="182"/>
      <c r="B16" s="14"/>
      <c r="C16" s="13"/>
      <c r="D16" s="508" t="s">
        <v>709</v>
      </c>
      <c r="E16" s="509">
        <f t="shared" si="0"/>
        <v>-2291.510000000002</v>
      </c>
      <c r="F16" s="510">
        <f t="shared" si="2"/>
        <v>-7.7330149440594553E-6</v>
      </c>
      <c r="G16" s="511">
        <f t="shared" si="1"/>
        <v>22</v>
      </c>
      <c r="H16" s="512">
        <f t="shared" si="3"/>
        <v>5.1434316040492839E-4</v>
      </c>
      <c r="I16" s="220"/>
      <c r="J16" s="21"/>
      <c r="K16" s="176"/>
      <c r="N16" s="368"/>
      <c r="O16" s="220"/>
      <c r="P16" s="369"/>
      <c r="Q16" s="220"/>
    </row>
    <row r="17" spans="1:17">
      <c r="A17" s="182"/>
      <c r="B17" s="14"/>
      <c r="C17" s="13"/>
      <c r="D17" s="508" t="s">
        <v>710</v>
      </c>
      <c r="E17" s="509">
        <f t="shared" si="0"/>
        <v>-13376.42</v>
      </c>
      <c r="F17" s="510">
        <f t="shared" si="2"/>
        <v>-4.514056484938564E-5</v>
      </c>
      <c r="G17" s="511">
        <f t="shared" si="1"/>
        <v>16</v>
      </c>
      <c r="H17" s="512">
        <f t="shared" si="3"/>
        <v>3.7406775302176604E-4</v>
      </c>
      <c r="I17" s="220"/>
      <c r="J17" s="21"/>
      <c r="K17" s="176"/>
      <c r="N17" s="368"/>
      <c r="O17" s="220"/>
      <c r="P17" s="369"/>
      <c r="Q17" s="220"/>
    </row>
    <row r="18" spans="1:17">
      <c r="A18" s="182"/>
      <c r="B18" s="14"/>
      <c r="C18" s="13"/>
      <c r="D18" s="508" t="s">
        <v>711</v>
      </c>
      <c r="E18" s="509">
        <f t="shared" si="0"/>
        <v>14675.380000000005</v>
      </c>
      <c r="F18" s="510">
        <f t="shared" si="2"/>
        <v>4.9524083617244167E-5</v>
      </c>
      <c r="G18" s="511">
        <f t="shared" si="1"/>
        <v>30</v>
      </c>
      <c r="H18" s="512">
        <f t="shared" si="3"/>
        <v>7.0137703691581133E-4</v>
      </c>
      <c r="I18" s="220"/>
      <c r="J18" s="21"/>
      <c r="K18" s="176"/>
      <c r="N18" s="368"/>
      <c r="O18" s="220"/>
      <c r="P18" s="369"/>
      <c r="Q18" s="220"/>
    </row>
    <row r="19" spans="1:17">
      <c r="A19" s="182"/>
      <c r="B19" s="14"/>
      <c r="C19" s="13"/>
      <c r="D19" s="508" t="s">
        <v>712</v>
      </c>
      <c r="E19" s="509">
        <f t="shared" si="0"/>
        <v>-3530.0500000000011</v>
      </c>
      <c r="F19" s="510">
        <f t="shared" si="2"/>
        <v>-1.191263813087312E-5</v>
      </c>
      <c r="G19" s="511">
        <f t="shared" si="1"/>
        <v>39</v>
      </c>
      <c r="H19" s="512">
        <f t="shared" si="3"/>
        <v>9.1179014799055481E-4</v>
      </c>
      <c r="I19" s="220"/>
      <c r="J19" s="21"/>
      <c r="K19" s="176"/>
      <c r="N19" s="368"/>
      <c r="O19" s="220"/>
      <c r="P19" s="369"/>
      <c r="Q19" s="220"/>
    </row>
    <row r="20" spans="1:17">
      <c r="A20" s="182"/>
      <c r="B20" s="14"/>
      <c r="C20" s="13"/>
      <c r="D20" s="508" t="s">
        <v>713</v>
      </c>
      <c r="E20" s="509">
        <f t="shared" si="0"/>
        <v>372653.95999999996</v>
      </c>
      <c r="F20" s="510">
        <f t="shared" si="2"/>
        <v>1.257571924906691E-3</v>
      </c>
      <c r="G20" s="511">
        <f t="shared" si="1"/>
        <v>577</v>
      </c>
      <c r="H20" s="512">
        <f t="shared" si="3"/>
        <v>1.348981834334744E-2</v>
      </c>
      <c r="I20" s="220"/>
      <c r="J20" s="21"/>
      <c r="K20" s="176"/>
      <c r="N20" s="368"/>
      <c r="O20" s="220"/>
      <c r="P20" s="369"/>
      <c r="Q20" s="220"/>
    </row>
    <row r="21" spans="1:17">
      <c r="A21" s="182"/>
      <c r="B21" s="14"/>
      <c r="C21" s="13"/>
      <c r="D21" s="508" t="s">
        <v>714</v>
      </c>
      <c r="E21" s="509">
        <f t="shared" si="0"/>
        <v>4512182.269999994</v>
      </c>
      <c r="F21" s="510">
        <f t="shared" si="2"/>
        <v>1.5226978247631492E-2</v>
      </c>
      <c r="G21" s="511">
        <f t="shared" si="1"/>
        <v>3915</v>
      </c>
      <c r="H21" s="512">
        <f t="shared" si="3"/>
        <v>9.1529703317513381E-2</v>
      </c>
      <c r="I21" s="220"/>
      <c r="J21" s="21"/>
      <c r="K21" s="176"/>
      <c r="N21" s="368"/>
      <c r="O21" s="220"/>
      <c r="P21" s="369"/>
      <c r="Q21" s="220"/>
    </row>
    <row r="22" spans="1:17">
      <c r="A22" s="182"/>
      <c r="B22" s="14"/>
      <c r="C22" s="13"/>
      <c r="D22" s="508" t="s">
        <v>715</v>
      </c>
      <c r="E22" s="509">
        <f t="shared" si="0"/>
        <v>2739684.6500000008</v>
      </c>
      <c r="F22" s="510">
        <f t="shared" si="2"/>
        <v>9.2454418005857644E-3</v>
      </c>
      <c r="G22" s="511">
        <f t="shared" si="1"/>
        <v>1344</v>
      </c>
      <c r="H22" s="512">
        <f t="shared" si="3"/>
        <v>3.1421691253828349E-2</v>
      </c>
      <c r="I22" s="220"/>
      <c r="J22" s="21"/>
      <c r="K22" s="176"/>
      <c r="N22" s="368"/>
      <c r="O22" s="220"/>
      <c r="P22" s="369"/>
      <c r="Q22" s="220"/>
    </row>
    <row r="23" spans="1:17">
      <c r="A23" s="182"/>
      <c r="B23" s="14"/>
      <c r="C23" s="13"/>
      <c r="D23" s="508" t="s">
        <v>716</v>
      </c>
      <c r="E23" s="509">
        <f t="shared" si="0"/>
        <v>16583503.5</v>
      </c>
      <c r="F23" s="510">
        <f t="shared" si="2"/>
        <v>5.5963308207410037E-2</v>
      </c>
      <c r="G23" s="511">
        <f t="shared" si="1"/>
        <v>5155</v>
      </c>
      <c r="H23" s="512">
        <f t="shared" si="3"/>
        <v>0.12051995417670025</v>
      </c>
      <c r="I23" s="220"/>
      <c r="J23" s="21"/>
      <c r="K23" s="176"/>
      <c r="N23" s="368"/>
      <c r="O23" s="220"/>
      <c r="P23" s="369"/>
      <c r="Q23" s="220"/>
    </row>
    <row r="24" spans="1:17">
      <c r="A24" s="182"/>
      <c r="B24" s="14"/>
      <c r="C24" s="13"/>
      <c r="D24" s="508" t="s">
        <v>717</v>
      </c>
      <c r="E24" s="509">
        <f t="shared" si="0"/>
        <v>7681784.1600000076</v>
      </c>
      <c r="F24" s="510">
        <f t="shared" si="2"/>
        <v>2.5923234769352616E-2</v>
      </c>
      <c r="G24" s="511">
        <f t="shared" si="1"/>
        <v>1359</v>
      </c>
      <c r="H24" s="512">
        <f t="shared" si="3"/>
        <v>3.1772379772286252E-2</v>
      </c>
      <c r="I24" s="220"/>
      <c r="J24" s="21"/>
      <c r="K24" s="176"/>
      <c r="N24" s="368"/>
      <c r="O24" s="220"/>
      <c r="P24" s="369"/>
      <c r="Q24" s="220"/>
    </row>
    <row r="25" spans="1:17">
      <c r="A25" s="182"/>
      <c r="B25" s="14"/>
      <c r="C25" s="13"/>
      <c r="D25" s="508" t="s">
        <v>718</v>
      </c>
      <c r="E25" s="509">
        <f t="shared" si="0"/>
        <v>56659302.170000255</v>
      </c>
      <c r="F25" s="510">
        <f t="shared" si="2"/>
        <v>0.19120459016133115</v>
      </c>
      <c r="G25" s="511">
        <f t="shared" si="1"/>
        <v>10591</v>
      </c>
      <c r="H25" s="512">
        <f t="shared" si="3"/>
        <v>0.24760947326584529</v>
      </c>
      <c r="I25" s="220"/>
      <c r="J25" s="21"/>
      <c r="K25" s="176"/>
      <c r="N25" s="368"/>
      <c r="O25" s="220"/>
      <c r="P25" s="369"/>
      <c r="Q25" s="220"/>
    </row>
    <row r="26" spans="1:17">
      <c r="A26" s="182"/>
      <c r="B26" s="14"/>
      <c r="C26" s="13"/>
      <c r="D26" s="508" t="s">
        <v>719</v>
      </c>
      <c r="E26" s="509">
        <f t="shared" si="0"/>
        <v>93182599.329999849</v>
      </c>
      <c r="F26" s="510">
        <f t="shared" si="2"/>
        <v>0.31445746828300675</v>
      </c>
      <c r="G26" s="511">
        <f t="shared" si="1"/>
        <v>9802</v>
      </c>
      <c r="H26" s="512">
        <f t="shared" si="3"/>
        <v>0.22916325719495945</v>
      </c>
      <c r="I26" s="220"/>
      <c r="J26" s="21"/>
      <c r="K26" s="176"/>
      <c r="N26" s="368"/>
      <c r="O26" s="220"/>
      <c r="P26" s="369"/>
      <c r="Q26" s="220"/>
    </row>
    <row r="27" spans="1:17">
      <c r="A27" s="182"/>
      <c r="B27" s="14"/>
      <c r="C27" s="13"/>
      <c r="D27" s="508" t="s">
        <v>722</v>
      </c>
      <c r="E27" s="509">
        <f t="shared" si="0"/>
        <v>97511315.890000448</v>
      </c>
      <c r="F27" s="510">
        <f t="shared" si="2"/>
        <v>0.32906531631643549</v>
      </c>
      <c r="G27" s="511">
        <f t="shared" si="1"/>
        <v>8956</v>
      </c>
      <c r="H27" s="512">
        <f t="shared" si="3"/>
        <v>0.20938442475393357</v>
      </c>
      <c r="I27" s="220"/>
      <c r="J27" s="21"/>
      <c r="K27" s="176"/>
      <c r="N27" s="368"/>
      <c r="O27" s="220"/>
      <c r="P27" s="369"/>
      <c r="Q27" s="220"/>
    </row>
    <row r="28" spans="1:17">
      <c r="A28" s="182"/>
      <c r="B28" s="14"/>
      <c r="C28" s="13"/>
      <c r="D28" s="508" t="s">
        <v>723</v>
      </c>
      <c r="E28" s="509">
        <f t="shared" si="0"/>
        <v>11931357.959999999</v>
      </c>
      <c r="F28" s="510">
        <f t="shared" si="2"/>
        <v>4.0264004698911483E-2</v>
      </c>
      <c r="G28" s="511">
        <f t="shared" si="1"/>
        <v>680</v>
      </c>
      <c r="H28" s="512">
        <f t="shared" si="3"/>
        <v>1.5897879503425059E-2</v>
      </c>
      <c r="I28" s="220"/>
      <c r="J28" s="21"/>
      <c r="K28" s="176"/>
      <c r="N28" s="368"/>
      <c r="O28" s="220"/>
      <c r="P28" s="369"/>
      <c r="Q28" s="220"/>
    </row>
    <row r="29" spans="1:17" ht="13" thickBot="1">
      <c r="A29" s="182"/>
      <c r="B29" s="14"/>
      <c r="C29" s="13"/>
      <c r="D29" s="508" t="s">
        <v>724</v>
      </c>
      <c r="E29" s="509">
        <f t="shared" si="0"/>
        <v>5206231.2</v>
      </c>
      <c r="F29" s="510">
        <f t="shared" si="2"/>
        <v>1.7569141601751055E-2</v>
      </c>
      <c r="G29" s="511">
        <f t="shared" si="1"/>
        <v>245</v>
      </c>
      <c r="H29" s="512">
        <f t="shared" si="3"/>
        <v>5.7279124681457929E-3</v>
      </c>
      <c r="I29" s="220"/>
      <c r="J29" s="21"/>
      <c r="K29" s="176"/>
      <c r="N29" s="368"/>
      <c r="O29" s="220"/>
      <c r="P29" s="369"/>
      <c r="Q29" s="220"/>
    </row>
    <row r="30" spans="1:17" ht="14" thickTop="1" thickBot="1">
      <c r="A30" s="182"/>
      <c r="B30" s="14"/>
      <c r="C30" s="13"/>
      <c r="D30" s="492" t="s">
        <v>36</v>
      </c>
      <c r="E30" s="493">
        <f>SUM(E14:E29)</f>
        <v>296328148.4100005</v>
      </c>
      <c r="F30" s="494">
        <f>SUM(F14:F29)</f>
        <v>1.0000000000000002</v>
      </c>
      <c r="G30" s="495">
        <f>SUM(G14:G29)</f>
        <v>42773</v>
      </c>
      <c r="H30" s="496">
        <f>SUM(H14:H29)</f>
        <v>1</v>
      </c>
      <c r="I30" s="21"/>
      <c r="J30" s="21"/>
      <c r="K30" s="176"/>
      <c r="M30" s="513"/>
      <c r="N30" s="514"/>
      <c r="O30" s="515"/>
      <c r="P30" s="516"/>
      <c r="Q30" s="515"/>
    </row>
    <row r="31" spans="1:17" ht="18" customHeight="1">
      <c r="A31" s="182"/>
      <c r="B31" s="14"/>
      <c r="C31" s="13"/>
      <c r="D31" s="106"/>
      <c r="E31" s="106"/>
      <c r="F31" s="106"/>
      <c r="G31" s="106"/>
      <c r="H31" s="106"/>
      <c r="I31" s="21"/>
      <c r="J31" s="21"/>
      <c r="K31" s="176"/>
    </row>
    <row r="32" spans="1:17">
      <c r="A32" s="182"/>
      <c r="B32" s="14"/>
      <c r="C32" s="13"/>
      <c r="D32" s="106"/>
      <c r="E32" s="106"/>
      <c r="F32" s="106"/>
      <c r="G32" s="106"/>
      <c r="H32" s="106"/>
      <c r="I32" s="21"/>
      <c r="J32" s="21"/>
      <c r="K32" s="176"/>
    </row>
    <row r="33" spans="1:14">
      <c r="A33" s="182"/>
      <c r="B33" s="14"/>
      <c r="C33" s="13"/>
      <c r="D33" s="106"/>
      <c r="E33" s="517"/>
      <c r="F33" s="106"/>
      <c r="G33" s="106"/>
      <c r="H33" s="106"/>
      <c r="I33" s="21"/>
      <c r="J33" s="21"/>
      <c r="K33" s="176"/>
      <c r="N33" s="518"/>
    </row>
    <row r="34" spans="1:14" ht="13.5" thickBot="1">
      <c r="A34" s="182"/>
      <c r="B34" s="14"/>
      <c r="C34" s="13"/>
      <c r="D34" s="519" t="s">
        <v>69</v>
      </c>
      <c r="E34" s="519"/>
      <c r="F34" s="106"/>
      <c r="G34" s="106"/>
      <c r="H34" s="106"/>
      <c r="I34" s="225"/>
      <c r="J34" s="21"/>
      <c r="K34" s="176"/>
    </row>
    <row r="35" spans="1:14" ht="13" thickBot="1">
      <c r="A35" s="182"/>
      <c r="B35" s="14"/>
      <c r="C35" s="13"/>
      <c r="D35" s="520" t="s">
        <v>66</v>
      </c>
      <c r="E35" s="521">
        <f>VLOOKUP(CONCATENATE("origterm_",D35),Assets_20,3,0)</f>
        <v>93.611099669476616</v>
      </c>
      <c r="F35" s="21"/>
      <c r="G35" s="21"/>
      <c r="H35" s="21"/>
      <c r="I35" s="21"/>
      <c r="J35" s="21"/>
      <c r="K35" s="176"/>
    </row>
    <row r="36" spans="1:14">
      <c r="A36" s="182"/>
      <c r="B36" s="14"/>
      <c r="C36" s="13"/>
      <c r="D36" s="202"/>
      <c r="E36" s="234"/>
      <c r="F36" s="21"/>
      <c r="G36" s="21"/>
      <c r="H36" s="21"/>
      <c r="I36" s="21"/>
      <c r="J36" s="21"/>
      <c r="K36" s="176"/>
    </row>
    <row r="37" spans="1:14">
      <c r="A37" s="182"/>
      <c r="B37" s="14"/>
      <c r="C37" s="13"/>
      <c r="D37" s="201"/>
      <c r="E37" s="234"/>
      <c r="F37" s="21"/>
      <c r="G37" s="21"/>
      <c r="H37" s="21"/>
      <c r="I37" s="21"/>
      <c r="J37" s="21"/>
      <c r="K37" s="176"/>
    </row>
    <row r="38" spans="1:14">
      <c r="A38" s="182"/>
      <c r="B38" s="14"/>
      <c r="C38" s="13"/>
      <c r="D38" s="21"/>
      <c r="E38" s="21"/>
      <c r="F38" s="21"/>
      <c r="G38" s="21"/>
      <c r="H38" s="21"/>
      <c r="I38" s="21"/>
      <c r="J38" s="21"/>
      <c r="K38" s="176"/>
    </row>
    <row r="39" spans="1:14">
      <c r="A39" s="182"/>
      <c r="B39" s="14"/>
      <c r="C39" s="13"/>
      <c r="D39" s="21"/>
      <c r="E39" s="21"/>
      <c r="F39" s="21"/>
      <c r="G39" s="21"/>
      <c r="H39" s="21"/>
      <c r="I39" s="21"/>
      <c r="J39" s="21"/>
      <c r="K39" s="176"/>
    </row>
    <row r="40" spans="1:14">
      <c r="A40" s="182"/>
      <c r="B40" s="14"/>
      <c r="C40" s="13"/>
      <c r="D40" s="21"/>
      <c r="E40" s="21"/>
      <c r="F40" s="21"/>
      <c r="G40" s="21"/>
      <c r="H40" s="21"/>
      <c r="I40" s="21"/>
      <c r="J40" s="21"/>
      <c r="K40" s="176"/>
    </row>
    <row r="41" spans="1:14">
      <c r="A41" s="182"/>
      <c r="B41" s="14"/>
      <c r="C41" s="13"/>
      <c r="D41" s="21"/>
      <c r="E41" s="21"/>
      <c r="F41" s="21"/>
      <c r="G41" s="21"/>
      <c r="H41" s="21"/>
      <c r="I41" s="21"/>
      <c r="J41" s="21"/>
      <c r="K41" s="176"/>
    </row>
    <row r="42" spans="1:14">
      <c r="A42" s="182"/>
      <c r="B42" s="14"/>
      <c r="C42" s="13"/>
      <c r="D42" s="21"/>
      <c r="E42" s="21"/>
      <c r="F42" s="21"/>
      <c r="G42" s="21"/>
      <c r="H42" s="21"/>
      <c r="I42" s="21"/>
      <c r="J42" s="21"/>
      <c r="K42" s="176"/>
    </row>
    <row r="43" spans="1:14">
      <c r="A43" s="182"/>
      <c r="B43" s="14"/>
      <c r="C43" s="13"/>
      <c r="D43" s="21"/>
      <c r="E43" s="21"/>
      <c r="F43" s="21"/>
      <c r="G43" s="21"/>
      <c r="H43" s="21"/>
      <c r="I43" s="21"/>
      <c r="J43" s="21"/>
      <c r="K43" s="176"/>
    </row>
    <row r="44" spans="1:14">
      <c r="A44" s="182"/>
      <c r="B44" s="14"/>
      <c r="C44" s="13"/>
      <c r="D44" s="21"/>
      <c r="E44" s="21"/>
      <c r="F44" s="21"/>
      <c r="G44" s="21"/>
      <c r="H44" s="21"/>
      <c r="I44" s="21"/>
      <c r="J44" s="21"/>
      <c r="K44" s="176"/>
    </row>
    <row r="45" spans="1:14">
      <c r="A45" s="182"/>
      <c r="B45" s="14"/>
      <c r="C45" s="13"/>
      <c r="D45" s="21"/>
      <c r="E45" s="21"/>
      <c r="F45" s="21"/>
      <c r="G45" s="21"/>
      <c r="H45" s="21"/>
      <c r="I45" s="21"/>
      <c r="J45" s="21"/>
      <c r="K45" s="176"/>
    </row>
    <row r="46" spans="1:14">
      <c r="A46" s="182"/>
      <c r="B46" s="14"/>
      <c r="C46" s="13"/>
      <c r="D46" s="21"/>
      <c r="E46" s="21"/>
      <c r="F46" s="21"/>
      <c r="G46" s="21"/>
      <c r="H46" s="21"/>
      <c r="I46" s="21"/>
      <c r="J46" s="21"/>
      <c r="K46" s="176"/>
    </row>
    <row r="47" spans="1:14">
      <c r="A47" s="182"/>
      <c r="B47" s="14"/>
      <c r="C47" s="13"/>
      <c r="D47" s="21"/>
      <c r="E47" s="21"/>
      <c r="F47" s="21"/>
      <c r="G47" s="21"/>
      <c r="H47" s="21"/>
      <c r="I47" s="21"/>
      <c r="J47" s="21"/>
      <c r="K47" s="176"/>
    </row>
    <row r="48" spans="1:14">
      <c r="A48" s="182"/>
      <c r="B48" s="14"/>
      <c r="C48" s="13"/>
      <c r="D48" s="21"/>
      <c r="E48" s="21"/>
      <c r="F48" s="21"/>
      <c r="G48" s="21"/>
      <c r="H48" s="21"/>
      <c r="I48" s="21"/>
      <c r="J48" s="21"/>
      <c r="K48" s="176"/>
    </row>
    <row r="49" spans="1:17">
      <c r="A49" s="182"/>
      <c r="B49" s="14"/>
      <c r="C49" s="13"/>
      <c r="D49" s="21"/>
      <c r="E49" s="21"/>
      <c r="F49" s="21"/>
      <c r="G49" s="21"/>
      <c r="H49" s="21"/>
      <c r="I49" s="21"/>
      <c r="J49" s="21"/>
      <c r="K49" s="176"/>
    </row>
    <row r="50" spans="1:17">
      <c r="A50" s="182"/>
      <c r="B50" s="14"/>
      <c r="C50" s="13"/>
      <c r="D50" s="21"/>
      <c r="E50" s="21"/>
      <c r="F50" s="21"/>
      <c r="G50" s="21"/>
      <c r="H50" s="21"/>
      <c r="I50" s="21"/>
      <c r="J50" s="21"/>
      <c r="K50" s="176"/>
    </row>
    <row r="51" spans="1:17">
      <c r="A51" s="182"/>
      <c r="B51" s="14"/>
      <c r="C51" s="13"/>
      <c r="D51" s="21"/>
      <c r="E51" s="21"/>
      <c r="F51" s="21"/>
      <c r="G51" s="21"/>
      <c r="H51" s="21"/>
      <c r="I51" s="21"/>
      <c r="J51" s="21"/>
      <c r="K51" s="176"/>
    </row>
    <row r="52" spans="1:17">
      <c r="A52" s="182"/>
      <c r="B52" s="14"/>
      <c r="C52" s="13"/>
      <c r="D52" s="21"/>
      <c r="E52" s="21"/>
      <c r="F52" s="21"/>
      <c r="G52" s="21"/>
      <c r="H52" s="21"/>
      <c r="I52" s="21"/>
      <c r="J52" s="21"/>
      <c r="K52" s="176"/>
    </row>
    <row r="53" spans="1:17">
      <c r="A53" s="182"/>
      <c r="B53" s="14"/>
      <c r="C53" s="13"/>
      <c r="D53" s="21"/>
      <c r="E53" s="21"/>
      <c r="F53" s="21"/>
      <c r="G53" s="21"/>
      <c r="H53" s="21"/>
      <c r="I53" s="21"/>
      <c r="J53" s="21"/>
      <c r="K53" s="176"/>
    </row>
    <row r="54" spans="1:17">
      <c r="A54" s="182"/>
      <c r="B54" s="14"/>
      <c r="C54" s="13"/>
      <c r="D54" s="21"/>
      <c r="E54" s="21"/>
      <c r="F54" s="21"/>
      <c r="G54" s="21"/>
      <c r="H54" s="21"/>
      <c r="I54" s="21"/>
      <c r="J54" s="21"/>
      <c r="K54" s="176"/>
    </row>
    <row r="55" spans="1:17">
      <c r="A55" s="196"/>
      <c r="B55" s="29"/>
      <c r="C55" s="11"/>
      <c r="D55" s="351"/>
      <c r="E55" s="11"/>
      <c r="F55" s="318"/>
      <c r="G55" s="352"/>
      <c r="H55" s="318"/>
      <c r="I55" s="394"/>
      <c r="J55" s="56"/>
      <c r="K55" s="197"/>
      <c r="M55" s="198"/>
      <c r="N55" s="13"/>
      <c r="O55" s="199"/>
      <c r="P55" s="200"/>
      <c r="Q55" s="199"/>
    </row>
    <row r="56" spans="1:17">
      <c r="A56" s="49"/>
      <c r="B56" s="14"/>
      <c r="C56" s="13"/>
      <c r="D56" s="198"/>
      <c r="E56" s="13"/>
      <c r="F56" s="199"/>
      <c r="G56" s="200"/>
      <c r="H56" s="199"/>
      <c r="I56" s="175"/>
      <c r="J56" s="21"/>
      <c r="K56" s="21"/>
      <c r="L56" s="21"/>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101" customFormat="1" ht="15" customHeight="1">
      <c r="B59" s="14"/>
      <c r="C59" s="13"/>
      <c r="D59" s="198"/>
      <c r="E59" s="13"/>
      <c r="F59" s="199"/>
      <c r="G59" s="200"/>
      <c r="H59" s="199"/>
      <c r="I59" s="147"/>
      <c r="M59" s="198"/>
      <c r="N59" s="13"/>
      <c r="O59" s="199"/>
      <c r="P59" s="200"/>
      <c r="Q59" s="199"/>
    </row>
    <row r="60" spans="1:17" s="101" customFormat="1">
      <c r="B60" s="14"/>
      <c r="C60" s="13"/>
      <c r="D60" s="198"/>
      <c r="E60" s="13"/>
      <c r="F60" s="199"/>
      <c r="G60" s="200"/>
      <c r="H60" s="199"/>
      <c r="I60" s="147"/>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198"/>
      <c r="E88" s="13"/>
      <c r="F88" s="199"/>
      <c r="G88" s="200"/>
      <c r="H88" s="199"/>
      <c r="I88" s="175"/>
      <c r="M88" s="198"/>
      <c r="N88" s="13"/>
      <c r="O88" s="199"/>
      <c r="P88" s="200"/>
      <c r="Q88" s="199"/>
    </row>
    <row r="89" spans="2:17" s="21" customFormat="1">
      <c r="B89" s="14"/>
      <c r="C89" s="13"/>
      <c r="D89" s="201"/>
      <c r="E89" s="202"/>
      <c r="F89" s="233"/>
      <c r="G89" s="204"/>
      <c r="H89" s="233"/>
      <c r="I89" s="175"/>
      <c r="M89" s="201"/>
      <c r="N89" s="202"/>
      <c r="O89" s="233"/>
      <c r="P89" s="204"/>
      <c r="Q89" s="233"/>
    </row>
    <row r="90" spans="2:17" s="21" customFormat="1">
      <c r="B90" s="14"/>
      <c r="C90" s="13"/>
      <c r="D90" s="201"/>
      <c r="E90" s="201"/>
      <c r="F90" s="201"/>
      <c r="G90" s="201"/>
      <c r="H90" s="201"/>
      <c r="I90" s="175"/>
      <c r="M90" s="201"/>
      <c r="N90" s="201"/>
      <c r="O90" s="201"/>
      <c r="P90" s="201"/>
      <c r="Q90" s="201"/>
    </row>
    <row r="91" spans="2:17" s="21" customFormat="1">
      <c r="B91" s="14"/>
      <c r="C91" s="13"/>
      <c r="D91" s="201"/>
      <c r="E91" s="201"/>
      <c r="F91" s="201"/>
      <c r="G91" s="201"/>
      <c r="H91" s="201"/>
      <c r="I91" s="175"/>
      <c r="M91" s="201"/>
      <c r="N91" s="201"/>
      <c r="O91" s="201"/>
      <c r="P91" s="201"/>
      <c r="Q91" s="201"/>
    </row>
    <row r="92" spans="2:17" s="21" customFormat="1">
      <c r="B92" s="14"/>
      <c r="C92" s="13"/>
      <c r="D92" s="205"/>
      <c r="E92" s="234"/>
      <c r="F92" s="201"/>
      <c r="G92" s="201"/>
      <c r="H92" s="201"/>
      <c r="I92" s="175"/>
      <c r="M92" s="205"/>
      <c r="N92" s="234"/>
      <c r="O92" s="201"/>
      <c r="P92" s="201"/>
      <c r="Q92" s="201"/>
    </row>
    <row r="93" spans="2:17" s="21" customFormat="1">
      <c r="B93" s="14"/>
      <c r="C93" s="13"/>
      <c r="D93" s="202"/>
      <c r="E93" s="234"/>
      <c r="F93" s="201"/>
      <c r="G93" s="201"/>
      <c r="H93" s="201"/>
      <c r="I93" s="175"/>
      <c r="M93" s="202"/>
      <c r="N93" s="234"/>
      <c r="O93" s="201"/>
      <c r="P93" s="201"/>
      <c r="Q93" s="201"/>
    </row>
    <row r="94" spans="2:17" s="21" customFormat="1">
      <c r="B94" s="14"/>
      <c r="C94" s="13"/>
      <c r="D94" s="201"/>
      <c r="E94" s="234"/>
      <c r="F94" s="201"/>
      <c r="G94" s="201"/>
      <c r="H94" s="201"/>
      <c r="I94" s="175"/>
      <c r="M94" s="201"/>
      <c r="N94" s="234"/>
      <c r="O94" s="201"/>
      <c r="P94" s="201"/>
      <c r="Q94" s="201"/>
    </row>
    <row r="95" spans="2:17" s="21" customFormat="1" ht="14">
      <c r="B95" s="201"/>
      <c r="C95" s="202"/>
      <c r="D95" s="207"/>
      <c r="E95" s="207"/>
      <c r="F95" s="207"/>
      <c r="G95" s="207"/>
      <c r="H95" s="207"/>
      <c r="I95" s="175"/>
      <c r="M95" s="207"/>
      <c r="N95" s="207"/>
      <c r="O95" s="207"/>
      <c r="P95" s="207"/>
      <c r="Q95" s="207"/>
    </row>
    <row r="96" spans="2:17" s="21" customFormat="1" ht="14">
      <c r="B96" s="101"/>
      <c r="C96" s="101"/>
      <c r="D96" s="207"/>
      <c r="E96" s="207"/>
      <c r="F96" s="207"/>
      <c r="G96" s="207"/>
      <c r="H96" s="207"/>
      <c r="I96" s="175"/>
      <c r="M96" s="207"/>
      <c r="N96" s="207"/>
      <c r="O96" s="207"/>
      <c r="P96" s="207"/>
      <c r="Q96" s="207"/>
    </row>
    <row r="97" spans="2:17" s="21" customFormat="1" ht="14">
      <c r="B97" s="101"/>
      <c r="C97" s="101"/>
      <c r="D97" s="208"/>
      <c r="E97" s="235"/>
      <c r="F97" s="207"/>
      <c r="G97" s="207"/>
      <c r="H97" s="207"/>
      <c r="I97" s="175"/>
      <c r="M97" s="208"/>
      <c r="N97" s="235"/>
      <c r="O97" s="207"/>
      <c r="P97" s="207"/>
      <c r="Q97" s="207"/>
    </row>
    <row r="98" spans="2:17" s="21" customFormat="1" ht="14">
      <c r="B98" s="205"/>
      <c r="C98" s="234"/>
      <c r="D98" s="210"/>
      <c r="E98" s="235"/>
      <c r="F98" s="207"/>
      <c r="G98" s="207"/>
      <c r="H98" s="207"/>
      <c r="I98" s="175"/>
      <c r="M98" s="210"/>
      <c r="N98" s="235"/>
      <c r="O98" s="207"/>
      <c r="P98" s="207"/>
      <c r="Q98" s="207"/>
    </row>
    <row r="99" spans="2:17" s="21" customFormat="1" ht="14">
      <c r="B99" s="211"/>
      <c r="C99" s="234"/>
      <c r="D99" s="207"/>
      <c r="E99" s="235"/>
      <c r="F99" s="207"/>
      <c r="G99" s="207"/>
      <c r="H99" s="207"/>
      <c r="I99" s="175"/>
      <c r="M99" s="207"/>
      <c r="N99" s="235"/>
      <c r="O99" s="207"/>
      <c r="P99" s="207"/>
      <c r="Q99" s="207"/>
    </row>
    <row r="100" spans="2:17" s="21" customFormat="1">
      <c r="C100" s="234"/>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c r="I318" s="175"/>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163</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7.54296875" style="146" customWidth="1"/>
    <col min="4" max="4" width="18.81640625" style="146" customWidth="1"/>
    <col min="5" max="5" width="18.54296875" style="146" customWidth="1"/>
    <col min="6" max="6" width="19.54296875" style="146" customWidth="1"/>
    <col min="7" max="9" width="19" style="146" customWidth="1"/>
    <col min="10" max="10" width="15.453125" style="146" customWidth="1"/>
    <col min="11" max="11" width="1.1796875" style="146" customWidth="1"/>
    <col min="12" max="12" width="3.1796875" style="146" customWidth="1"/>
    <col min="13" max="13" width="18.81640625" style="146" customWidth="1"/>
    <col min="14" max="14" width="18.54296875" style="146" customWidth="1"/>
    <col min="15" max="15" width="19.54296875" style="146" customWidth="1"/>
    <col min="16" max="18" width="19" style="146" customWidth="1"/>
    <col min="19"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45820</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45824</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55</v>
      </c>
      <c r="G4" s="116"/>
      <c r="H4" s="121"/>
      <c r="I4" s="116"/>
      <c r="J4" s="122"/>
      <c r="K4" s="362"/>
      <c r="M4" s="166"/>
      <c r="N4" s="21"/>
      <c r="O4" s="478"/>
      <c r="P4" s="21"/>
      <c r="Q4" s="166"/>
      <c r="R4" s="21"/>
    </row>
    <row r="5" spans="1:18" s="106" customFormat="1" ht="18">
      <c r="A5" s="107"/>
      <c r="B5" s="162" t="s">
        <v>164</v>
      </c>
      <c r="C5" s="123"/>
      <c r="D5" s="115" t="str">
        <f>'Cover Sheet'!D5</f>
        <v>Monthly Period</v>
      </c>
      <c r="E5" s="116"/>
      <c r="F5" s="124">
        <f>'Cover Sheet'!F5</f>
        <v>45824</v>
      </c>
      <c r="G5" s="116"/>
      <c r="H5" s="121"/>
      <c r="I5" s="116"/>
      <c r="J5" s="122"/>
      <c r="K5" s="128"/>
      <c r="M5" s="166"/>
      <c r="N5" s="21"/>
      <c r="O5" s="479"/>
      <c r="P5" s="21"/>
      <c r="Q5" s="166"/>
      <c r="R5" s="21"/>
    </row>
    <row r="6" spans="1:18"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66"/>
      <c r="N6" s="230"/>
      <c r="O6" s="477"/>
      <c r="P6" s="21"/>
      <c r="Q6" s="477"/>
      <c r="R6" s="21"/>
    </row>
    <row r="7" spans="1:18"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c r="M7" s="166"/>
      <c r="N7" s="21"/>
      <c r="O7" s="480"/>
      <c r="P7" s="230"/>
      <c r="Q7" s="477"/>
      <c r="R7" s="230"/>
    </row>
    <row r="8" spans="1:18" s="106" customFormat="1" ht="13">
      <c r="A8" s="107"/>
      <c r="B8" s="101"/>
      <c r="C8" s="101"/>
      <c r="D8" s="101"/>
      <c r="E8" s="137"/>
      <c r="F8" s="136"/>
      <c r="G8" s="137"/>
      <c r="H8" s="101"/>
      <c r="I8" s="137"/>
      <c r="J8" s="101"/>
      <c r="K8" s="128"/>
      <c r="M8" s="21"/>
      <c r="N8" s="481"/>
      <c r="O8" s="230"/>
      <c r="P8" s="481"/>
      <c r="Q8" s="21"/>
      <c r="R8" s="481"/>
    </row>
    <row r="9" spans="1:18" s="106" customFormat="1">
      <c r="A9" s="107"/>
      <c r="K9" s="113"/>
      <c r="M9" s="21"/>
      <c r="N9" s="21"/>
      <c r="O9" s="21"/>
      <c r="P9" s="21"/>
      <c r="Q9" s="21"/>
      <c r="R9" s="21"/>
    </row>
    <row r="10" spans="1:18" s="106" customFormat="1">
      <c r="A10" s="107"/>
      <c r="B10" s="101"/>
      <c r="C10" s="101"/>
      <c r="D10" s="21"/>
      <c r="E10" s="101"/>
      <c r="F10" s="147"/>
      <c r="G10" s="101"/>
      <c r="H10" s="101"/>
      <c r="I10" s="101"/>
      <c r="J10" s="21"/>
      <c r="K10" s="113"/>
      <c r="M10" s="21"/>
      <c r="N10" s="101"/>
      <c r="O10" s="147"/>
      <c r="P10" s="101"/>
      <c r="Q10" s="101"/>
      <c r="R10" s="101"/>
    </row>
    <row r="11" spans="1:18" s="106" customFormat="1" ht="17.5">
      <c r="A11" s="107"/>
      <c r="B11" s="171"/>
      <c r="C11" s="101"/>
      <c r="D11" s="21"/>
      <c r="E11" s="101"/>
      <c r="F11" s="21"/>
      <c r="G11" s="364"/>
      <c r="H11" s="364"/>
      <c r="I11" s="364"/>
      <c r="K11" s="113"/>
      <c r="M11" s="21"/>
      <c r="N11" s="101"/>
      <c r="O11" s="21"/>
      <c r="P11" s="364"/>
      <c r="Q11" s="364"/>
      <c r="R11" s="364"/>
    </row>
    <row r="12" spans="1:18" s="106" customFormat="1" ht="13" thickBot="1">
      <c r="A12" s="107"/>
      <c r="B12" s="101"/>
      <c r="C12" s="21"/>
      <c r="D12" s="21"/>
      <c r="E12" s="21"/>
      <c r="F12" s="21"/>
      <c r="G12" s="365"/>
      <c r="H12" s="365"/>
      <c r="I12" s="365"/>
      <c r="J12" s="21"/>
      <c r="K12" s="113"/>
      <c r="M12" s="21"/>
      <c r="N12" s="21"/>
      <c r="O12" s="21"/>
      <c r="P12" s="365"/>
      <c r="Q12" s="365"/>
      <c r="R12" s="365"/>
    </row>
    <row r="13" spans="1:18" s="106" customFormat="1" ht="29.5" thickBot="1">
      <c r="A13" s="107"/>
      <c r="B13" s="174"/>
      <c r="C13" s="482" t="s">
        <v>105</v>
      </c>
      <c r="D13" s="483" t="s">
        <v>71</v>
      </c>
      <c r="E13" s="483" t="s">
        <v>118</v>
      </c>
      <c r="F13" s="483" t="s">
        <v>61</v>
      </c>
      <c r="G13" s="483" t="s">
        <v>119</v>
      </c>
      <c r="H13" s="483" t="s">
        <v>106</v>
      </c>
      <c r="I13" s="484" t="s">
        <v>126</v>
      </c>
      <c r="J13" s="21"/>
      <c r="K13" s="113"/>
      <c r="M13" s="485"/>
      <c r="N13" s="486"/>
      <c r="O13" s="486"/>
      <c r="P13" s="486"/>
      <c r="Q13" s="486"/>
      <c r="R13" s="486"/>
    </row>
    <row r="14" spans="1:18">
      <c r="A14" s="182"/>
      <c r="B14" s="14"/>
      <c r="C14" s="487" t="s">
        <v>665</v>
      </c>
      <c r="D14" s="60">
        <f t="shared" ref="D14:D20" si="0">VLOOKUP(CONCATENATE("loanconc_",C14),Assets_20,3,0)</f>
        <v>289740740.72999877</v>
      </c>
      <c r="E14" s="61">
        <f>D14/$D$21</f>
        <v>0.97776988883659621</v>
      </c>
      <c r="F14" s="488">
        <f>H14*1</f>
        <v>40516</v>
      </c>
      <c r="G14" s="62">
        <f>F14/$F$21</f>
        <v>0.94723306758936709</v>
      </c>
      <c r="H14" s="488">
        <f t="shared" ref="H14:H20" si="1">VLOOKUP(CONCATENATE("loanconc_",C14),Assets_20,2,0)</f>
        <v>40516</v>
      </c>
      <c r="I14" s="63">
        <f>H14/$H$21</f>
        <v>0.97791508773623614</v>
      </c>
      <c r="J14" s="21"/>
      <c r="K14" s="176"/>
      <c r="M14" s="101"/>
      <c r="N14" s="489"/>
      <c r="O14" s="490"/>
      <c r="P14" s="372"/>
      <c r="Q14" s="101"/>
      <c r="R14" s="372"/>
    </row>
    <row r="15" spans="1:18">
      <c r="A15" s="182"/>
      <c r="B15" s="14"/>
      <c r="C15" s="487" t="s">
        <v>666</v>
      </c>
      <c r="D15" s="64">
        <f t="shared" si="0"/>
        <v>5300025.390000008</v>
      </c>
      <c r="E15" s="945">
        <f t="shared" ref="E15:E20" si="2">D15/$D$21</f>
        <v>1.7885662966674737E-2</v>
      </c>
      <c r="F15" s="946">
        <f>H15*2</f>
        <v>1426</v>
      </c>
      <c r="G15" s="947">
        <f t="shared" ref="G15:G20" si="3">F15/$F$21</f>
        <v>3.3338788488064902E-2</v>
      </c>
      <c r="H15" s="946">
        <f t="shared" si="1"/>
        <v>713</v>
      </c>
      <c r="I15" s="948">
        <f t="shared" ref="I15:I20" si="4">H15/$H$21</f>
        <v>1.720933600444112E-2</v>
      </c>
      <c r="J15" s="21"/>
      <c r="K15" s="176"/>
      <c r="M15" s="101"/>
      <c r="N15" s="489"/>
      <c r="O15" s="490"/>
      <c r="P15" s="372"/>
      <c r="Q15" s="101"/>
      <c r="R15" s="372"/>
    </row>
    <row r="16" spans="1:18">
      <c r="A16" s="182"/>
      <c r="B16" s="14"/>
      <c r="C16" s="487" t="s">
        <v>667</v>
      </c>
      <c r="D16" s="64">
        <f t="shared" si="0"/>
        <v>690928.64999999979</v>
      </c>
      <c r="E16" s="65">
        <f t="shared" si="2"/>
        <v>2.3316335410837621E-3</v>
      </c>
      <c r="F16" s="491">
        <f>H16*3</f>
        <v>339</v>
      </c>
      <c r="G16" s="947">
        <f t="shared" si="3"/>
        <v>7.9255605171486693E-3</v>
      </c>
      <c r="H16" s="946">
        <f t="shared" si="1"/>
        <v>113</v>
      </c>
      <c r="I16" s="948">
        <f t="shared" si="4"/>
        <v>2.7274263232844971E-3</v>
      </c>
      <c r="J16" s="21"/>
      <c r="K16" s="176"/>
      <c r="M16" s="101"/>
      <c r="N16" s="489"/>
      <c r="O16" s="490"/>
      <c r="P16" s="372"/>
      <c r="Q16" s="101"/>
      <c r="R16" s="372"/>
    </row>
    <row r="17" spans="1:18">
      <c r="A17" s="182"/>
      <c r="B17" s="14"/>
      <c r="C17" s="487" t="s">
        <v>668</v>
      </c>
      <c r="D17" s="64">
        <f t="shared" si="0"/>
        <v>252900.14999999997</v>
      </c>
      <c r="E17" s="945">
        <f t="shared" si="2"/>
        <v>8.5344626002281816E-4</v>
      </c>
      <c r="F17" s="491">
        <f>H17*4</f>
        <v>184</v>
      </c>
      <c r="G17" s="947">
        <f t="shared" si="3"/>
        <v>4.3017791597503097E-3</v>
      </c>
      <c r="H17" s="946">
        <f t="shared" si="1"/>
        <v>46</v>
      </c>
      <c r="I17" s="948">
        <f t="shared" si="4"/>
        <v>1.1102797422220076E-3</v>
      </c>
      <c r="J17" s="21"/>
      <c r="K17" s="176"/>
      <c r="M17" s="101"/>
      <c r="N17" s="489"/>
      <c r="O17" s="490"/>
      <c r="P17" s="372"/>
      <c r="Q17" s="101"/>
      <c r="R17" s="372"/>
    </row>
    <row r="18" spans="1:18">
      <c r="A18" s="182"/>
      <c r="B18" s="14"/>
      <c r="C18" s="487" t="s">
        <v>669</v>
      </c>
      <c r="D18" s="64">
        <f t="shared" si="0"/>
        <v>87205.27</v>
      </c>
      <c r="E18" s="945">
        <f t="shared" si="2"/>
        <v>2.9428615022877635E-4</v>
      </c>
      <c r="F18" s="946">
        <f>H18*5</f>
        <v>75</v>
      </c>
      <c r="G18" s="947">
        <f t="shared" si="3"/>
        <v>1.7534425922895284E-3</v>
      </c>
      <c r="H18" s="946">
        <f t="shared" si="1"/>
        <v>15</v>
      </c>
      <c r="I18" s="948">
        <f t="shared" si="4"/>
        <v>3.6204774202891552E-4</v>
      </c>
      <c r="J18" s="21"/>
      <c r="K18" s="176"/>
      <c r="M18" s="101"/>
      <c r="N18" s="489"/>
      <c r="O18" s="490"/>
      <c r="P18" s="372"/>
      <c r="Q18" s="101"/>
      <c r="R18" s="372"/>
    </row>
    <row r="19" spans="1:18">
      <c r="A19" s="182"/>
      <c r="B19" s="14"/>
      <c r="C19" s="487" t="s">
        <v>670</v>
      </c>
      <c r="D19" s="64">
        <f t="shared" si="0"/>
        <v>63957.950000000012</v>
      </c>
      <c r="E19" s="945">
        <f t="shared" si="2"/>
        <v>2.1583487880978491E-4</v>
      </c>
      <c r="F19" s="946">
        <f>H19*6</f>
        <v>42</v>
      </c>
      <c r="G19" s="66">
        <f t="shared" si="3"/>
        <v>9.819278516821359E-4</v>
      </c>
      <c r="H19" s="491">
        <f t="shared" si="1"/>
        <v>7</v>
      </c>
      <c r="I19" s="67">
        <f t="shared" si="4"/>
        <v>1.6895561294682726E-4</v>
      </c>
      <c r="J19" s="21"/>
      <c r="K19" s="176"/>
      <c r="M19" s="101"/>
      <c r="N19" s="489"/>
      <c r="O19" s="490"/>
      <c r="P19" s="372"/>
      <c r="Q19" s="101"/>
      <c r="R19" s="372"/>
    </row>
    <row r="20" spans="1:18" ht="13" thickBot="1">
      <c r="A20" s="182"/>
      <c r="B20" s="14"/>
      <c r="C20" s="487" t="s">
        <v>725</v>
      </c>
      <c r="D20" s="64">
        <f t="shared" si="0"/>
        <v>192390.27</v>
      </c>
      <c r="E20" s="945">
        <f t="shared" si="2"/>
        <v>6.4924736658432272E-4</v>
      </c>
      <c r="F20" s="491">
        <v>191</v>
      </c>
      <c r="G20" s="947">
        <f t="shared" si="3"/>
        <v>4.4654338016973322E-3</v>
      </c>
      <c r="H20" s="946">
        <f t="shared" si="1"/>
        <v>21</v>
      </c>
      <c r="I20" s="948">
        <f t="shared" si="4"/>
        <v>5.068668388404818E-4</v>
      </c>
      <c r="J20" s="21"/>
      <c r="K20" s="176"/>
      <c r="M20" s="101"/>
      <c r="N20" s="489"/>
      <c r="O20" s="490"/>
      <c r="P20" s="372"/>
      <c r="Q20" s="101"/>
      <c r="R20" s="372"/>
    </row>
    <row r="21" spans="1:18" ht="14" thickTop="1" thickBot="1">
      <c r="A21" s="182"/>
      <c r="B21" s="14"/>
      <c r="C21" s="492" t="s">
        <v>107</v>
      </c>
      <c r="D21" s="493">
        <f t="shared" ref="D21:I21" si="5">SUM(D14:D20)</f>
        <v>296328148.40999866</v>
      </c>
      <c r="E21" s="494">
        <f t="shared" si="5"/>
        <v>1.0000000000000004</v>
      </c>
      <c r="F21" s="495">
        <f t="shared" si="5"/>
        <v>42773</v>
      </c>
      <c r="G21" s="494">
        <f t="shared" si="5"/>
        <v>0.99999999999999989</v>
      </c>
      <c r="H21" s="495">
        <f t="shared" si="5"/>
        <v>41431</v>
      </c>
      <c r="I21" s="496">
        <f t="shared" si="5"/>
        <v>1</v>
      </c>
      <c r="J21" s="21"/>
      <c r="K21" s="176"/>
      <c r="M21" s="101"/>
      <c r="N21" s="489"/>
      <c r="O21" s="490"/>
      <c r="P21" s="372"/>
      <c r="Q21" s="101"/>
      <c r="R21" s="372"/>
    </row>
    <row r="22" spans="1:18" ht="13">
      <c r="A22" s="182"/>
      <c r="B22" s="14"/>
      <c r="C22" s="100"/>
      <c r="D22" s="497"/>
      <c r="E22" s="228"/>
      <c r="F22" s="498"/>
      <c r="G22" s="228"/>
      <c r="H22" s="498"/>
      <c r="I22" s="228"/>
      <c r="J22" s="21"/>
      <c r="K22" s="176"/>
      <c r="M22" s="101"/>
      <c r="N22" s="489"/>
      <c r="O22" s="490"/>
      <c r="P22" s="372"/>
      <c r="Q22" s="101"/>
      <c r="R22" s="372"/>
    </row>
    <row r="23" spans="1:18" ht="13">
      <c r="A23" s="182"/>
      <c r="B23" s="14"/>
      <c r="C23" s="100"/>
      <c r="D23" s="497"/>
      <c r="E23" s="228"/>
      <c r="F23" s="498"/>
      <c r="G23" s="228"/>
      <c r="H23" s="498"/>
      <c r="I23" s="228"/>
      <c r="J23" s="21"/>
      <c r="K23" s="176"/>
      <c r="M23" s="101"/>
      <c r="N23" s="489"/>
      <c r="O23" s="490"/>
      <c r="P23" s="372"/>
      <c r="Q23" s="101"/>
      <c r="R23" s="372"/>
    </row>
    <row r="24" spans="1:18" ht="13">
      <c r="A24" s="182"/>
      <c r="B24" s="14"/>
      <c r="C24" s="100"/>
      <c r="D24" s="497"/>
      <c r="E24" s="228"/>
      <c r="F24" s="498"/>
      <c r="G24" s="228"/>
      <c r="H24" s="498"/>
      <c r="I24" s="228"/>
      <c r="J24" s="21"/>
      <c r="K24" s="176"/>
      <c r="M24" s="101"/>
      <c r="N24" s="489"/>
      <c r="O24" s="490"/>
      <c r="P24" s="372"/>
      <c r="Q24" s="101"/>
      <c r="R24" s="372"/>
    </row>
    <row r="25" spans="1:18" ht="13">
      <c r="A25" s="182"/>
      <c r="B25" s="14"/>
      <c r="C25" s="100"/>
      <c r="D25" s="497"/>
      <c r="E25" s="228"/>
      <c r="F25" s="498"/>
      <c r="G25" s="228"/>
      <c r="H25" s="498"/>
      <c r="I25" s="228"/>
      <c r="J25" s="21"/>
      <c r="K25" s="176"/>
      <c r="M25" s="101"/>
      <c r="N25" s="489"/>
      <c r="O25" s="490"/>
      <c r="P25" s="372"/>
      <c r="Q25" s="101"/>
      <c r="R25" s="372"/>
    </row>
    <row r="26" spans="1:18" ht="13">
      <c r="A26" s="182"/>
      <c r="B26" s="14"/>
      <c r="C26" s="100"/>
      <c r="D26" s="497"/>
      <c r="E26" s="228"/>
      <c r="F26" s="498"/>
      <c r="G26" s="228"/>
      <c r="H26" s="498"/>
      <c r="I26" s="228"/>
      <c r="J26" s="21"/>
      <c r="K26" s="176"/>
      <c r="M26" s="101"/>
      <c r="N26" s="489"/>
      <c r="O26" s="490"/>
      <c r="P26" s="372"/>
      <c r="Q26" s="101"/>
      <c r="R26" s="372"/>
    </row>
    <row r="27" spans="1:18" ht="13">
      <c r="A27" s="182"/>
      <c r="B27" s="14"/>
      <c r="C27" s="100"/>
      <c r="D27" s="497"/>
      <c r="E27" s="228"/>
      <c r="F27" s="498"/>
      <c r="G27" s="228"/>
      <c r="H27" s="498"/>
      <c r="I27" s="228"/>
      <c r="J27" s="21"/>
      <c r="K27" s="176"/>
      <c r="M27" s="101"/>
      <c r="N27" s="489"/>
      <c r="O27" s="490"/>
      <c r="P27" s="372"/>
      <c r="Q27" s="101"/>
      <c r="R27" s="372"/>
    </row>
    <row r="28" spans="1:18" ht="13">
      <c r="A28" s="182"/>
      <c r="B28" s="14"/>
      <c r="C28" s="100"/>
      <c r="D28" s="497"/>
      <c r="E28" s="228"/>
      <c r="F28" s="498"/>
      <c r="G28" s="228"/>
      <c r="H28" s="498"/>
      <c r="I28" s="228"/>
      <c r="J28" s="21"/>
      <c r="K28" s="176"/>
      <c r="M28" s="101"/>
      <c r="N28" s="489"/>
      <c r="O28" s="490"/>
      <c r="P28" s="372"/>
      <c r="Q28" s="101"/>
      <c r="R28" s="372"/>
    </row>
    <row r="29" spans="1:18" ht="13">
      <c r="A29" s="182"/>
      <c r="B29" s="14"/>
      <c r="C29" s="100"/>
      <c r="D29" s="497"/>
      <c r="E29" s="228"/>
      <c r="F29" s="498"/>
      <c r="G29" s="228"/>
      <c r="H29" s="498"/>
      <c r="I29" s="228"/>
      <c r="J29" s="21"/>
      <c r="K29" s="176"/>
      <c r="M29" s="101"/>
      <c r="N29" s="489"/>
      <c r="O29" s="490"/>
      <c r="P29" s="372"/>
      <c r="Q29" s="101"/>
      <c r="R29" s="372"/>
    </row>
    <row r="30" spans="1:18">
      <c r="A30" s="182"/>
      <c r="B30" s="14"/>
      <c r="C30" s="13"/>
      <c r="D30" s="21"/>
      <c r="E30" s="21"/>
      <c r="F30" s="21"/>
      <c r="G30" s="21"/>
      <c r="H30" s="21"/>
      <c r="I30" s="21"/>
      <c r="J30" s="21"/>
      <c r="K30" s="176"/>
      <c r="M30" s="21"/>
      <c r="N30" s="21"/>
      <c r="O30" s="21"/>
      <c r="P30" s="21"/>
      <c r="Q30" s="21"/>
      <c r="R30" s="21"/>
    </row>
    <row r="31" spans="1:18">
      <c r="A31" s="182"/>
      <c r="B31" s="14"/>
      <c r="C31" s="13"/>
      <c r="D31" s="21"/>
      <c r="E31" s="21"/>
      <c r="F31" s="21"/>
      <c r="G31" s="21"/>
      <c r="H31" s="21"/>
      <c r="I31" s="21"/>
      <c r="J31" s="21"/>
      <c r="K31" s="176"/>
      <c r="M31" s="21"/>
      <c r="N31" s="21"/>
      <c r="O31" s="21"/>
      <c r="P31" s="21"/>
      <c r="Q31" s="21"/>
      <c r="R31" s="21"/>
    </row>
    <row r="32" spans="1:18">
      <c r="A32" s="182"/>
      <c r="B32" s="14"/>
      <c r="C32" s="13"/>
      <c r="D32" s="21"/>
      <c r="E32" s="21"/>
      <c r="F32" s="21"/>
      <c r="G32" s="21"/>
      <c r="H32" s="21"/>
      <c r="I32" s="21"/>
      <c r="J32" s="21"/>
      <c r="K32" s="176"/>
      <c r="M32" s="21"/>
      <c r="N32" s="21"/>
      <c r="O32" s="21"/>
      <c r="P32" s="21"/>
      <c r="Q32" s="21"/>
      <c r="R32" s="21"/>
    </row>
    <row r="33" spans="1:18">
      <c r="A33" s="182"/>
      <c r="B33" s="14"/>
      <c r="C33" s="13"/>
      <c r="D33" s="21"/>
      <c r="E33" s="21"/>
      <c r="F33" s="21"/>
      <c r="G33" s="21"/>
      <c r="H33" s="21"/>
      <c r="I33" s="21"/>
      <c r="J33" s="21"/>
      <c r="K33" s="176"/>
      <c r="M33" s="21"/>
      <c r="N33" s="21"/>
      <c r="O33" s="21"/>
      <c r="P33" s="21"/>
      <c r="Q33" s="21"/>
      <c r="R33" s="21"/>
    </row>
    <row r="34" spans="1:18">
      <c r="A34" s="182"/>
      <c r="B34" s="14"/>
      <c r="C34" s="13"/>
      <c r="D34" s="21"/>
      <c r="E34" s="21"/>
      <c r="F34" s="21"/>
      <c r="G34" s="21"/>
      <c r="H34" s="21"/>
      <c r="I34" s="21"/>
      <c r="J34" s="21"/>
      <c r="K34" s="176"/>
      <c r="M34" s="21"/>
      <c r="N34" s="21"/>
      <c r="O34" s="21"/>
      <c r="P34" s="21"/>
      <c r="Q34" s="21"/>
      <c r="R34" s="21"/>
    </row>
    <row r="35" spans="1:18">
      <c r="A35" s="182"/>
      <c r="B35" s="14"/>
      <c r="C35" s="13"/>
      <c r="D35" s="21"/>
      <c r="E35" s="21"/>
      <c r="F35" s="21"/>
      <c r="G35" s="21"/>
      <c r="H35" s="21"/>
      <c r="I35" s="21"/>
      <c r="J35" s="21"/>
      <c r="K35" s="176"/>
      <c r="M35" s="21"/>
      <c r="N35" s="21"/>
      <c r="O35" s="21"/>
      <c r="P35" s="21"/>
      <c r="Q35" s="21"/>
      <c r="R35" s="21"/>
    </row>
    <row r="36" spans="1:18">
      <c r="A36" s="182"/>
      <c r="B36" s="14"/>
      <c r="C36" s="13"/>
      <c r="D36" s="21"/>
      <c r="E36" s="21"/>
      <c r="F36" s="21"/>
      <c r="G36" s="21"/>
      <c r="H36" s="21"/>
      <c r="I36" s="21"/>
      <c r="J36" s="21"/>
      <c r="K36" s="176"/>
      <c r="M36" s="21"/>
      <c r="N36" s="21"/>
      <c r="O36" s="21"/>
      <c r="P36" s="21"/>
      <c r="Q36" s="21"/>
      <c r="R36" s="21"/>
    </row>
    <row r="37" spans="1:18">
      <c r="A37" s="182"/>
      <c r="B37" s="14"/>
      <c r="C37" s="13"/>
      <c r="D37" s="21"/>
      <c r="E37" s="21"/>
      <c r="F37" s="21"/>
      <c r="G37" s="21"/>
      <c r="H37" s="21"/>
      <c r="I37" s="21"/>
      <c r="J37" s="21"/>
      <c r="K37" s="176"/>
      <c r="M37" s="21"/>
      <c r="N37" s="21"/>
      <c r="O37" s="21"/>
      <c r="P37" s="21"/>
      <c r="Q37" s="21"/>
      <c r="R37" s="21"/>
    </row>
    <row r="38" spans="1:18">
      <c r="A38" s="182"/>
      <c r="B38" s="14"/>
      <c r="C38" s="13"/>
      <c r="D38" s="21"/>
      <c r="E38" s="21"/>
      <c r="F38" s="21"/>
      <c r="G38" s="21"/>
      <c r="H38" s="21"/>
      <c r="I38" s="21"/>
      <c r="J38" s="21"/>
      <c r="K38" s="176"/>
      <c r="M38" s="21"/>
      <c r="N38" s="21"/>
      <c r="O38" s="21"/>
      <c r="P38" s="21"/>
      <c r="Q38" s="21"/>
      <c r="R38" s="21"/>
    </row>
    <row r="39" spans="1:18">
      <c r="A39" s="182"/>
      <c r="B39" s="14"/>
      <c r="C39" s="13"/>
      <c r="D39" s="21"/>
      <c r="E39" s="21"/>
      <c r="F39" s="21"/>
      <c r="G39" s="21"/>
      <c r="H39" s="21"/>
      <c r="I39" s="21"/>
      <c r="J39" s="21"/>
      <c r="K39" s="176"/>
      <c r="M39" s="21"/>
      <c r="N39" s="21"/>
      <c r="O39" s="21"/>
      <c r="P39" s="21"/>
      <c r="Q39" s="21"/>
      <c r="R39" s="21"/>
    </row>
    <row r="40" spans="1:18">
      <c r="A40" s="182"/>
      <c r="B40" s="14"/>
      <c r="C40" s="13"/>
      <c r="D40" s="21"/>
      <c r="E40" s="21"/>
      <c r="F40" s="21"/>
      <c r="G40" s="21"/>
      <c r="H40" s="21"/>
      <c r="I40" s="21"/>
      <c r="J40" s="21"/>
      <c r="K40" s="176"/>
      <c r="M40" s="21"/>
      <c r="N40" s="21"/>
      <c r="O40" s="21"/>
      <c r="P40" s="21"/>
      <c r="Q40" s="21"/>
      <c r="R40" s="21"/>
    </row>
    <row r="41" spans="1:18">
      <c r="A41" s="182"/>
      <c r="B41" s="14"/>
      <c r="C41" s="13"/>
      <c r="D41" s="21"/>
      <c r="E41" s="21"/>
      <c r="F41" s="21"/>
      <c r="G41" s="21"/>
      <c r="H41" s="21"/>
      <c r="I41" s="21"/>
      <c r="J41" s="21"/>
      <c r="K41" s="176"/>
      <c r="M41" s="21"/>
      <c r="N41" s="21"/>
      <c r="O41" s="21"/>
      <c r="P41" s="21"/>
      <c r="Q41" s="21"/>
      <c r="R41" s="21"/>
    </row>
    <row r="42" spans="1:18">
      <c r="A42" s="182"/>
      <c r="B42" s="14"/>
      <c r="C42" s="13"/>
      <c r="D42" s="21"/>
      <c r="E42" s="21"/>
      <c r="F42" s="21"/>
      <c r="G42" s="21"/>
      <c r="H42" s="21"/>
      <c r="I42" s="21"/>
      <c r="J42" s="21"/>
      <c r="K42" s="176"/>
      <c r="M42" s="21"/>
      <c r="N42" s="21"/>
      <c r="O42" s="21"/>
      <c r="P42" s="21"/>
      <c r="Q42" s="21"/>
      <c r="R42" s="21"/>
    </row>
    <row r="43" spans="1:18">
      <c r="A43" s="182"/>
      <c r="B43" s="14"/>
      <c r="C43" s="13"/>
      <c r="D43" s="21"/>
      <c r="E43" s="21"/>
      <c r="F43" s="21"/>
      <c r="G43" s="21"/>
      <c r="H43" s="21"/>
      <c r="I43" s="21"/>
      <c r="J43" s="21"/>
      <c r="K43" s="176"/>
      <c r="M43" s="21"/>
      <c r="N43" s="21"/>
      <c r="O43" s="21"/>
      <c r="P43" s="21"/>
      <c r="Q43" s="21"/>
      <c r="R43" s="21"/>
    </row>
    <row r="44" spans="1:18">
      <c r="A44" s="182"/>
      <c r="B44" s="14"/>
      <c r="C44" s="13"/>
      <c r="D44" s="21"/>
      <c r="E44" s="21"/>
      <c r="F44" s="21"/>
      <c r="G44" s="21"/>
      <c r="H44" s="21"/>
      <c r="I44" s="21"/>
      <c r="J44" s="21"/>
      <c r="K44" s="176"/>
      <c r="M44" s="21"/>
      <c r="N44" s="21"/>
      <c r="O44" s="21"/>
      <c r="P44" s="21"/>
      <c r="Q44" s="21"/>
      <c r="R44" s="21"/>
    </row>
    <row r="45" spans="1:18">
      <c r="A45" s="182"/>
      <c r="B45" s="14"/>
      <c r="C45" s="13"/>
      <c r="D45" s="21"/>
      <c r="E45" s="21"/>
      <c r="F45" s="21"/>
      <c r="G45" s="21"/>
      <c r="H45" s="21"/>
      <c r="I45" s="21"/>
      <c r="J45" s="21"/>
      <c r="K45" s="176"/>
      <c r="M45" s="21"/>
      <c r="N45" s="21"/>
      <c r="O45" s="21"/>
      <c r="P45" s="21"/>
      <c r="Q45" s="21"/>
      <c r="R45" s="21"/>
    </row>
    <row r="46" spans="1:18">
      <c r="A46" s="196"/>
      <c r="B46" s="29"/>
      <c r="C46" s="11"/>
      <c r="D46" s="351"/>
      <c r="E46" s="11"/>
      <c r="F46" s="318"/>
      <c r="G46" s="352"/>
      <c r="H46" s="318"/>
      <c r="I46" s="352"/>
      <c r="J46" s="56"/>
      <c r="K46" s="197"/>
      <c r="M46" s="198"/>
      <c r="N46" s="13"/>
      <c r="O46" s="199"/>
      <c r="P46" s="200"/>
      <c r="Q46" s="199"/>
      <c r="R46" s="200"/>
    </row>
    <row r="47" spans="1:18">
      <c r="A47" s="49"/>
      <c r="B47" s="14"/>
      <c r="C47" s="13"/>
      <c r="D47" s="198"/>
      <c r="E47" s="13"/>
      <c r="F47" s="199"/>
      <c r="G47" s="200"/>
      <c r="H47" s="199"/>
      <c r="I47" s="200"/>
      <c r="J47" s="21"/>
      <c r="K47" s="21"/>
      <c r="L47" s="21"/>
      <c r="M47" s="198"/>
      <c r="N47" s="13"/>
      <c r="O47" s="199"/>
      <c r="P47" s="200"/>
      <c r="Q47" s="199"/>
      <c r="R47" s="200"/>
    </row>
    <row r="48" spans="1:18" s="21" customFormat="1">
      <c r="B48" s="14"/>
      <c r="C48" s="13"/>
      <c r="D48" s="198"/>
      <c r="E48" s="13"/>
      <c r="F48" s="199"/>
      <c r="G48" s="200"/>
      <c r="H48" s="199"/>
      <c r="I48" s="200"/>
      <c r="M48" s="198"/>
      <c r="N48" s="13"/>
      <c r="O48" s="199"/>
      <c r="P48" s="200"/>
      <c r="Q48" s="199"/>
      <c r="R48" s="200"/>
    </row>
    <row r="49" spans="2:18" s="21" customFormat="1">
      <c r="B49" s="14"/>
      <c r="C49" s="13"/>
      <c r="D49" s="198"/>
      <c r="E49" s="13"/>
      <c r="F49" s="199"/>
      <c r="G49" s="200"/>
      <c r="H49" s="199"/>
      <c r="I49" s="200"/>
      <c r="M49" s="198"/>
      <c r="N49" s="13"/>
      <c r="O49" s="199"/>
      <c r="P49" s="200"/>
      <c r="Q49" s="199"/>
      <c r="R49" s="200"/>
    </row>
    <row r="50" spans="2:18" s="101" customFormat="1" ht="15" customHeight="1">
      <c r="B50" s="14"/>
      <c r="C50" s="13"/>
      <c r="D50" s="198"/>
      <c r="E50" s="13"/>
      <c r="F50" s="199"/>
      <c r="G50" s="200"/>
      <c r="H50" s="199"/>
      <c r="I50" s="200"/>
      <c r="M50" s="198"/>
      <c r="N50" s="13"/>
      <c r="O50" s="199"/>
      <c r="P50" s="200"/>
      <c r="Q50" s="199"/>
      <c r="R50" s="200"/>
    </row>
    <row r="51" spans="2:18" s="101" customFormat="1">
      <c r="B51" s="14"/>
      <c r="C51" s="13"/>
      <c r="D51" s="198"/>
      <c r="E51" s="13"/>
      <c r="F51" s="199"/>
      <c r="G51" s="200"/>
      <c r="H51" s="199"/>
      <c r="I51" s="200"/>
      <c r="M51" s="198"/>
      <c r="N51" s="13"/>
      <c r="O51" s="199"/>
      <c r="P51" s="200"/>
      <c r="Q51" s="199"/>
      <c r="R51" s="200"/>
    </row>
    <row r="52" spans="2:18" s="21" customFormat="1">
      <c r="B52" s="14"/>
      <c r="C52" s="13"/>
      <c r="D52" s="198"/>
      <c r="E52" s="13"/>
      <c r="F52" s="199"/>
      <c r="G52" s="200"/>
      <c r="H52" s="199"/>
      <c r="I52" s="200"/>
      <c r="M52" s="198"/>
      <c r="N52" s="13"/>
      <c r="O52" s="199"/>
      <c r="P52" s="200"/>
      <c r="Q52" s="199"/>
      <c r="R52" s="200"/>
    </row>
    <row r="53" spans="2:18" s="21" customFormat="1">
      <c r="B53" s="14"/>
      <c r="C53" s="13"/>
      <c r="D53" s="198"/>
      <c r="E53" s="13"/>
      <c r="F53" s="199"/>
      <c r="G53" s="200"/>
      <c r="H53" s="199"/>
      <c r="I53" s="200"/>
      <c r="M53" s="198"/>
      <c r="N53" s="13"/>
      <c r="O53" s="199"/>
      <c r="P53" s="200"/>
      <c r="Q53" s="199"/>
      <c r="R53" s="200"/>
    </row>
    <row r="54" spans="2:18" s="21" customFormat="1">
      <c r="B54" s="14"/>
      <c r="C54" s="13"/>
      <c r="D54" s="198"/>
      <c r="E54" s="13"/>
      <c r="F54" s="199"/>
      <c r="G54" s="200"/>
      <c r="H54" s="199"/>
      <c r="I54" s="200"/>
      <c r="M54" s="198"/>
      <c r="N54" s="13"/>
      <c r="O54" s="199"/>
      <c r="P54" s="200"/>
      <c r="Q54" s="199"/>
      <c r="R54" s="200"/>
    </row>
    <row r="55" spans="2:18" s="21" customFormat="1">
      <c r="B55" s="14"/>
      <c r="C55" s="13"/>
      <c r="D55" s="198"/>
      <c r="E55" s="13"/>
      <c r="F55" s="199"/>
      <c r="G55" s="200"/>
      <c r="H55" s="199"/>
      <c r="I55" s="200"/>
      <c r="M55" s="198"/>
      <c r="N55" s="13"/>
      <c r="O55" s="199"/>
      <c r="P55" s="200"/>
      <c r="Q55" s="199"/>
      <c r="R55" s="200"/>
    </row>
    <row r="56" spans="2:18" s="21" customFormat="1">
      <c r="B56" s="14"/>
      <c r="C56" s="13"/>
      <c r="D56" s="198"/>
      <c r="E56" s="13"/>
      <c r="F56" s="199"/>
      <c r="G56" s="200"/>
      <c r="H56" s="199"/>
      <c r="I56" s="200"/>
      <c r="M56" s="198"/>
      <c r="N56" s="13"/>
      <c r="O56" s="199"/>
      <c r="P56" s="200"/>
      <c r="Q56" s="199"/>
      <c r="R56" s="200"/>
    </row>
    <row r="57" spans="2:18" s="21" customFormat="1">
      <c r="B57" s="14"/>
      <c r="C57" s="13"/>
      <c r="D57" s="198"/>
      <c r="E57" s="13"/>
      <c r="F57" s="199"/>
      <c r="G57" s="200"/>
      <c r="H57" s="199"/>
      <c r="I57" s="200"/>
      <c r="M57" s="198"/>
      <c r="N57" s="13"/>
      <c r="O57" s="199"/>
      <c r="P57" s="200"/>
      <c r="Q57" s="199"/>
      <c r="R57" s="200"/>
    </row>
    <row r="58" spans="2:18" s="21" customFormat="1">
      <c r="B58" s="14"/>
      <c r="C58" s="13"/>
      <c r="D58" s="198"/>
      <c r="E58" s="13"/>
      <c r="F58" s="199"/>
      <c r="G58" s="200"/>
      <c r="H58" s="199"/>
      <c r="I58" s="200"/>
      <c r="M58" s="198"/>
      <c r="N58" s="13"/>
      <c r="O58" s="199"/>
      <c r="P58" s="200"/>
      <c r="Q58" s="199"/>
      <c r="R58" s="200"/>
    </row>
    <row r="59" spans="2:18" s="21" customFormat="1">
      <c r="B59" s="14"/>
      <c r="C59" s="13"/>
      <c r="D59" s="198"/>
      <c r="E59" s="13"/>
      <c r="F59" s="199"/>
      <c r="G59" s="200"/>
      <c r="H59" s="199"/>
      <c r="I59" s="200"/>
      <c r="M59" s="198"/>
      <c r="N59" s="13"/>
      <c r="O59" s="199"/>
      <c r="P59" s="200"/>
      <c r="Q59" s="199"/>
      <c r="R59" s="200"/>
    </row>
    <row r="60" spans="2:18" s="21" customFormat="1">
      <c r="B60" s="14"/>
      <c r="C60" s="13"/>
      <c r="D60" s="198"/>
      <c r="E60" s="13"/>
      <c r="F60" s="199"/>
      <c r="G60" s="200"/>
      <c r="H60" s="199"/>
      <c r="I60" s="200"/>
      <c r="M60" s="198"/>
      <c r="N60" s="13"/>
      <c r="O60" s="199"/>
      <c r="P60" s="200"/>
      <c r="Q60" s="199"/>
      <c r="R60" s="200"/>
    </row>
    <row r="61" spans="2:18" s="21" customFormat="1">
      <c r="B61" s="14"/>
      <c r="C61" s="13"/>
      <c r="D61" s="198"/>
      <c r="E61" s="13"/>
      <c r="F61" s="199"/>
      <c r="G61" s="200"/>
      <c r="H61" s="199"/>
      <c r="I61" s="200"/>
      <c r="M61" s="198"/>
      <c r="N61" s="13"/>
      <c r="O61" s="199"/>
      <c r="P61" s="200"/>
      <c r="Q61" s="199"/>
      <c r="R61" s="200"/>
    </row>
    <row r="62" spans="2:18" s="21" customFormat="1">
      <c r="B62" s="14"/>
      <c r="C62" s="13"/>
      <c r="D62" s="198"/>
      <c r="E62" s="13"/>
      <c r="F62" s="199"/>
      <c r="G62" s="200"/>
      <c r="H62" s="199"/>
      <c r="I62" s="200"/>
      <c r="M62" s="198"/>
      <c r="N62" s="13"/>
      <c r="O62" s="199"/>
      <c r="P62" s="200"/>
      <c r="Q62" s="199"/>
      <c r="R62" s="200"/>
    </row>
    <row r="63" spans="2:18" s="21" customFormat="1">
      <c r="B63" s="14"/>
      <c r="C63" s="13"/>
      <c r="D63" s="198"/>
      <c r="E63" s="13"/>
      <c r="F63" s="199"/>
      <c r="G63" s="200"/>
      <c r="H63" s="199"/>
      <c r="I63" s="200"/>
      <c r="M63" s="198"/>
      <c r="N63" s="13"/>
      <c r="O63" s="199"/>
      <c r="P63" s="200"/>
      <c r="Q63" s="199"/>
      <c r="R63" s="200"/>
    </row>
    <row r="64" spans="2:18" s="21" customFormat="1">
      <c r="B64" s="14"/>
      <c r="C64" s="13"/>
      <c r="D64" s="198"/>
      <c r="E64" s="13"/>
      <c r="F64" s="199"/>
      <c r="G64" s="200"/>
      <c r="H64" s="199"/>
      <c r="I64" s="200"/>
      <c r="M64" s="198"/>
      <c r="N64" s="13"/>
      <c r="O64" s="199"/>
      <c r="P64" s="200"/>
      <c r="Q64" s="199"/>
      <c r="R64" s="200"/>
    </row>
    <row r="65" spans="2:18" s="21" customFormat="1">
      <c r="B65" s="14"/>
      <c r="C65" s="13"/>
      <c r="D65" s="198"/>
      <c r="E65" s="13"/>
      <c r="F65" s="199"/>
      <c r="G65" s="200"/>
      <c r="H65" s="199"/>
      <c r="I65" s="200"/>
      <c r="M65" s="198"/>
      <c r="N65" s="13"/>
      <c r="O65" s="199"/>
      <c r="P65" s="200"/>
      <c r="Q65" s="199"/>
      <c r="R65" s="200"/>
    </row>
    <row r="66" spans="2:18" s="21" customFormat="1">
      <c r="B66" s="14"/>
      <c r="C66" s="13"/>
      <c r="D66" s="198"/>
      <c r="E66" s="13"/>
      <c r="F66" s="199"/>
      <c r="G66" s="200"/>
      <c r="H66" s="199"/>
      <c r="I66" s="200"/>
      <c r="M66" s="198"/>
      <c r="N66" s="13"/>
      <c r="O66" s="199"/>
      <c r="P66" s="200"/>
      <c r="Q66" s="199"/>
      <c r="R66" s="200"/>
    </row>
    <row r="67" spans="2:18" s="21" customFormat="1">
      <c r="B67" s="14"/>
      <c r="C67" s="13"/>
      <c r="D67" s="198"/>
      <c r="E67" s="13"/>
      <c r="F67" s="199"/>
      <c r="G67" s="200"/>
      <c r="H67" s="199"/>
      <c r="I67" s="200"/>
      <c r="M67" s="198"/>
      <c r="N67" s="13"/>
      <c r="O67" s="199"/>
      <c r="P67" s="200"/>
      <c r="Q67" s="199"/>
      <c r="R67" s="200"/>
    </row>
    <row r="68" spans="2:18" s="21" customFormat="1">
      <c r="B68" s="14"/>
      <c r="C68" s="13"/>
      <c r="D68" s="198"/>
      <c r="E68" s="13"/>
      <c r="F68" s="199"/>
      <c r="G68" s="200"/>
      <c r="H68" s="199"/>
      <c r="I68" s="200"/>
      <c r="M68" s="198"/>
      <c r="N68" s="13"/>
      <c r="O68" s="199"/>
      <c r="P68" s="200"/>
      <c r="Q68" s="199"/>
      <c r="R68" s="200"/>
    </row>
    <row r="69" spans="2:18" s="21" customFormat="1">
      <c r="B69" s="14"/>
      <c r="C69" s="13"/>
      <c r="D69" s="198"/>
      <c r="E69" s="13"/>
      <c r="F69" s="199"/>
      <c r="G69" s="200"/>
      <c r="H69" s="199"/>
      <c r="I69" s="200"/>
      <c r="M69" s="198"/>
      <c r="N69" s="13"/>
      <c r="O69" s="199"/>
      <c r="P69" s="200"/>
      <c r="Q69" s="199"/>
      <c r="R69" s="200"/>
    </row>
    <row r="70" spans="2:18" s="21" customFormat="1">
      <c r="B70" s="14"/>
      <c r="C70" s="13"/>
      <c r="D70" s="198"/>
      <c r="E70" s="13"/>
      <c r="F70" s="199"/>
      <c r="G70" s="200"/>
      <c r="H70" s="199"/>
      <c r="I70" s="200"/>
      <c r="M70" s="198"/>
      <c r="N70" s="13"/>
      <c r="O70" s="199"/>
      <c r="P70" s="200"/>
      <c r="Q70" s="199"/>
      <c r="R70" s="200"/>
    </row>
    <row r="71" spans="2:18" s="21" customFormat="1">
      <c r="B71" s="14"/>
      <c r="C71" s="13"/>
      <c r="D71" s="198"/>
      <c r="E71" s="13"/>
      <c r="F71" s="199"/>
      <c r="G71" s="200"/>
      <c r="H71" s="199"/>
      <c r="I71" s="200"/>
      <c r="M71" s="198"/>
      <c r="N71" s="13"/>
      <c r="O71" s="199"/>
      <c r="P71" s="200"/>
      <c r="Q71" s="199"/>
      <c r="R71" s="200"/>
    </row>
    <row r="72" spans="2:18" s="21" customFormat="1">
      <c r="B72" s="14"/>
      <c r="C72" s="13"/>
      <c r="D72" s="198"/>
      <c r="E72" s="13"/>
      <c r="F72" s="199"/>
      <c r="G72" s="200"/>
      <c r="H72" s="199"/>
      <c r="I72" s="200"/>
      <c r="M72" s="198"/>
      <c r="N72" s="13"/>
      <c r="O72" s="199"/>
      <c r="P72" s="200"/>
      <c r="Q72" s="199"/>
      <c r="R72" s="200"/>
    </row>
    <row r="73" spans="2:18" s="21" customFormat="1">
      <c r="B73" s="14"/>
      <c r="C73" s="13"/>
      <c r="D73" s="198"/>
      <c r="E73" s="13"/>
      <c r="F73" s="199"/>
      <c r="G73" s="200"/>
      <c r="H73" s="199"/>
      <c r="I73" s="200"/>
      <c r="M73" s="198"/>
      <c r="N73" s="13"/>
      <c r="O73" s="199"/>
      <c r="P73" s="200"/>
      <c r="Q73" s="199"/>
      <c r="R73" s="200"/>
    </row>
    <row r="74" spans="2:18" s="21" customFormat="1">
      <c r="B74" s="14"/>
      <c r="C74" s="13"/>
      <c r="D74" s="198"/>
      <c r="E74" s="13"/>
      <c r="F74" s="199"/>
      <c r="G74" s="200"/>
      <c r="H74" s="199"/>
      <c r="I74" s="200"/>
      <c r="M74" s="198"/>
      <c r="N74" s="13"/>
      <c r="O74" s="199"/>
      <c r="P74" s="200"/>
      <c r="Q74" s="199"/>
      <c r="R74" s="200"/>
    </row>
    <row r="75" spans="2:18" s="21" customFormat="1">
      <c r="B75" s="14"/>
      <c r="C75" s="13"/>
      <c r="D75" s="198"/>
      <c r="E75" s="13"/>
      <c r="F75" s="199"/>
      <c r="G75" s="200"/>
      <c r="H75" s="199"/>
      <c r="I75" s="200"/>
      <c r="M75" s="198"/>
      <c r="N75" s="13"/>
      <c r="O75" s="199"/>
      <c r="P75" s="200"/>
      <c r="Q75" s="199"/>
      <c r="R75" s="200"/>
    </row>
    <row r="76" spans="2:18" s="21" customFormat="1">
      <c r="B76" s="14"/>
      <c r="C76" s="13"/>
      <c r="D76" s="198"/>
      <c r="E76" s="13"/>
      <c r="F76" s="199"/>
      <c r="G76" s="200"/>
      <c r="H76" s="199"/>
      <c r="I76" s="200"/>
      <c r="M76" s="198"/>
      <c r="N76" s="13"/>
      <c r="O76" s="199"/>
      <c r="P76" s="200"/>
      <c r="Q76" s="199"/>
      <c r="R76" s="200"/>
    </row>
    <row r="77" spans="2:18" s="21" customFormat="1">
      <c r="B77" s="14"/>
      <c r="C77" s="13"/>
      <c r="D77" s="198"/>
      <c r="E77" s="13"/>
      <c r="F77" s="199"/>
      <c r="G77" s="200"/>
      <c r="H77" s="199"/>
      <c r="I77" s="200"/>
      <c r="M77" s="198"/>
      <c r="N77" s="13"/>
      <c r="O77" s="199"/>
      <c r="P77" s="200"/>
      <c r="Q77" s="199"/>
      <c r="R77" s="200"/>
    </row>
    <row r="78" spans="2:18" s="21" customFormat="1">
      <c r="B78" s="14"/>
      <c r="C78" s="13"/>
      <c r="D78" s="198"/>
      <c r="E78" s="13"/>
      <c r="F78" s="199"/>
      <c r="G78" s="200"/>
      <c r="H78" s="199"/>
      <c r="I78" s="200"/>
      <c r="M78" s="198"/>
      <c r="N78" s="13"/>
      <c r="O78" s="199"/>
      <c r="P78" s="200"/>
      <c r="Q78" s="199"/>
      <c r="R78" s="200"/>
    </row>
    <row r="79" spans="2:18" s="21" customFormat="1">
      <c r="B79" s="14"/>
      <c r="C79" s="13"/>
      <c r="D79" s="198"/>
      <c r="E79" s="13"/>
      <c r="F79" s="199"/>
      <c r="G79" s="200"/>
      <c r="H79" s="199"/>
      <c r="I79" s="200"/>
      <c r="M79" s="198"/>
      <c r="N79" s="13"/>
      <c r="O79" s="199"/>
      <c r="P79" s="200"/>
      <c r="Q79" s="199"/>
      <c r="R79" s="200"/>
    </row>
    <row r="80" spans="2:18" s="21" customFormat="1">
      <c r="B80" s="14"/>
      <c r="C80" s="13"/>
      <c r="D80" s="201"/>
      <c r="E80" s="202"/>
      <c r="F80" s="233"/>
      <c r="G80" s="204"/>
      <c r="H80" s="233"/>
      <c r="I80" s="204"/>
      <c r="M80" s="201"/>
      <c r="N80" s="202"/>
      <c r="O80" s="233"/>
      <c r="P80" s="204"/>
      <c r="Q80" s="233"/>
      <c r="R80" s="204"/>
    </row>
    <row r="81" spans="2:18" s="21" customFormat="1">
      <c r="B81" s="14"/>
      <c r="C81" s="13"/>
      <c r="D81" s="201"/>
      <c r="E81" s="201"/>
      <c r="F81" s="201"/>
      <c r="G81" s="201"/>
      <c r="H81" s="201"/>
      <c r="I81" s="201"/>
      <c r="M81" s="201"/>
      <c r="N81" s="201"/>
      <c r="O81" s="201"/>
      <c r="P81" s="201"/>
      <c r="Q81" s="201"/>
      <c r="R81" s="201"/>
    </row>
    <row r="82" spans="2:18" s="21" customFormat="1">
      <c r="B82" s="14"/>
      <c r="C82" s="13"/>
      <c r="D82" s="201"/>
      <c r="E82" s="201"/>
      <c r="F82" s="201"/>
      <c r="G82" s="201"/>
      <c r="H82" s="201"/>
      <c r="I82" s="201"/>
      <c r="M82" s="201"/>
      <c r="N82" s="201"/>
      <c r="O82" s="201"/>
      <c r="P82" s="201"/>
      <c r="Q82" s="201"/>
      <c r="R82" s="201"/>
    </row>
    <row r="83" spans="2:18" s="21" customFormat="1">
      <c r="B83" s="14"/>
      <c r="C83" s="13"/>
      <c r="D83" s="205"/>
      <c r="E83" s="234"/>
      <c r="F83" s="201"/>
      <c r="G83" s="201"/>
      <c r="H83" s="201"/>
      <c r="I83" s="201"/>
      <c r="M83" s="205"/>
      <c r="N83" s="234"/>
      <c r="O83" s="201"/>
      <c r="P83" s="201"/>
      <c r="Q83" s="201"/>
      <c r="R83" s="201"/>
    </row>
    <row r="84" spans="2:18" s="21" customFormat="1">
      <c r="B84" s="14"/>
      <c r="C84" s="13"/>
      <c r="D84" s="202"/>
      <c r="E84" s="234"/>
      <c r="F84" s="201"/>
      <c r="G84" s="201"/>
      <c r="H84" s="201"/>
      <c r="I84" s="201"/>
      <c r="M84" s="202"/>
      <c r="N84" s="234"/>
      <c r="O84" s="201"/>
      <c r="P84" s="201"/>
      <c r="Q84" s="201"/>
      <c r="R84" s="201"/>
    </row>
    <row r="85" spans="2:18" s="21" customFormat="1">
      <c r="B85" s="14"/>
      <c r="C85" s="13"/>
      <c r="D85" s="201"/>
      <c r="E85" s="234"/>
      <c r="F85" s="201"/>
      <c r="G85" s="201"/>
      <c r="H85" s="201"/>
      <c r="I85" s="201"/>
      <c r="M85" s="201"/>
      <c r="N85" s="234"/>
      <c r="O85" s="201"/>
      <c r="P85" s="201"/>
      <c r="Q85" s="201"/>
      <c r="R85" s="201"/>
    </row>
    <row r="86" spans="2:18" s="21" customFormat="1" ht="14">
      <c r="B86" s="201"/>
      <c r="C86" s="202"/>
      <c r="D86" s="207"/>
      <c r="E86" s="207"/>
      <c r="F86" s="207"/>
      <c r="G86" s="207"/>
      <c r="H86" s="207"/>
      <c r="I86" s="207"/>
      <c r="M86" s="207"/>
      <c r="N86" s="207"/>
      <c r="O86" s="207"/>
      <c r="P86" s="207"/>
      <c r="Q86" s="207"/>
      <c r="R86" s="207"/>
    </row>
    <row r="87" spans="2:18" s="21" customFormat="1" ht="14">
      <c r="B87" s="101"/>
      <c r="C87" s="101"/>
      <c r="D87" s="207"/>
      <c r="E87" s="207"/>
      <c r="F87" s="207"/>
      <c r="G87" s="207"/>
      <c r="H87" s="207"/>
      <c r="I87" s="207"/>
      <c r="M87" s="207"/>
      <c r="N87" s="207"/>
      <c r="O87" s="207"/>
      <c r="P87" s="207"/>
      <c r="Q87" s="207"/>
      <c r="R87" s="207"/>
    </row>
    <row r="88" spans="2:18" s="21" customFormat="1" ht="14">
      <c r="B88" s="101"/>
      <c r="C88" s="101"/>
      <c r="D88" s="208"/>
      <c r="E88" s="235"/>
      <c r="F88" s="207"/>
      <c r="G88" s="207"/>
      <c r="H88" s="207"/>
      <c r="I88" s="207"/>
      <c r="M88" s="208"/>
      <c r="N88" s="235"/>
      <c r="O88" s="207"/>
      <c r="P88" s="207"/>
      <c r="Q88" s="207"/>
      <c r="R88" s="207"/>
    </row>
    <row r="89" spans="2:18" s="21" customFormat="1" ht="14">
      <c r="B89" s="205"/>
      <c r="C89" s="234"/>
      <c r="D89" s="210"/>
      <c r="E89" s="235"/>
      <c r="F89" s="207"/>
      <c r="G89" s="207"/>
      <c r="H89" s="207"/>
      <c r="I89" s="207"/>
      <c r="M89" s="210"/>
      <c r="N89" s="235"/>
      <c r="O89" s="207"/>
      <c r="P89" s="207"/>
      <c r="Q89" s="207"/>
      <c r="R89" s="207"/>
    </row>
    <row r="90" spans="2:18" s="21" customFormat="1" ht="14">
      <c r="B90" s="211"/>
      <c r="C90" s="234"/>
      <c r="D90" s="207"/>
      <c r="E90" s="235"/>
      <c r="F90" s="207"/>
      <c r="G90" s="207"/>
      <c r="H90" s="207"/>
      <c r="I90" s="207"/>
      <c r="M90" s="207"/>
      <c r="N90" s="235"/>
      <c r="O90" s="207"/>
      <c r="P90" s="207"/>
      <c r="Q90" s="207"/>
      <c r="R90" s="207"/>
    </row>
    <row r="91" spans="2:18" s="21" customFormat="1">
      <c r="C91" s="234"/>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06" customWidth="1"/>
    <col min="4" max="4" width="19" style="106" customWidth="1"/>
    <col min="5" max="5" width="4.81640625" style="106" customWidth="1"/>
    <col min="6" max="6" width="23.1796875" style="106" customWidth="1"/>
    <col min="7" max="7" width="4.81640625" style="106" customWidth="1"/>
    <col min="8" max="8" width="18.81640625" style="106" customWidth="1"/>
    <col min="9" max="9" width="4.81640625" style="106" customWidth="1"/>
    <col min="10" max="10" width="25.81640625" style="106" customWidth="1"/>
    <col min="11" max="11" width="1.1796875" style="106" customWidth="1"/>
    <col min="12" max="12" width="11.54296875" style="106" bestFit="1" customWidth="1"/>
    <col min="13" max="16384" width="9.1796875" style="106"/>
  </cols>
  <sheetData>
    <row r="1" spans="1:13" ht="6" customHeight="1">
      <c r="A1" s="103"/>
      <c r="B1" s="104"/>
      <c r="C1" s="104"/>
      <c r="D1" s="104"/>
      <c r="E1" s="104"/>
      <c r="F1" s="104"/>
      <c r="G1" s="104"/>
      <c r="H1" s="104"/>
      <c r="I1" s="104"/>
      <c r="J1" s="104"/>
      <c r="K1" s="105"/>
    </row>
    <row r="2" spans="1:13" ht="18">
      <c r="A2" s="107"/>
      <c r="B2" s="108" t="str">
        <f>'Cover Sheet'!B2</f>
        <v>SC Germany Consumer 2020-1</v>
      </c>
      <c r="C2" s="902"/>
      <c r="D2" s="109" t="str">
        <f>'Cover Sheet'!D2</f>
        <v>Calculation Date</v>
      </c>
      <c r="E2" s="110"/>
      <c r="F2" s="111">
        <f>'Cover Sheet'!F2</f>
        <v>45820</v>
      </c>
      <c r="G2" s="110"/>
      <c r="H2" s="110"/>
      <c r="I2" s="110"/>
      <c r="J2" s="112"/>
      <c r="K2" s="113"/>
      <c r="L2" s="903"/>
    </row>
    <row r="3" spans="1:13" ht="18">
      <c r="A3" s="107"/>
      <c r="B3" s="108" t="str">
        <f>'Cover Sheet'!B3</f>
        <v>Monthly Investor Report</v>
      </c>
      <c r="C3" s="902"/>
      <c r="D3" s="115" t="str">
        <f>'Cover Sheet'!D3</f>
        <v>Payment Date</v>
      </c>
      <c r="E3" s="116"/>
      <c r="F3" s="117">
        <f>'Cover Sheet'!F3</f>
        <v>45824</v>
      </c>
      <c r="G3" s="116"/>
      <c r="H3" s="116"/>
      <c r="I3" s="116"/>
      <c r="J3" s="118"/>
      <c r="K3" s="113"/>
      <c r="L3" s="904"/>
    </row>
    <row r="4" spans="1:13" ht="13">
      <c r="A4" s="107"/>
      <c r="B4" s="160"/>
      <c r="C4" s="119"/>
      <c r="D4" s="115" t="str">
        <f>'Cover Sheet'!D4</f>
        <v>Period  No</v>
      </c>
      <c r="E4" s="116"/>
      <c r="F4" s="120">
        <f>'Cover Sheet'!F4</f>
        <v>55</v>
      </c>
      <c r="G4" s="116"/>
      <c r="H4" s="917">
        <f>F4-1</f>
        <v>54</v>
      </c>
      <c r="I4" s="116"/>
      <c r="J4" s="122"/>
      <c r="K4" s="113"/>
      <c r="L4" s="903"/>
    </row>
    <row r="5" spans="1:13" ht="18">
      <c r="A5" s="107"/>
      <c r="B5" s="123" t="s">
        <v>32</v>
      </c>
      <c r="C5" s="905"/>
      <c r="D5" s="115" t="str">
        <f>'Cover Sheet'!D5</f>
        <v>Monthly Period</v>
      </c>
      <c r="E5" s="116"/>
      <c r="F5" s="124">
        <f>'Cover Sheet'!F5</f>
        <v>45824</v>
      </c>
      <c r="G5" s="116"/>
      <c r="H5" s="121"/>
      <c r="I5" s="116"/>
      <c r="J5" s="122"/>
      <c r="K5" s="113"/>
      <c r="L5" s="904"/>
    </row>
    <row r="6" spans="1:13"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ht="13">
      <c r="A7" s="107"/>
      <c r="B7" s="906"/>
      <c r="C7" s="906"/>
      <c r="D7" s="130" t="str">
        <f>'Cover Sheet'!D7</f>
        <v>Collection Period</v>
      </c>
      <c r="E7" s="131" t="str">
        <f>'Cover Sheet'!E7</f>
        <v>from</v>
      </c>
      <c r="F7" s="132" t="str">
        <f>'Cover Sheet'!F7</f>
        <v>01.05.2025</v>
      </c>
      <c r="G7" s="131" t="str">
        <f>'Cover Sheet'!G7</f>
        <v>to</v>
      </c>
      <c r="H7" s="132">
        <f>'Cover Sheet'!H7</f>
        <v>45808</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t="s">
        <v>101</v>
      </c>
      <c r="G11" s="136"/>
      <c r="H11" s="137"/>
      <c r="I11" s="101"/>
      <c r="J11" s="136" t="s">
        <v>102</v>
      </c>
      <c r="K11" s="113"/>
    </row>
    <row r="12" spans="1:13">
      <c r="A12" s="107"/>
      <c r="B12" s="101"/>
      <c r="C12" s="101"/>
      <c r="D12" s="101"/>
      <c r="E12" s="101"/>
      <c r="F12" s="101"/>
      <c r="G12" s="101"/>
      <c r="H12" s="101"/>
      <c r="I12" s="101"/>
      <c r="J12" s="101"/>
      <c r="K12" s="113"/>
    </row>
    <row r="13" spans="1:13" ht="26">
      <c r="A13" s="107"/>
      <c r="B13" s="108" t="s">
        <v>52</v>
      </c>
      <c r="C13" s="907" t="s">
        <v>109</v>
      </c>
      <c r="E13" s="139"/>
      <c r="F13" s="907" t="s">
        <v>103</v>
      </c>
      <c r="G13" s="101"/>
      <c r="H13" s="101"/>
      <c r="I13" s="101"/>
      <c r="J13" s="907" t="s">
        <v>103</v>
      </c>
      <c r="K13" s="113"/>
      <c r="L13" s="908"/>
    </row>
    <row r="14" spans="1:13" ht="18">
      <c r="A14" s="107"/>
      <c r="B14" s="108"/>
      <c r="C14" s="907"/>
      <c r="E14" s="139"/>
      <c r="F14" s="918"/>
      <c r="G14" s="101"/>
      <c r="H14" s="101"/>
      <c r="I14" s="101"/>
      <c r="J14" s="909"/>
      <c r="K14" s="113"/>
    </row>
    <row r="15" spans="1:13" ht="13">
      <c r="A15" s="107"/>
      <c r="B15" s="100" t="s">
        <v>13</v>
      </c>
      <c r="C15" s="516">
        <f>VLOOKUP("Nbr_loans_bop",Assets_20,3,0)</f>
        <v>44140</v>
      </c>
      <c r="D15" s="68"/>
      <c r="E15" s="100"/>
      <c r="F15" s="919">
        <f>VLOOKUP("Outstanding_bop_current",calcdata_20,2,FALSE)</f>
        <v>310618786.55999994</v>
      </c>
      <c r="G15" s="910"/>
      <c r="H15" s="910"/>
      <c r="I15" s="910"/>
      <c r="J15" s="911">
        <f>VLOOKUP("Outstanding_bop_previous",calcdata_20,2,FALSE)</f>
        <v>325648786.45999998</v>
      </c>
      <c r="K15" s="113"/>
    </row>
    <row r="16" spans="1:13" ht="13">
      <c r="A16" s="107"/>
      <c r="F16" s="920"/>
      <c r="G16" s="896"/>
      <c r="H16" s="896"/>
      <c r="I16" s="896"/>
      <c r="J16" s="895"/>
      <c r="K16" s="113"/>
    </row>
    <row r="17" spans="1:11">
      <c r="A17" s="107"/>
      <c r="B17" s="101" t="s">
        <v>37</v>
      </c>
      <c r="C17" s="921"/>
      <c r="E17" s="101"/>
      <c r="F17" s="315">
        <f>F20-F18</f>
        <v>9917370.9099999983</v>
      </c>
      <c r="G17" s="55"/>
      <c r="H17" s="55"/>
      <c r="I17" s="55"/>
      <c r="J17" s="315">
        <f>J20-J18</f>
        <v>10053480.15</v>
      </c>
      <c r="K17" s="113"/>
    </row>
    <row r="18" spans="1:11">
      <c r="A18" s="107"/>
      <c r="B18" s="101" t="s">
        <v>38</v>
      </c>
      <c r="C18" s="101"/>
      <c r="E18" s="101"/>
      <c r="F18" s="315">
        <f>VLOOKUP(F4,'1.1 Portfolio Information p.p.'!B:E,4,FALSE)</f>
        <v>3495609.4899999998</v>
      </c>
      <c r="G18" s="55"/>
      <c r="H18" s="922"/>
      <c r="I18" s="55"/>
      <c r="J18" s="315">
        <f>VLOOKUP(H4,'1.1 Portfolio Information p.p.'!B:E,4,FALSE)</f>
        <v>4073198.3400000003</v>
      </c>
      <c r="K18" s="113"/>
    </row>
    <row r="19" spans="1:11" ht="13">
      <c r="A19" s="107"/>
      <c r="B19" s="101"/>
      <c r="C19" s="101"/>
      <c r="E19" s="101"/>
      <c r="F19" s="898"/>
      <c r="G19" s="896"/>
      <c r="H19" s="896"/>
      <c r="I19" s="896"/>
      <c r="J19" s="895"/>
      <c r="K19" s="113"/>
    </row>
    <row r="20" spans="1:11" ht="13">
      <c r="A20" s="107"/>
      <c r="B20" s="100" t="s">
        <v>39</v>
      </c>
      <c r="C20" s="921"/>
      <c r="E20" s="101"/>
      <c r="F20" s="923">
        <f>VLOOKUP("Total_Principal_Collections_current",calcdata_20,2,FALSE)</f>
        <v>13412980.399999999</v>
      </c>
      <c r="G20" s="896"/>
      <c r="H20" s="896"/>
      <c r="I20" s="896"/>
      <c r="J20" s="895">
        <f>VLOOKUP("Total_Principal_Collections_previous",calcdata_20,2,FALSE)</f>
        <v>14126678.49</v>
      </c>
      <c r="K20" s="113"/>
    </row>
    <row r="21" spans="1:11" ht="13">
      <c r="A21" s="107"/>
      <c r="E21" s="101"/>
      <c r="F21" s="920"/>
      <c r="G21" s="896"/>
      <c r="H21" s="896"/>
      <c r="I21" s="896"/>
      <c r="J21" s="895"/>
      <c r="K21" s="113"/>
    </row>
    <row r="22" spans="1:11" ht="13">
      <c r="A22" s="107"/>
      <c r="B22" s="100" t="s">
        <v>40</v>
      </c>
      <c r="C22" s="924"/>
      <c r="E22" s="101"/>
      <c r="F22" s="923">
        <f>VLOOKUP("Collected_Interest_Portion_current",calcdata_20,2,FALSE)</f>
        <v>1376611.35</v>
      </c>
      <c r="G22" s="896"/>
      <c r="H22" s="896"/>
      <c r="I22" s="896"/>
      <c r="J22" s="895">
        <f>VLOOKUP("Collected_Interest_Portion_previous",calcdata_20,2,FALSE)</f>
        <v>1443068.25</v>
      </c>
      <c r="K22" s="113"/>
    </row>
    <row r="23" spans="1:11" ht="13">
      <c r="A23" s="107"/>
      <c r="B23" s="100"/>
      <c r="C23" s="924"/>
      <c r="E23" s="101"/>
      <c r="F23" s="923"/>
      <c r="G23" s="896"/>
      <c r="H23" s="896"/>
      <c r="I23" s="896"/>
      <c r="J23" s="895"/>
      <c r="K23" s="113"/>
    </row>
    <row r="24" spans="1:11" ht="13">
      <c r="A24" s="107"/>
      <c r="B24" s="100" t="s">
        <v>41</v>
      </c>
      <c r="C24" s="921"/>
      <c r="E24" s="101"/>
      <c r="F24" s="923">
        <f>VLOOKUP("Defaults_current",calcdata_20,2,FALSE)</f>
        <v>877657.75</v>
      </c>
      <c r="G24" s="896"/>
      <c r="H24" s="896"/>
      <c r="I24" s="896"/>
      <c r="J24" s="895">
        <f>VLOOKUP("Defaults_previous",calcdata_20,2,FALSE)</f>
        <v>903321.41</v>
      </c>
      <c r="K24" s="113"/>
    </row>
    <row r="25" spans="1:11" ht="13">
      <c r="A25" s="107"/>
      <c r="B25" s="100"/>
      <c r="C25" s="921"/>
      <c r="E25" s="101"/>
      <c r="F25" s="923"/>
      <c r="G25" s="896"/>
      <c r="H25" s="896"/>
      <c r="I25" s="896"/>
      <c r="J25" s="895"/>
      <c r="K25" s="113"/>
    </row>
    <row r="26" spans="1:11" ht="13">
      <c r="A26" s="107"/>
      <c r="B26" s="100" t="s">
        <v>146</v>
      </c>
      <c r="C26" s="921"/>
      <c r="E26" s="101"/>
      <c r="F26" s="923">
        <f>VLOOKUP("Replenishment_current",calcdata_20,2,FALSE)</f>
        <v>0</v>
      </c>
      <c r="G26" s="896"/>
      <c r="H26" s="896"/>
      <c r="I26" s="896"/>
      <c r="J26" s="895">
        <f>VLOOKUP("Replenishment_previous",calcdata_20,2,FALSE)</f>
        <v>0</v>
      </c>
      <c r="K26" s="113"/>
    </row>
    <row r="27" spans="1:11" ht="13">
      <c r="A27" s="107"/>
      <c r="B27" s="145"/>
      <c r="C27" s="101"/>
      <c r="E27" s="101"/>
      <c r="F27" s="898"/>
      <c r="G27" s="896"/>
      <c r="H27" s="896"/>
      <c r="I27" s="896"/>
      <c r="J27" s="895"/>
      <c r="K27" s="113"/>
    </row>
    <row r="28" spans="1:11" s="68" customFormat="1" ht="13">
      <c r="A28" s="912"/>
      <c r="B28" s="100" t="s">
        <v>14</v>
      </c>
      <c r="C28" s="925"/>
      <c r="E28" s="100"/>
      <c r="F28" s="926">
        <f>VLOOKUP("Outstanding_eop_current",calcdata_20,2,FALSE)</f>
        <v>296328148.40999991</v>
      </c>
      <c r="G28" s="913"/>
      <c r="H28" s="913"/>
      <c r="I28" s="913"/>
      <c r="J28" s="926">
        <f>VLOOKUP("Outstanding_eop_previous",calcdata_20,2,FALSE)</f>
        <v>310618786.55999994</v>
      </c>
      <c r="K28" s="170"/>
    </row>
    <row r="29" spans="1:11" s="68" customFormat="1" ht="13">
      <c r="A29" s="912"/>
      <c r="B29" s="100"/>
      <c r="C29" s="100"/>
      <c r="E29" s="100"/>
      <c r="F29" s="898"/>
      <c r="G29" s="910"/>
      <c r="H29" s="910"/>
      <c r="I29" s="910"/>
      <c r="J29" s="895"/>
      <c r="K29" s="170"/>
    </row>
    <row r="30" spans="1:11" s="68" customFormat="1" ht="13">
      <c r="A30" s="912"/>
      <c r="B30" s="100" t="s">
        <v>147</v>
      </c>
      <c r="C30" s="100"/>
      <c r="E30" s="100"/>
      <c r="F30" s="923">
        <f>VLOOKUP("Purchase_shortfall_current",calcdata_20,2,FALSE)</f>
        <v>160.43999998038635</v>
      </c>
      <c r="G30" s="910"/>
      <c r="H30" s="910"/>
      <c r="I30" s="910"/>
      <c r="J30" s="895">
        <f>VLOOKUP("Purchase_shortfall_previous",calcdata_20,2,FALSE)</f>
        <v>5.339999983261805</v>
      </c>
      <c r="K30" s="170"/>
    </row>
    <row r="31" spans="1:11">
      <c r="A31" s="107"/>
      <c r="F31" s="920"/>
      <c r="G31" s="927"/>
      <c r="H31" s="927"/>
      <c r="I31" s="927"/>
      <c r="J31" s="920"/>
      <c r="K31" s="113"/>
    </row>
    <row r="32" spans="1:11" ht="13">
      <c r="A32" s="107"/>
      <c r="B32" s="68" t="s">
        <v>148</v>
      </c>
      <c r="C32" s="952">
        <f>VLOOKUP("Total",'7. Current Principal Balance'!D:G,4,FALSE)</f>
        <v>42773</v>
      </c>
      <c r="F32" s="898">
        <f>VLOOKUP("total_assets_current",calcdata_20,2,FALSE)</f>
        <v>296328308.8499999</v>
      </c>
      <c r="G32" s="927"/>
      <c r="H32" s="927"/>
      <c r="I32" s="927"/>
      <c r="J32" s="940">
        <f>VLOOKUP("total_assets_previous",calcdata_20,2,FALSE)</f>
        <v>310618791.89999992</v>
      </c>
      <c r="K32" s="113"/>
    </row>
    <row r="33" spans="1:11">
      <c r="A33" s="107"/>
      <c r="F33" s="918"/>
      <c r="K33" s="113"/>
    </row>
    <row r="34" spans="1:11" ht="13">
      <c r="A34" s="107"/>
      <c r="B34" s="100" t="s">
        <v>9</v>
      </c>
      <c r="C34" s="101"/>
      <c r="E34" s="101"/>
      <c r="F34" s="897">
        <f>IF(F15=0,0,1-(1-(F18/F15))^12)</f>
        <v>0.12699149349979932</v>
      </c>
      <c r="G34" s="101"/>
      <c r="H34" s="101"/>
      <c r="I34" s="101"/>
      <c r="J34" s="160"/>
      <c r="K34" s="113"/>
    </row>
    <row r="35" spans="1:11">
      <c r="A35" s="107"/>
      <c r="F35" s="918"/>
      <c r="J35" s="918"/>
      <c r="K35" s="113"/>
    </row>
    <row r="36" spans="1:11" ht="13">
      <c r="A36" s="107"/>
      <c r="B36" s="68" t="s">
        <v>352</v>
      </c>
      <c r="F36" s="897">
        <f>'5. Outstanding Notes'!C35</f>
        <v>0.14212683825000011</v>
      </c>
      <c r="J36" s="918"/>
      <c r="K36" s="113"/>
    </row>
    <row r="37" spans="1:11">
      <c r="A37" s="107"/>
      <c r="F37" s="918"/>
      <c r="J37" s="918"/>
      <c r="K37" s="113"/>
    </row>
    <row r="38" spans="1:11">
      <c r="A38" s="107"/>
      <c r="F38" s="918"/>
      <c r="J38" s="918"/>
      <c r="K38" s="113"/>
    </row>
    <row r="39" spans="1:11">
      <c r="A39" s="107"/>
      <c r="F39" s="918"/>
      <c r="J39" s="918"/>
      <c r="K39" s="113"/>
    </row>
    <row r="40" spans="1:11">
      <c r="A40" s="107"/>
      <c r="F40" s="918"/>
      <c r="J40" s="918"/>
      <c r="K40" s="113"/>
    </row>
    <row r="41" spans="1:11">
      <c r="A41" s="107"/>
      <c r="F41" s="918"/>
      <c r="J41" s="918"/>
      <c r="K41" s="113"/>
    </row>
    <row r="42" spans="1:11">
      <c r="A42" s="107"/>
      <c r="F42" s="918"/>
      <c r="J42" s="918"/>
      <c r="K42" s="113"/>
    </row>
    <row r="43" spans="1:11">
      <c r="A43" s="107"/>
      <c r="F43" s="918"/>
      <c r="J43" s="918"/>
      <c r="K43" s="113"/>
    </row>
    <row r="44" spans="1:11">
      <c r="A44" s="107"/>
      <c r="J44" s="918"/>
      <c r="K44" s="113"/>
    </row>
    <row r="45" spans="1:11">
      <c r="A45" s="107"/>
      <c r="J45" s="918"/>
      <c r="K45" s="113"/>
    </row>
    <row r="46" spans="1:11">
      <c r="A46" s="107"/>
      <c r="J46" s="918"/>
      <c r="K46" s="113"/>
    </row>
    <row r="47" spans="1:11">
      <c r="A47" s="107"/>
      <c r="J47" s="918"/>
      <c r="K47" s="113"/>
    </row>
    <row r="48" spans="1:11">
      <c r="A48" s="107"/>
      <c r="J48" s="918"/>
      <c r="K48" s="113"/>
    </row>
    <row r="49" spans="1:11">
      <c r="A49" s="107"/>
      <c r="J49" s="918"/>
      <c r="K49" s="113"/>
    </row>
    <row r="50" spans="1:11">
      <c r="A50" s="107"/>
      <c r="J50" s="918"/>
      <c r="K50" s="113"/>
    </row>
    <row r="51" spans="1:11" ht="12.75" customHeight="1">
      <c r="A51" s="148"/>
      <c r="B51" s="150"/>
      <c r="C51" s="150"/>
      <c r="D51" s="150"/>
      <c r="E51" s="150"/>
      <c r="F51" s="150"/>
      <c r="G51" s="150"/>
      <c r="H51" s="150"/>
      <c r="I51" s="150"/>
      <c r="J51" s="150"/>
      <c r="K51" s="151"/>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3" customWidth="1"/>
    <col min="2" max="2" width="25" style="403" customWidth="1"/>
    <col min="3" max="3" width="23" style="403" customWidth="1"/>
    <col min="4" max="4" width="22.81640625" style="403" bestFit="1" customWidth="1"/>
    <col min="5" max="5" width="15.81640625" style="403" customWidth="1"/>
    <col min="6" max="7" width="22.81640625" style="403" bestFit="1" customWidth="1"/>
    <col min="8" max="8" width="21.54296875" style="403" customWidth="1"/>
    <col min="9" max="10" width="22.81640625" style="403" bestFit="1" customWidth="1"/>
    <col min="11" max="11" width="1.54296875" style="403" customWidth="1"/>
    <col min="12" max="12" width="1.453125" style="403" customWidth="1"/>
    <col min="13" max="13" width="18.81640625" style="403" customWidth="1"/>
    <col min="14" max="14" width="2" style="403" customWidth="1"/>
    <col min="15" max="16384" width="9.1796875" style="403"/>
  </cols>
  <sheetData>
    <row r="1" spans="1:14" ht="6" customHeight="1">
      <c r="A1" s="399"/>
      <c r="B1" s="400"/>
      <c r="C1" s="400"/>
      <c r="D1" s="400"/>
      <c r="E1" s="400"/>
      <c r="F1" s="400"/>
      <c r="G1" s="400"/>
      <c r="H1" s="400"/>
      <c r="I1" s="400"/>
      <c r="J1" s="400"/>
      <c r="K1" s="401"/>
      <c r="L1" s="402"/>
    </row>
    <row r="2" spans="1:14" ht="18">
      <c r="A2" s="402"/>
      <c r="B2" s="404" t="str">
        <f>'Cover Sheet'!B2</f>
        <v>SC Germany Consumer 2020-1</v>
      </c>
      <c r="C2" s="405"/>
      <c r="D2" s="406" t="str">
        <f>'Cover Sheet'!D2</f>
        <v>Calculation Date</v>
      </c>
      <c r="E2" s="407"/>
      <c r="F2" s="408">
        <f>'Cover Sheet'!F2</f>
        <v>45820</v>
      </c>
      <c r="G2" s="407"/>
      <c r="H2" s="407"/>
      <c r="I2" s="407"/>
      <c r="J2" s="409"/>
      <c r="K2" s="410"/>
      <c r="L2" s="411"/>
    </row>
    <row r="3" spans="1:14" ht="18">
      <c r="A3" s="402"/>
      <c r="B3" s="412" t="str">
        <f>'Cover Sheet'!B3</f>
        <v>Monthly Investor Report</v>
      </c>
      <c r="C3" s="413"/>
      <c r="D3" s="414" t="str">
        <f>'Cover Sheet'!D3</f>
        <v>Payment Date</v>
      </c>
      <c r="E3" s="415"/>
      <c r="F3" s="416">
        <f>'Cover Sheet'!F3</f>
        <v>45824</v>
      </c>
      <c r="G3" s="415"/>
      <c r="H3" s="415"/>
      <c r="I3" s="415"/>
      <c r="J3" s="417"/>
      <c r="K3" s="410"/>
      <c r="L3" s="411"/>
    </row>
    <row r="4" spans="1:14">
      <c r="A4" s="402"/>
      <c r="B4" s="418"/>
      <c r="C4" s="419"/>
      <c r="D4" s="414" t="str">
        <f>'Cover Sheet'!D4</f>
        <v>Period  No</v>
      </c>
      <c r="E4" s="415"/>
      <c r="F4" s="420">
        <f>'Cover Sheet'!F4</f>
        <v>55</v>
      </c>
      <c r="G4" s="415"/>
      <c r="H4" s="421"/>
      <c r="I4" s="415"/>
      <c r="J4" s="417"/>
      <c r="K4" s="422"/>
      <c r="L4" s="423"/>
    </row>
    <row r="5" spans="1:14" ht="18">
      <c r="A5" s="402"/>
      <c r="B5" s="424" t="s">
        <v>460</v>
      </c>
      <c r="C5" s="425"/>
      <c r="D5" s="414" t="str">
        <f>'Cover Sheet'!D5</f>
        <v>Monthly Period</v>
      </c>
      <c r="E5" s="415"/>
      <c r="F5" s="124">
        <f>'Cover Sheet'!F5</f>
        <v>45824</v>
      </c>
      <c r="G5" s="415"/>
      <c r="H5" s="421"/>
      <c r="I5" s="415"/>
      <c r="J5" s="417"/>
      <c r="K5" s="422"/>
      <c r="L5" s="423"/>
    </row>
    <row r="6" spans="1:14" s="433" customFormat="1" ht="15" customHeight="1">
      <c r="A6" s="402"/>
      <c r="B6" s="426"/>
      <c r="C6" s="427"/>
      <c r="D6" s="414" t="str">
        <f>'Cover Sheet'!D6</f>
        <v>Interest Period</v>
      </c>
      <c r="E6" s="428" t="str">
        <f>'Cover Sheet'!E6</f>
        <v>from</v>
      </c>
      <c r="F6" s="416">
        <f>'Cover Sheet'!F6</f>
        <v>45791</v>
      </c>
      <c r="G6" s="428" t="str">
        <f>'Cover Sheet'!G6</f>
        <v>to</v>
      </c>
      <c r="H6" s="416">
        <f>'Cover Sheet'!H6</f>
        <v>45824</v>
      </c>
      <c r="I6" s="428" t="str">
        <f>'Cover Sheet'!I6</f>
        <v>=</v>
      </c>
      <c r="J6" s="429" t="str">
        <f>'Cover Sheet'!J6</f>
        <v>33 days</v>
      </c>
      <c r="K6" s="430"/>
      <c r="L6" s="431"/>
      <c r="M6" s="403"/>
      <c r="N6" s="432"/>
    </row>
    <row r="7" spans="1:14">
      <c r="A7" s="402"/>
      <c r="B7" s="107"/>
      <c r="D7" s="434" t="str">
        <f>'Cover Sheet'!D7</f>
        <v>Collection Period</v>
      </c>
      <c r="E7" s="435" t="str">
        <f>'Cover Sheet'!E7</f>
        <v>from</v>
      </c>
      <c r="F7" s="436" t="str">
        <f>'Cover Sheet'!F7</f>
        <v>01.05.2025</v>
      </c>
      <c r="G7" s="435" t="str">
        <f>'Cover Sheet'!G7</f>
        <v>to</v>
      </c>
      <c r="H7" s="436">
        <f>'Cover Sheet'!H7</f>
        <v>45808</v>
      </c>
      <c r="I7" s="437"/>
      <c r="J7" s="438"/>
      <c r="K7" s="410"/>
      <c r="L7" s="411"/>
    </row>
    <row r="8" spans="1:14" ht="13">
      <c r="A8" s="402"/>
      <c r="B8" s="402"/>
      <c r="F8" s="439"/>
      <c r="G8" s="440"/>
      <c r="H8" s="441"/>
      <c r="J8" s="442"/>
      <c r="K8" s="443"/>
      <c r="L8" s="444"/>
      <c r="M8" s="432"/>
    </row>
    <row r="9" spans="1:14">
      <c r="A9" s="402"/>
      <c r="B9" s="402"/>
      <c r="F9" s="419"/>
      <c r="J9" s="443"/>
      <c r="K9" s="443"/>
      <c r="L9" s="402"/>
    </row>
    <row r="10" spans="1:14">
      <c r="A10" s="402"/>
      <c r="B10" s="402"/>
      <c r="F10" s="445"/>
      <c r="J10" s="443"/>
      <c r="K10" s="443"/>
      <c r="L10" s="402"/>
    </row>
    <row r="11" spans="1:14" ht="18" customHeight="1">
      <c r="A11" s="402"/>
      <c r="B11" s="402"/>
      <c r="F11" s="419"/>
      <c r="J11" s="443"/>
      <c r="K11" s="443"/>
      <c r="L11" s="402"/>
    </row>
    <row r="12" spans="1:14">
      <c r="A12" s="402"/>
      <c r="B12" s="402"/>
      <c r="F12" s="419"/>
      <c r="J12" s="443"/>
      <c r="K12" s="443"/>
      <c r="L12" s="402"/>
    </row>
    <row r="13" spans="1:14">
      <c r="A13" s="402"/>
      <c r="B13" s="402"/>
      <c r="F13" s="446"/>
      <c r="J13" s="410"/>
      <c r="K13" s="410"/>
      <c r="L13" s="411"/>
      <c r="M13" s="447"/>
    </row>
    <row r="14" spans="1:14" ht="18">
      <c r="A14" s="402"/>
      <c r="B14" s="448" t="s">
        <v>407</v>
      </c>
      <c r="C14" s="449"/>
      <c r="D14" s="450"/>
      <c r="E14" s="450"/>
      <c r="F14" s="451"/>
      <c r="G14" s="451"/>
      <c r="H14" s="452"/>
      <c r="J14" s="453"/>
      <c r="K14" s="410"/>
      <c r="L14" s="454"/>
      <c r="M14" s="450"/>
    </row>
    <row r="15" spans="1:14" ht="12.75" customHeight="1">
      <c r="A15" s="402"/>
      <c r="B15" s="412"/>
      <c r="C15" s="449"/>
      <c r="D15" s="455"/>
      <c r="E15" s="447"/>
      <c r="F15" s="456"/>
      <c r="G15" s="447"/>
      <c r="H15" s="456"/>
      <c r="I15" s="447"/>
      <c r="J15" s="457"/>
      <c r="K15" s="410"/>
      <c r="L15" s="411"/>
      <c r="M15" s="450"/>
    </row>
    <row r="16" spans="1:14" ht="13" thickBot="1">
      <c r="A16" s="402"/>
      <c r="B16" s="458"/>
      <c r="F16" s="456"/>
      <c r="H16" s="459"/>
      <c r="I16" s="447"/>
      <c r="J16" s="457"/>
      <c r="K16" s="410"/>
      <c r="L16" s="411"/>
      <c r="M16" s="447"/>
    </row>
    <row r="17" spans="1:13" ht="15" customHeight="1">
      <c r="A17" s="402"/>
      <c r="B17" s="402"/>
      <c r="C17" s="975" t="s">
        <v>115</v>
      </c>
      <c r="D17" s="978" t="s">
        <v>408</v>
      </c>
      <c r="E17" s="460"/>
      <c r="F17" s="975" t="s">
        <v>115</v>
      </c>
      <c r="G17" s="978" t="s">
        <v>408</v>
      </c>
      <c r="H17" s="432"/>
      <c r="I17" s="447"/>
      <c r="J17" s="457"/>
      <c r="K17" s="410"/>
      <c r="L17" s="461"/>
      <c r="M17" s="447"/>
    </row>
    <row r="18" spans="1:13" ht="13.5" customHeight="1" thickBot="1">
      <c r="A18" s="402"/>
      <c r="B18" s="402"/>
      <c r="C18" s="976"/>
      <c r="D18" s="979"/>
      <c r="E18" s="440"/>
      <c r="F18" s="976"/>
      <c r="G18" s="979"/>
      <c r="H18" s="440"/>
      <c r="I18" s="447"/>
      <c r="J18" s="457"/>
      <c r="K18" s="457"/>
      <c r="L18" s="462"/>
      <c r="M18" s="447"/>
    </row>
    <row r="19" spans="1:13" ht="13">
      <c r="A19" s="402"/>
      <c r="B19" s="402"/>
      <c r="C19" s="463">
        <v>1</v>
      </c>
      <c r="D19" s="464">
        <f t="shared" ref="D19:D50" si="0">VLOOKUP(CONCATENATE("period_",$C19),Assets_20,3,0)</f>
        <v>296328148.40999997</v>
      </c>
      <c r="E19" s="440"/>
      <c r="F19" s="463">
        <v>51</v>
      </c>
      <c r="G19" s="464">
        <f t="shared" ref="G19:G50" si="1">VLOOKUP(CONCATENATE("period_",$F19),Assets_20,3,0)</f>
        <v>2137688.6</v>
      </c>
      <c r="H19" s="440"/>
      <c r="I19" s="447"/>
      <c r="J19" s="457"/>
      <c r="K19" s="457"/>
      <c r="L19" s="411"/>
      <c r="M19" s="447"/>
    </row>
    <row r="20" spans="1:13" ht="13">
      <c r="A20" s="402"/>
      <c r="B20" s="402"/>
      <c r="C20" s="463">
        <v>2</v>
      </c>
      <c r="D20" s="464">
        <f t="shared" si="0"/>
        <v>286524564.74000001</v>
      </c>
      <c r="E20" s="465"/>
      <c r="F20" s="463">
        <v>52</v>
      </c>
      <c r="G20" s="464">
        <f t="shared" si="1"/>
        <v>1730398.27</v>
      </c>
      <c r="H20" s="440"/>
      <c r="I20" s="463"/>
      <c r="J20" s="466"/>
      <c r="K20" s="457"/>
      <c r="L20" s="411"/>
      <c r="M20" s="447"/>
    </row>
    <row r="21" spans="1:13" ht="13">
      <c r="A21" s="402"/>
      <c r="B21" s="402"/>
      <c r="C21" s="463">
        <v>3</v>
      </c>
      <c r="D21" s="464">
        <f t="shared" si="0"/>
        <v>276965260.50999999</v>
      </c>
      <c r="E21" s="440"/>
      <c r="F21" s="463">
        <v>53</v>
      </c>
      <c r="G21" s="464">
        <f t="shared" si="1"/>
        <v>1436483.76</v>
      </c>
      <c r="H21" s="440"/>
      <c r="I21" s="463"/>
      <c r="J21" s="466"/>
      <c r="K21" s="410"/>
      <c r="L21" s="411"/>
      <c r="M21" s="447"/>
    </row>
    <row r="22" spans="1:13" ht="13">
      <c r="A22" s="402"/>
      <c r="B22" s="402"/>
      <c r="C22" s="463">
        <v>4</v>
      </c>
      <c r="D22" s="464">
        <f t="shared" si="0"/>
        <v>267519098.86000001</v>
      </c>
      <c r="E22" s="460"/>
      <c r="F22" s="463">
        <v>54</v>
      </c>
      <c r="G22" s="464">
        <f t="shared" si="1"/>
        <v>1219545.03</v>
      </c>
      <c r="H22" s="432"/>
      <c r="I22" s="463"/>
      <c r="J22" s="466"/>
      <c r="K22" s="467"/>
      <c r="L22" s="461"/>
      <c r="M22" s="468"/>
    </row>
    <row r="23" spans="1:13" ht="13">
      <c r="A23" s="402"/>
      <c r="B23" s="402"/>
      <c r="C23" s="463">
        <v>5</v>
      </c>
      <c r="D23" s="464">
        <f t="shared" si="0"/>
        <v>258180828.28999999</v>
      </c>
      <c r="E23" s="440"/>
      <c r="F23" s="463">
        <v>55</v>
      </c>
      <c r="G23" s="464">
        <f t="shared" si="1"/>
        <v>1041575.58</v>
      </c>
      <c r="H23" s="440"/>
      <c r="I23" s="463"/>
      <c r="J23" s="466"/>
      <c r="K23" s="457"/>
      <c r="L23" s="411"/>
      <c r="M23" s="469"/>
    </row>
    <row r="24" spans="1:13" ht="13">
      <c r="A24" s="402"/>
      <c r="B24" s="402"/>
      <c r="C24" s="463">
        <v>6</v>
      </c>
      <c r="D24" s="464">
        <f t="shared" si="0"/>
        <v>248952159.88</v>
      </c>
      <c r="E24" s="440"/>
      <c r="F24" s="463">
        <v>56</v>
      </c>
      <c r="G24" s="464">
        <f t="shared" si="1"/>
        <v>891798.08</v>
      </c>
      <c r="H24" s="440"/>
      <c r="I24" s="463"/>
      <c r="J24" s="466"/>
      <c r="K24" s="457"/>
      <c r="L24" s="411"/>
      <c r="M24" s="447"/>
    </row>
    <row r="25" spans="1:13" ht="13">
      <c r="A25" s="402"/>
      <c r="B25" s="402"/>
      <c r="C25" s="463">
        <v>7</v>
      </c>
      <c r="D25" s="464">
        <f t="shared" si="0"/>
        <v>239804605.77000001</v>
      </c>
      <c r="E25" s="465"/>
      <c r="F25" s="463">
        <v>57</v>
      </c>
      <c r="G25" s="464">
        <f t="shared" si="1"/>
        <v>770572.1</v>
      </c>
      <c r="H25" s="440"/>
      <c r="I25" s="463"/>
      <c r="J25" s="466"/>
      <c r="K25" s="457"/>
      <c r="L25" s="411"/>
      <c r="M25" s="447"/>
    </row>
    <row r="26" spans="1:13" ht="13">
      <c r="A26" s="402"/>
      <c r="B26" s="402"/>
      <c r="C26" s="463">
        <v>8</v>
      </c>
      <c r="D26" s="464">
        <f t="shared" si="0"/>
        <v>230783081.08000001</v>
      </c>
      <c r="E26" s="440"/>
      <c r="F26" s="463">
        <v>58</v>
      </c>
      <c r="G26" s="464">
        <f t="shared" si="1"/>
        <v>672522.56</v>
      </c>
      <c r="H26" s="440"/>
      <c r="I26" s="463"/>
      <c r="J26" s="466"/>
      <c r="K26" s="410"/>
      <c r="L26" s="411"/>
      <c r="M26" s="447"/>
    </row>
    <row r="27" spans="1:13" ht="13">
      <c r="A27" s="402"/>
      <c r="B27" s="402"/>
      <c r="C27" s="463">
        <v>9</v>
      </c>
      <c r="D27" s="464">
        <f t="shared" si="0"/>
        <v>221886557.78</v>
      </c>
      <c r="E27" s="460"/>
      <c r="F27" s="463">
        <v>59</v>
      </c>
      <c r="G27" s="464">
        <f t="shared" si="1"/>
        <v>591980.28</v>
      </c>
      <c r="H27" s="432"/>
      <c r="I27" s="463"/>
      <c r="J27" s="466"/>
      <c r="K27" s="410"/>
      <c r="L27" s="411"/>
      <c r="M27" s="468"/>
    </row>
    <row r="28" spans="1:13" ht="13">
      <c r="A28" s="402"/>
      <c r="B28" s="402"/>
      <c r="C28" s="463">
        <v>10</v>
      </c>
      <c r="D28" s="464">
        <f t="shared" si="0"/>
        <v>213105917.02000001</v>
      </c>
      <c r="E28" s="440"/>
      <c r="F28" s="463">
        <v>60</v>
      </c>
      <c r="G28" s="464">
        <f t="shared" si="1"/>
        <v>524026.52</v>
      </c>
      <c r="H28" s="440"/>
      <c r="I28" s="463"/>
      <c r="J28" s="466"/>
      <c r="K28" s="457"/>
      <c r="L28" s="411"/>
      <c r="M28" s="469"/>
    </row>
    <row r="29" spans="1:13" ht="13">
      <c r="A29" s="402"/>
      <c r="B29" s="402"/>
      <c r="C29" s="463">
        <v>11</v>
      </c>
      <c r="D29" s="464">
        <f t="shared" si="0"/>
        <v>204418580.94</v>
      </c>
      <c r="E29" s="440"/>
      <c r="F29" s="463">
        <v>61</v>
      </c>
      <c r="G29" s="464">
        <f t="shared" si="1"/>
        <v>469248.08</v>
      </c>
      <c r="H29" s="440"/>
      <c r="I29" s="463"/>
      <c r="J29" s="466"/>
      <c r="K29" s="457"/>
      <c r="L29" s="411"/>
      <c r="M29" s="447"/>
    </row>
    <row r="30" spans="1:13" ht="13">
      <c r="A30" s="402"/>
      <c r="B30" s="402"/>
      <c r="C30" s="463">
        <v>12</v>
      </c>
      <c r="D30" s="464">
        <f t="shared" si="0"/>
        <v>195854520.69999999</v>
      </c>
      <c r="E30" s="465"/>
      <c r="F30" s="463">
        <v>62</v>
      </c>
      <c r="G30" s="464">
        <f t="shared" si="1"/>
        <v>422113.29</v>
      </c>
      <c r="H30" s="440"/>
      <c r="I30" s="463"/>
      <c r="J30" s="466"/>
      <c r="K30" s="457"/>
      <c r="L30" s="411"/>
      <c r="M30" s="447"/>
    </row>
    <row r="31" spans="1:13" ht="13">
      <c r="A31" s="402"/>
      <c r="B31" s="402"/>
      <c r="C31" s="463">
        <v>13</v>
      </c>
      <c r="D31" s="464">
        <f t="shared" si="0"/>
        <v>187399672.19999999</v>
      </c>
      <c r="E31" s="440"/>
      <c r="F31" s="463">
        <v>63</v>
      </c>
      <c r="G31" s="464">
        <f t="shared" si="1"/>
        <v>379078.89</v>
      </c>
      <c r="H31" s="440"/>
      <c r="I31" s="463"/>
      <c r="J31" s="466"/>
      <c r="K31" s="410"/>
      <c r="L31" s="411"/>
      <c r="M31" s="447"/>
    </row>
    <row r="32" spans="1:13" ht="13">
      <c r="A32" s="402"/>
      <c r="B32" s="402"/>
      <c r="C32" s="463">
        <v>14</v>
      </c>
      <c r="D32" s="464">
        <f t="shared" si="0"/>
        <v>179046628.03</v>
      </c>
      <c r="E32" s="470"/>
      <c r="F32" s="463">
        <v>64</v>
      </c>
      <c r="G32" s="464">
        <f t="shared" si="1"/>
        <v>342959.04</v>
      </c>
      <c r="H32" s="463"/>
      <c r="I32" s="463"/>
      <c r="J32" s="466"/>
      <c r="K32" s="410"/>
      <c r="L32" s="411"/>
      <c r="M32" s="447"/>
    </row>
    <row r="33" spans="1:13" ht="13">
      <c r="A33" s="402"/>
      <c r="B33" s="402"/>
      <c r="C33" s="463">
        <v>15</v>
      </c>
      <c r="D33" s="464">
        <f t="shared" si="0"/>
        <v>170790486.38999999</v>
      </c>
      <c r="E33" s="463"/>
      <c r="F33" s="463">
        <v>65</v>
      </c>
      <c r="G33" s="464">
        <f t="shared" si="1"/>
        <v>311812.67</v>
      </c>
      <c r="H33" s="463"/>
      <c r="I33" s="463"/>
      <c r="J33" s="466"/>
      <c r="K33" s="457"/>
      <c r="L33" s="411"/>
      <c r="M33" s="447"/>
    </row>
    <row r="34" spans="1:13" ht="13">
      <c r="A34" s="402"/>
      <c r="B34" s="402"/>
      <c r="C34" s="463">
        <v>16</v>
      </c>
      <c r="D34" s="464">
        <f t="shared" si="0"/>
        <v>162647269.91999999</v>
      </c>
      <c r="E34" s="463"/>
      <c r="F34" s="463">
        <v>66</v>
      </c>
      <c r="G34" s="464">
        <f t="shared" si="1"/>
        <v>284971.86</v>
      </c>
      <c r="H34" s="463"/>
      <c r="I34" s="463"/>
      <c r="J34" s="466"/>
      <c r="K34" s="457"/>
      <c r="L34" s="411"/>
      <c r="M34" s="447"/>
    </row>
    <row r="35" spans="1:13" ht="13">
      <c r="A35" s="402"/>
      <c r="B35" s="402"/>
      <c r="C35" s="463">
        <v>17</v>
      </c>
      <c r="D35" s="464">
        <f t="shared" si="0"/>
        <v>154614858.00999999</v>
      </c>
      <c r="E35" s="471"/>
      <c r="F35" s="463">
        <v>67</v>
      </c>
      <c r="G35" s="464">
        <f t="shared" si="1"/>
        <v>262751.94</v>
      </c>
      <c r="H35" s="463"/>
      <c r="I35" s="463"/>
      <c r="J35" s="466"/>
      <c r="K35" s="457"/>
      <c r="L35" s="411"/>
      <c r="M35" s="447"/>
    </row>
    <row r="36" spans="1:13" ht="13">
      <c r="A36" s="402"/>
      <c r="B36" s="402"/>
      <c r="C36" s="463">
        <v>18</v>
      </c>
      <c r="D36" s="464">
        <f t="shared" si="0"/>
        <v>146691814.63</v>
      </c>
      <c r="E36" s="463"/>
      <c r="F36" s="463">
        <v>68</v>
      </c>
      <c r="G36" s="464">
        <f t="shared" si="1"/>
        <v>241176.9</v>
      </c>
      <c r="H36" s="463"/>
      <c r="I36" s="463"/>
      <c r="J36" s="466"/>
      <c r="K36" s="410"/>
      <c r="L36" s="411"/>
      <c r="M36" s="447"/>
    </row>
    <row r="37" spans="1:13" ht="13">
      <c r="A37" s="402"/>
      <c r="B37" s="402"/>
      <c r="C37" s="463">
        <v>19</v>
      </c>
      <c r="D37" s="464">
        <f t="shared" si="0"/>
        <v>138862038.06</v>
      </c>
      <c r="E37" s="470"/>
      <c r="F37" s="463">
        <v>69</v>
      </c>
      <c r="G37" s="464">
        <f t="shared" si="1"/>
        <v>221567.75</v>
      </c>
      <c r="H37" s="463"/>
      <c r="I37" s="463"/>
      <c r="J37" s="466"/>
      <c r="K37" s="410"/>
      <c r="L37" s="411"/>
      <c r="M37" s="447"/>
    </row>
    <row r="38" spans="1:13" ht="13">
      <c r="A38" s="402"/>
      <c r="B38" s="402"/>
      <c r="C38" s="463">
        <v>20</v>
      </c>
      <c r="D38" s="464">
        <f t="shared" si="0"/>
        <v>131181836.54000001</v>
      </c>
      <c r="E38" s="463"/>
      <c r="F38" s="463">
        <v>70</v>
      </c>
      <c r="G38" s="464">
        <f t="shared" si="1"/>
        <v>204483.73</v>
      </c>
      <c r="H38" s="463"/>
      <c r="I38" s="463"/>
      <c r="J38" s="443"/>
      <c r="K38" s="457"/>
      <c r="L38" s="411"/>
      <c r="M38" s="447"/>
    </row>
    <row r="39" spans="1:13" ht="13">
      <c r="A39" s="402"/>
      <c r="B39" s="402"/>
      <c r="C39" s="463">
        <v>21</v>
      </c>
      <c r="D39" s="464">
        <f t="shared" si="0"/>
        <v>123696324.11</v>
      </c>
      <c r="E39" s="463"/>
      <c r="F39" s="463">
        <v>71</v>
      </c>
      <c r="G39" s="464">
        <f t="shared" si="1"/>
        <v>187935.52</v>
      </c>
      <c r="H39" s="463"/>
      <c r="I39" s="463"/>
      <c r="J39" s="443"/>
      <c r="K39" s="457"/>
      <c r="L39" s="411"/>
      <c r="M39" s="447"/>
    </row>
    <row r="40" spans="1:13" ht="13">
      <c r="A40" s="402"/>
      <c r="B40" s="402"/>
      <c r="C40" s="463">
        <v>22</v>
      </c>
      <c r="D40" s="464">
        <f t="shared" si="0"/>
        <v>116360902.88</v>
      </c>
      <c r="E40" s="471"/>
      <c r="F40" s="463">
        <v>72</v>
      </c>
      <c r="G40" s="464">
        <f t="shared" si="1"/>
        <v>172253.62</v>
      </c>
      <c r="H40" s="463"/>
      <c r="I40" s="463"/>
      <c r="J40" s="443"/>
      <c r="K40" s="457"/>
      <c r="L40" s="411"/>
      <c r="M40" s="447"/>
    </row>
    <row r="41" spans="1:13" ht="13">
      <c r="A41" s="402"/>
      <c r="B41" s="402"/>
      <c r="C41" s="463">
        <v>23</v>
      </c>
      <c r="D41" s="464">
        <f t="shared" si="0"/>
        <v>109145430.73</v>
      </c>
      <c r="E41" s="472"/>
      <c r="F41" s="463">
        <v>73</v>
      </c>
      <c r="G41" s="464">
        <f t="shared" si="1"/>
        <v>157213.46</v>
      </c>
      <c r="H41" s="440"/>
      <c r="I41" s="463"/>
      <c r="J41" s="443"/>
      <c r="K41" s="443"/>
      <c r="L41" s="402"/>
    </row>
    <row r="42" spans="1:13" ht="13">
      <c r="A42" s="402"/>
      <c r="B42" s="402"/>
      <c r="C42" s="463">
        <v>24</v>
      </c>
      <c r="D42" s="464">
        <f t="shared" si="0"/>
        <v>102117741.72</v>
      </c>
      <c r="E42" s="440"/>
      <c r="F42" s="463">
        <v>74</v>
      </c>
      <c r="G42" s="464">
        <f t="shared" si="1"/>
        <v>143474.71</v>
      </c>
      <c r="H42" s="440"/>
      <c r="I42" s="463"/>
      <c r="J42" s="443"/>
      <c r="K42" s="443"/>
      <c r="L42" s="402"/>
    </row>
    <row r="43" spans="1:13" ht="13">
      <c r="A43" s="402"/>
      <c r="B43" s="402"/>
      <c r="C43" s="463">
        <v>25</v>
      </c>
      <c r="D43" s="464">
        <f t="shared" si="0"/>
        <v>95268404.579999998</v>
      </c>
      <c r="E43" s="472"/>
      <c r="F43" s="463">
        <v>75</v>
      </c>
      <c r="G43" s="464">
        <f t="shared" si="1"/>
        <v>130697.97</v>
      </c>
      <c r="H43" s="472"/>
      <c r="I43" s="463"/>
      <c r="J43" s="443"/>
      <c r="K43" s="443"/>
      <c r="L43" s="402"/>
    </row>
    <row r="44" spans="1:13" ht="13">
      <c r="A44" s="402"/>
      <c r="B44" s="402"/>
      <c r="C44" s="463">
        <v>26</v>
      </c>
      <c r="D44" s="464">
        <f t="shared" si="0"/>
        <v>88607477.719999999</v>
      </c>
      <c r="E44" s="440"/>
      <c r="F44" s="463">
        <v>76</v>
      </c>
      <c r="G44" s="464">
        <f t="shared" si="1"/>
        <v>119454.64</v>
      </c>
      <c r="H44" s="440"/>
      <c r="I44" s="463"/>
      <c r="J44" s="443"/>
      <c r="K44" s="443"/>
      <c r="L44" s="402"/>
    </row>
    <row r="45" spans="1:13" ht="13">
      <c r="A45" s="402"/>
      <c r="B45" s="402"/>
      <c r="C45" s="463">
        <v>27</v>
      </c>
      <c r="D45" s="464">
        <f t="shared" si="0"/>
        <v>82103016.530000001</v>
      </c>
      <c r="E45" s="440"/>
      <c r="F45" s="463">
        <v>77</v>
      </c>
      <c r="G45" s="464">
        <f t="shared" si="1"/>
        <v>108204.73</v>
      </c>
      <c r="H45" s="440"/>
      <c r="I45" s="463"/>
      <c r="J45" s="443"/>
      <c r="K45" s="443"/>
      <c r="L45" s="402"/>
    </row>
    <row r="46" spans="1:13" ht="13">
      <c r="A46" s="402"/>
      <c r="B46" s="402"/>
      <c r="C46" s="463">
        <v>28</v>
      </c>
      <c r="D46" s="464">
        <f t="shared" si="0"/>
        <v>75758062.030000001</v>
      </c>
      <c r="E46" s="440"/>
      <c r="F46" s="463">
        <v>78</v>
      </c>
      <c r="G46" s="464">
        <f t="shared" si="1"/>
        <v>97419.22</v>
      </c>
      <c r="H46" s="440"/>
      <c r="I46" s="463"/>
      <c r="J46" s="443"/>
      <c r="K46" s="443"/>
      <c r="L46" s="402"/>
    </row>
    <row r="47" spans="1:13" ht="13">
      <c r="A47" s="402"/>
      <c r="B47" s="402"/>
      <c r="C47" s="463">
        <v>29</v>
      </c>
      <c r="D47" s="464">
        <f t="shared" si="0"/>
        <v>69594032.310000002</v>
      </c>
      <c r="E47" s="440"/>
      <c r="F47" s="463">
        <v>79</v>
      </c>
      <c r="G47" s="464">
        <f t="shared" si="1"/>
        <v>87385.93</v>
      </c>
      <c r="H47" s="440"/>
      <c r="I47" s="463"/>
      <c r="J47" s="443"/>
      <c r="K47" s="443"/>
      <c r="L47" s="402"/>
    </row>
    <row r="48" spans="1:13" ht="13">
      <c r="A48" s="402"/>
      <c r="B48" s="402"/>
      <c r="C48" s="463">
        <v>30</v>
      </c>
      <c r="D48" s="464">
        <f t="shared" si="0"/>
        <v>63611550.57</v>
      </c>
      <c r="E48" s="440"/>
      <c r="F48" s="463">
        <v>80</v>
      </c>
      <c r="G48" s="464">
        <f t="shared" si="1"/>
        <v>79620.929999999993</v>
      </c>
      <c r="H48" s="440"/>
      <c r="I48" s="463"/>
      <c r="J48" s="443"/>
      <c r="K48" s="443"/>
      <c r="L48" s="402"/>
    </row>
    <row r="49" spans="1:12" ht="13">
      <c r="A49" s="402"/>
      <c r="B49" s="402"/>
      <c r="C49" s="463">
        <v>31</v>
      </c>
      <c r="D49" s="464">
        <f t="shared" si="0"/>
        <v>57776119.420000002</v>
      </c>
      <c r="E49" s="440"/>
      <c r="F49" s="463">
        <v>81</v>
      </c>
      <c r="G49" s="464">
        <f t="shared" si="1"/>
        <v>72718.73</v>
      </c>
      <c r="H49" s="440"/>
      <c r="I49" s="440"/>
      <c r="J49" s="473"/>
      <c r="K49" s="443"/>
      <c r="L49" s="402"/>
    </row>
    <row r="50" spans="1:12" ht="13">
      <c r="A50" s="402"/>
      <c r="B50" s="402"/>
      <c r="C50" s="463">
        <v>32</v>
      </c>
      <c r="D50" s="464">
        <f t="shared" si="0"/>
        <v>52258321.950000003</v>
      </c>
      <c r="E50" s="440"/>
      <c r="F50" s="463">
        <v>82</v>
      </c>
      <c r="G50" s="464">
        <f t="shared" si="1"/>
        <v>66886.84</v>
      </c>
      <c r="H50" s="440"/>
      <c r="I50" s="440"/>
      <c r="J50" s="473"/>
      <c r="K50" s="443"/>
      <c r="L50" s="402"/>
    </row>
    <row r="51" spans="1:12" ht="13">
      <c r="A51" s="402"/>
      <c r="B51" s="402"/>
      <c r="C51" s="463">
        <v>33</v>
      </c>
      <c r="D51" s="464">
        <f t="shared" ref="D51:D68" si="2">VLOOKUP(CONCATENATE("period_",$C51),Assets_20,3,0)</f>
        <v>47053084.43</v>
      </c>
      <c r="E51" s="440"/>
      <c r="F51" s="463">
        <v>83</v>
      </c>
      <c r="G51" s="464">
        <f t="shared" ref="G51:G68" si="3">VLOOKUP(CONCATENATE("period_",$F51),Assets_20,3,0)</f>
        <v>61025.39</v>
      </c>
      <c r="H51" s="440"/>
      <c r="I51" s="440"/>
      <c r="J51" s="473"/>
      <c r="K51" s="443"/>
      <c r="L51" s="402"/>
    </row>
    <row r="52" spans="1:12" ht="13">
      <c r="A52" s="402"/>
      <c r="B52" s="402"/>
      <c r="C52" s="463">
        <v>34</v>
      </c>
      <c r="D52" s="464">
        <f t="shared" si="2"/>
        <v>42123498.590000004</v>
      </c>
      <c r="E52" s="440"/>
      <c r="F52" s="463">
        <v>84</v>
      </c>
      <c r="G52" s="464">
        <f t="shared" si="3"/>
        <v>55438.1</v>
      </c>
      <c r="H52" s="440"/>
      <c r="I52" s="440"/>
      <c r="J52" s="473"/>
      <c r="K52" s="443"/>
      <c r="L52" s="402"/>
    </row>
    <row r="53" spans="1:12" ht="13">
      <c r="A53" s="402"/>
      <c r="B53" s="402"/>
      <c r="C53" s="463">
        <v>35</v>
      </c>
      <c r="D53" s="464">
        <f t="shared" si="2"/>
        <v>37436823.020000003</v>
      </c>
      <c r="E53" s="440"/>
      <c r="F53" s="463">
        <v>85</v>
      </c>
      <c r="G53" s="464">
        <f t="shared" si="3"/>
        <v>50183.71</v>
      </c>
      <c r="H53" s="440"/>
      <c r="I53" s="440"/>
      <c r="J53" s="473"/>
      <c r="K53" s="443"/>
      <c r="L53" s="402"/>
    </row>
    <row r="54" spans="1:12" ht="13">
      <c r="A54" s="402"/>
      <c r="B54" s="402"/>
      <c r="C54" s="463">
        <v>36</v>
      </c>
      <c r="D54" s="464">
        <f t="shared" si="2"/>
        <v>33073169.789999999</v>
      </c>
      <c r="E54" s="440"/>
      <c r="F54" s="463">
        <v>86</v>
      </c>
      <c r="G54" s="464">
        <f t="shared" si="3"/>
        <v>44903.38</v>
      </c>
      <c r="H54" s="440"/>
      <c r="I54" s="440"/>
      <c r="J54" s="473"/>
      <c r="K54" s="443"/>
      <c r="L54" s="402"/>
    </row>
    <row r="55" spans="1:12" ht="13">
      <c r="A55" s="402"/>
      <c r="B55" s="402"/>
      <c r="C55" s="463">
        <v>37</v>
      </c>
      <c r="D55" s="464">
        <f t="shared" si="2"/>
        <v>29055876.670000002</v>
      </c>
      <c r="E55" s="440"/>
      <c r="F55" s="463">
        <v>87</v>
      </c>
      <c r="G55" s="464">
        <f t="shared" si="3"/>
        <v>40647.129999999997</v>
      </c>
      <c r="H55" s="440"/>
      <c r="I55" s="440"/>
      <c r="J55" s="473"/>
      <c r="K55" s="443"/>
      <c r="L55" s="402"/>
    </row>
    <row r="56" spans="1:12" ht="13">
      <c r="A56" s="402"/>
      <c r="B56" s="402"/>
      <c r="C56" s="463">
        <v>38</v>
      </c>
      <c r="D56" s="464">
        <f t="shared" si="2"/>
        <v>25326166.260000002</v>
      </c>
      <c r="E56" s="440"/>
      <c r="F56" s="463">
        <v>88</v>
      </c>
      <c r="G56" s="464">
        <f t="shared" si="3"/>
        <v>36804.42</v>
      </c>
      <c r="H56" s="440"/>
      <c r="I56" s="440"/>
      <c r="J56" s="473"/>
      <c r="K56" s="443"/>
      <c r="L56" s="402"/>
    </row>
    <row r="57" spans="1:12" ht="13">
      <c r="A57" s="402"/>
      <c r="B57" s="402"/>
      <c r="C57" s="463">
        <v>39</v>
      </c>
      <c r="D57" s="464">
        <f t="shared" si="2"/>
        <v>21877054.09</v>
      </c>
      <c r="E57" s="440"/>
      <c r="F57" s="463">
        <v>89</v>
      </c>
      <c r="G57" s="464">
        <f t="shared" si="3"/>
        <v>33690.230000000003</v>
      </c>
      <c r="H57" s="440"/>
      <c r="I57" s="440"/>
      <c r="J57" s="473"/>
      <c r="K57" s="443"/>
      <c r="L57" s="402"/>
    </row>
    <row r="58" spans="1:12" ht="13">
      <c r="A58" s="402"/>
      <c r="B58" s="402"/>
      <c r="C58" s="463">
        <v>40</v>
      </c>
      <c r="D58" s="464">
        <f t="shared" si="2"/>
        <v>18739480.890000001</v>
      </c>
      <c r="E58" s="440"/>
      <c r="F58" s="463">
        <v>90</v>
      </c>
      <c r="G58" s="464">
        <f t="shared" si="3"/>
        <v>30560.61</v>
      </c>
      <c r="H58" s="440"/>
      <c r="I58" s="440"/>
      <c r="J58" s="473"/>
      <c r="K58" s="443"/>
      <c r="L58" s="402"/>
    </row>
    <row r="59" spans="1:12" ht="13">
      <c r="A59" s="402"/>
      <c r="B59" s="402"/>
      <c r="C59" s="463">
        <v>41</v>
      </c>
      <c r="D59" s="464">
        <f t="shared" si="2"/>
        <v>15946511.060000001</v>
      </c>
      <c r="E59" s="440"/>
      <c r="F59" s="463">
        <v>91</v>
      </c>
      <c r="G59" s="464">
        <f t="shared" si="3"/>
        <v>27415.47</v>
      </c>
      <c r="H59" s="440"/>
      <c r="I59" s="440"/>
      <c r="J59" s="473"/>
      <c r="K59" s="443"/>
      <c r="L59" s="402"/>
    </row>
    <row r="60" spans="1:12" ht="13">
      <c r="A60" s="402"/>
      <c r="B60" s="402"/>
      <c r="C60" s="463">
        <v>42</v>
      </c>
      <c r="D60" s="464">
        <f t="shared" si="2"/>
        <v>13504143.58</v>
      </c>
      <c r="E60" s="440"/>
      <c r="F60" s="463">
        <v>92</v>
      </c>
      <c r="G60" s="464">
        <f t="shared" si="3"/>
        <v>24334.67</v>
      </c>
      <c r="H60" s="440"/>
      <c r="I60" s="440"/>
      <c r="J60" s="473"/>
      <c r="K60" s="443"/>
      <c r="L60" s="402"/>
    </row>
    <row r="61" spans="1:12" ht="13">
      <c r="A61" s="402"/>
      <c r="B61" s="402"/>
      <c r="C61" s="463">
        <v>43</v>
      </c>
      <c r="D61" s="464">
        <f t="shared" si="2"/>
        <v>11361308.029999999</v>
      </c>
      <c r="E61" s="440"/>
      <c r="F61" s="463">
        <v>93</v>
      </c>
      <c r="G61" s="464">
        <f t="shared" si="3"/>
        <v>21238.45</v>
      </c>
      <c r="H61" s="440"/>
      <c r="I61" s="440"/>
      <c r="J61" s="473"/>
      <c r="K61" s="443"/>
      <c r="L61" s="402"/>
    </row>
    <row r="62" spans="1:12" ht="13">
      <c r="A62" s="402"/>
      <c r="B62" s="402"/>
      <c r="C62" s="463">
        <v>44</v>
      </c>
      <c r="D62" s="464">
        <f t="shared" si="2"/>
        <v>9486021.1899999995</v>
      </c>
      <c r="E62" s="440"/>
      <c r="F62" s="463">
        <v>94</v>
      </c>
      <c r="G62" s="464">
        <f t="shared" si="3"/>
        <v>18297.88</v>
      </c>
      <c r="H62" s="440"/>
      <c r="I62" s="440"/>
      <c r="J62" s="473"/>
      <c r="K62" s="443"/>
      <c r="L62" s="402"/>
    </row>
    <row r="63" spans="1:12" ht="13">
      <c r="A63" s="402"/>
      <c r="B63" s="402"/>
      <c r="C63" s="463">
        <v>45</v>
      </c>
      <c r="D63" s="464">
        <f t="shared" si="2"/>
        <v>7881529.3099999996</v>
      </c>
      <c r="E63" s="440"/>
      <c r="F63" s="463">
        <v>95</v>
      </c>
      <c r="G63" s="464">
        <f t="shared" si="3"/>
        <v>15342.82</v>
      </c>
      <c r="H63" s="440"/>
      <c r="I63" s="440"/>
      <c r="J63" s="473"/>
      <c r="K63" s="443"/>
      <c r="L63" s="402"/>
    </row>
    <row r="64" spans="1:12" ht="13">
      <c r="A64" s="402"/>
      <c r="B64" s="402"/>
      <c r="C64" s="463">
        <v>46</v>
      </c>
      <c r="D64" s="464">
        <f t="shared" si="2"/>
        <v>6476476.7999999998</v>
      </c>
      <c r="E64" s="440"/>
      <c r="F64" s="463">
        <v>96</v>
      </c>
      <c r="G64" s="464">
        <f t="shared" si="3"/>
        <v>12876.2</v>
      </c>
      <c r="H64" s="440"/>
      <c r="I64" s="440"/>
      <c r="J64" s="473"/>
      <c r="K64" s="443"/>
      <c r="L64" s="402"/>
    </row>
    <row r="65" spans="1:12" ht="13">
      <c r="A65" s="402"/>
      <c r="B65" s="402"/>
      <c r="C65" s="463">
        <v>47</v>
      </c>
      <c r="D65" s="464">
        <f t="shared" si="2"/>
        <v>5232158.46</v>
      </c>
      <c r="E65" s="440"/>
      <c r="F65" s="463">
        <v>97</v>
      </c>
      <c r="G65" s="464">
        <f t="shared" si="3"/>
        <v>10796.82</v>
      </c>
      <c r="H65" s="440"/>
      <c r="I65" s="440"/>
      <c r="J65" s="473"/>
      <c r="K65" s="443"/>
      <c r="L65" s="402"/>
    </row>
    <row r="66" spans="1:12" ht="13">
      <c r="A66" s="402"/>
      <c r="B66" s="402"/>
      <c r="C66" s="463">
        <v>48</v>
      </c>
      <c r="D66" s="464">
        <f t="shared" si="2"/>
        <v>4188129.1</v>
      </c>
      <c r="E66" s="440"/>
      <c r="F66" s="463">
        <v>98</v>
      </c>
      <c r="G66" s="464">
        <f t="shared" si="3"/>
        <v>8707.14</v>
      </c>
      <c r="H66" s="440"/>
      <c r="I66" s="440"/>
      <c r="J66" s="473"/>
      <c r="K66" s="443"/>
      <c r="L66" s="402"/>
    </row>
    <row r="67" spans="1:12" ht="13">
      <c r="A67" s="402"/>
      <c r="B67" s="402"/>
      <c r="C67" s="463">
        <v>49</v>
      </c>
      <c r="D67" s="464">
        <f t="shared" si="2"/>
        <v>3350577.15</v>
      </c>
      <c r="E67" s="440"/>
      <c r="F67" s="463">
        <v>99</v>
      </c>
      <c r="G67" s="464">
        <f t="shared" si="3"/>
        <v>7099.6</v>
      </c>
      <c r="H67" s="440"/>
      <c r="I67" s="440"/>
      <c r="J67" s="473"/>
      <c r="K67" s="443"/>
      <c r="L67" s="402"/>
    </row>
    <row r="68" spans="1:12" ht="13">
      <c r="A68" s="402"/>
      <c r="B68" s="402"/>
      <c r="C68" s="463">
        <v>50</v>
      </c>
      <c r="D68" s="464">
        <f t="shared" si="2"/>
        <v>2671318.85</v>
      </c>
      <c r="E68" s="440"/>
      <c r="F68" s="463">
        <v>100</v>
      </c>
      <c r="G68" s="464">
        <f t="shared" si="3"/>
        <v>5483.94</v>
      </c>
      <c r="H68" s="440"/>
      <c r="I68" s="440"/>
      <c r="J68" s="473"/>
      <c r="K68" s="443"/>
      <c r="L68" s="402"/>
    </row>
    <row r="69" spans="1:12">
      <c r="A69" s="402"/>
      <c r="B69" s="474"/>
      <c r="C69" s="475"/>
      <c r="D69" s="475"/>
      <c r="E69" s="475"/>
      <c r="F69" s="475"/>
      <c r="G69" s="475"/>
      <c r="H69" s="475"/>
      <c r="I69" s="475"/>
      <c r="J69" s="476"/>
      <c r="K69" s="443"/>
      <c r="L69" s="402"/>
    </row>
    <row r="70" spans="1:12">
      <c r="A70" s="474"/>
      <c r="B70" s="475"/>
      <c r="C70" s="475"/>
      <c r="D70" s="475"/>
      <c r="E70" s="475"/>
      <c r="F70" s="475"/>
      <c r="G70" s="475"/>
      <c r="H70" s="475"/>
      <c r="I70" s="475"/>
      <c r="J70" s="475"/>
      <c r="K70" s="476"/>
      <c r="L70" s="402"/>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6" customWidth="1"/>
    <col min="2" max="2" width="2.1796875" style="146" customWidth="1"/>
    <col min="3" max="3" width="72.1796875" style="146" customWidth="1"/>
    <col min="4" max="4" width="17.1796875" style="398" customWidth="1"/>
    <col min="5" max="5" width="17.1796875" style="146" customWidth="1"/>
    <col min="6" max="6" width="11.81640625" style="146" customWidth="1"/>
    <col min="7" max="7" width="17.1796875" style="146" customWidth="1"/>
    <col min="8" max="8" width="12" style="146" customWidth="1"/>
    <col min="9" max="9" width="17.1796875" style="146" customWidth="1"/>
    <col min="10" max="10" width="12" style="146" customWidth="1"/>
    <col min="11" max="11" width="44.81640625" style="146" customWidth="1"/>
    <col min="12" max="12" width="12" style="146" customWidth="1"/>
    <col min="13" max="13" width="17.1796875" style="146" customWidth="1"/>
    <col min="14" max="14" width="12" style="146" customWidth="1"/>
    <col min="15" max="15" width="17.1796875" style="146" customWidth="1"/>
    <col min="16" max="16" width="12" style="146" customWidth="1"/>
    <col min="17" max="17" width="17.1796875" style="146" customWidth="1"/>
    <col min="18" max="18" width="12" style="146" customWidth="1"/>
    <col min="19" max="19" width="31.1796875" style="21" customWidth="1"/>
    <col min="20" max="20" width="7.81640625" style="146" customWidth="1"/>
    <col min="21" max="21" width="1.1796875" style="146" customWidth="1"/>
    <col min="22" max="16384" width="9.1796875" style="146"/>
  </cols>
  <sheetData>
    <row r="1" spans="1:21" ht="6" customHeight="1">
      <c r="A1" s="155"/>
      <c r="B1" s="49"/>
      <c r="C1" s="49"/>
      <c r="D1" s="374"/>
      <c r="E1" s="49"/>
      <c r="F1" s="49"/>
      <c r="G1" s="49"/>
      <c r="H1" s="49"/>
      <c r="I1" s="49"/>
      <c r="J1" s="49"/>
      <c r="K1" s="49"/>
      <c r="L1" s="49"/>
      <c r="M1" s="49"/>
      <c r="N1" s="49"/>
      <c r="O1" s="49"/>
      <c r="P1" s="49"/>
      <c r="Q1" s="49"/>
      <c r="R1" s="49"/>
      <c r="S1" s="49"/>
      <c r="T1" s="49"/>
      <c r="U1" s="156"/>
    </row>
    <row r="2" spans="1:21" s="106" customFormat="1" ht="18">
      <c r="A2" s="107"/>
      <c r="B2" s="101"/>
      <c r="C2" s="108" t="str">
        <f>'Cover Sheet'!B2</f>
        <v>SC Germany Consumer 2020-1</v>
      </c>
      <c r="D2" s="109" t="str">
        <f>'Cover Sheet'!D2</f>
        <v>Calculation Date</v>
      </c>
      <c r="E2" s="110"/>
      <c r="F2" s="111">
        <f>'Cover Sheet'!F2</f>
        <v>45820</v>
      </c>
      <c r="G2" s="110"/>
      <c r="H2" s="110"/>
      <c r="I2" s="110"/>
      <c r="J2" s="112"/>
      <c r="K2" s="101"/>
      <c r="L2" s="101"/>
      <c r="M2" s="101"/>
      <c r="N2" s="101"/>
      <c r="O2" s="101"/>
      <c r="P2" s="101"/>
      <c r="Q2" s="101"/>
      <c r="R2" s="101"/>
      <c r="S2" s="137"/>
      <c r="T2" s="101"/>
      <c r="U2" s="362"/>
    </row>
    <row r="3" spans="1:21" s="106" customFormat="1" ht="18">
      <c r="A3" s="107"/>
      <c r="B3" s="101"/>
      <c r="C3" s="108" t="str">
        <f>'Cover Sheet'!B3</f>
        <v>Monthly Investor Report</v>
      </c>
      <c r="D3" s="115" t="str">
        <f>'Cover Sheet'!D3</f>
        <v>Payment Date</v>
      </c>
      <c r="E3" s="116"/>
      <c r="F3" s="117">
        <f>'Cover Sheet'!F3</f>
        <v>45824</v>
      </c>
      <c r="G3" s="116"/>
      <c r="H3" s="116"/>
      <c r="I3" s="116"/>
      <c r="J3" s="118"/>
      <c r="K3" s="101"/>
      <c r="L3" s="101"/>
      <c r="M3" s="101"/>
      <c r="N3" s="101"/>
      <c r="O3" s="101"/>
      <c r="P3" s="101"/>
      <c r="Q3" s="101"/>
      <c r="R3" s="101"/>
      <c r="S3" s="138"/>
      <c r="T3" s="101"/>
      <c r="U3" s="128"/>
    </row>
    <row r="4" spans="1:21" s="106" customFormat="1" ht="13">
      <c r="A4" s="107"/>
      <c r="B4" s="101"/>
      <c r="C4" s="159"/>
      <c r="D4" s="115" t="str">
        <f>'Cover Sheet'!D4</f>
        <v>Period  No</v>
      </c>
      <c r="E4" s="116"/>
      <c r="F4" s="120">
        <f>'Cover Sheet'!F4</f>
        <v>55</v>
      </c>
      <c r="G4" s="116"/>
      <c r="H4" s="121"/>
      <c r="I4" s="121"/>
      <c r="J4" s="122"/>
      <c r="K4" s="101"/>
      <c r="L4" s="101"/>
      <c r="M4" s="101"/>
      <c r="N4" s="101"/>
      <c r="O4" s="101"/>
      <c r="P4" s="101"/>
      <c r="Q4" s="101"/>
      <c r="R4" s="101"/>
      <c r="S4" s="137"/>
      <c r="T4" s="101"/>
      <c r="U4" s="362"/>
    </row>
    <row r="5" spans="1:21" s="106" customFormat="1" ht="18">
      <c r="A5" s="107"/>
      <c r="B5" s="101"/>
      <c r="C5" s="162" t="s">
        <v>461</v>
      </c>
      <c r="D5" s="115" t="str">
        <f>'Cover Sheet'!D5</f>
        <v>Monthly Period</v>
      </c>
      <c r="E5" s="116"/>
      <c r="F5" s="124">
        <f>'Cover Sheet'!F5</f>
        <v>45824</v>
      </c>
      <c r="G5" s="116"/>
      <c r="H5" s="121"/>
      <c r="I5" s="121"/>
      <c r="J5" s="122"/>
      <c r="K5" s="101"/>
      <c r="L5" s="101"/>
      <c r="M5" s="101"/>
      <c r="N5" s="101"/>
      <c r="O5" s="101"/>
      <c r="P5" s="101"/>
      <c r="Q5" s="101"/>
      <c r="R5" s="101"/>
      <c r="S5" s="138"/>
      <c r="T5" s="101"/>
      <c r="U5" s="128"/>
    </row>
    <row r="6" spans="1:21" s="106" customFormat="1" ht="15" customHeight="1">
      <c r="A6" s="107"/>
      <c r="B6" s="101"/>
      <c r="C6" s="125"/>
      <c r="D6" s="115" t="str">
        <f>'Cover Sheet'!D6</f>
        <v>Interest Period</v>
      </c>
      <c r="E6" s="124" t="s">
        <v>34</v>
      </c>
      <c r="F6" s="117">
        <f>'Cover Sheet'!F6</f>
        <v>45791</v>
      </c>
      <c r="G6" s="126" t="str">
        <f>'Cover Sheet'!G6</f>
        <v>to</v>
      </c>
      <c r="H6" s="117">
        <f>'Cover Sheet'!H6</f>
        <v>45824</v>
      </c>
      <c r="I6" s="117" t="str">
        <f>'Cover Sheet'!I6</f>
        <v>=</v>
      </c>
      <c r="J6" s="375" t="str">
        <f>'Cover Sheet'!J6</f>
        <v>33 days</v>
      </c>
      <c r="K6" s="101"/>
      <c r="L6" s="101"/>
      <c r="M6" s="101"/>
      <c r="N6" s="101"/>
      <c r="O6" s="101"/>
      <c r="P6" s="101"/>
      <c r="Q6" s="101"/>
      <c r="R6" s="101"/>
      <c r="S6" s="138"/>
      <c r="T6" s="101"/>
      <c r="U6" s="128"/>
    </row>
    <row r="7" spans="1:21" s="106" customFormat="1" ht="13">
      <c r="A7" s="107"/>
      <c r="B7" s="101"/>
      <c r="C7" s="101"/>
      <c r="D7" s="130" t="str">
        <f>'Cover Sheet'!D7</f>
        <v>Collection Period</v>
      </c>
      <c r="E7" s="131" t="s">
        <v>34</v>
      </c>
      <c r="F7" s="132" t="str">
        <f>'Cover Sheet'!F7</f>
        <v>01.05.2025</v>
      </c>
      <c r="G7" s="131" t="str">
        <f>'Cover Sheet'!G7</f>
        <v>to</v>
      </c>
      <c r="H7" s="132">
        <f>'Cover Sheet'!H7</f>
        <v>45808</v>
      </c>
      <c r="I7" s="132"/>
      <c r="J7" s="168"/>
      <c r="K7" s="101"/>
      <c r="L7" s="101"/>
      <c r="M7" s="101"/>
      <c r="N7" s="101"/>
      <c r="O7" s="101"/>
      <c r="P7" s="101"/>
      <c r="Q7" s="101"/>
      <c r="R7" s="101"/>
      <c r="S7" s="138"/>
      <c r="T7" s="101"/>
      <c r="U7" s="128"/>
    </row>
    <row r="8" spans="1:21" s="106" customFormat="1" ht="13">
      <c r="A8" s="107"/>
      <c r="B8" s="101"/>
      <c r="C8" s="101"/>
      <c r="D8" s="160"/>
      <c r="E8" s="101"/>
      <c r="F8" s="137"/>
      <c r="G8" s="136"/>
      <c r="H8" s="137"/>
      <c r="I8" s="101"/>
      <c r="J8" s="101"/>
      <c r="K8" s="101"/>
      <c r="L8" s="101"/>
      <c r="M8" s="169"/>
      <c r="N8" s="169"/>
      <c r="O8" s="169"/>
      <c r="P8" s="169"/>
      <c r="Q8" s="169"/>
      <c r="R8" s="101"/>
      <c r="S8" s="138"/>
      <c r="T8" s="101"/>
      <c r="U8" s="128"/>
    </row>
    <row r="9" spans="1:21" s="106" customFormat="1">
      <c r="A9" s="107"/>
      <c r="B9" s="101"/>
      <c r="C9" s="101"/>
      <c r="D9" s="160"/>
      <c r="E9" s="101"/>
      <c r="F9" s="101"/>
      <c r="G9" s="101"/>
      <c r="H9" s="101"/>
      <c r="I9" s="101"/>
      <c r="J9" s="101"/>
      <c r="K9" s="101"/>
      <c r="L9" s="101"/>
      <c r="M9" s="101"/>
      <c r="N9" s="101"/>
      <c r="O9" s="101"/>
      <c r="P9" s="101"/>
      <c r="Q9" s="101"/>
      <c r="R9" s="101"/>
      <c r="S9" s="101"/>
      <c r="T9" s="101"/>
      <c r="U9" s="113"/>
    </row>
    <row r="10" spans="1:21" s="106" customFormat="1">
      <c r="A10" s="107"/>
      <c r="B10" s="101"/>
      <c r="C10" s="101"/>
      <c r="D10" s="160"/>
      <c r="E10" s="21"/>
      <c r="F10" s="101"/>
      <c r="G10" s="147"/>
      <c r="H10" s="101"/>
      <c r="I10" s="101"/>
      <c r="J10" s="101"/>
      <c r="K10" s="101"/>
      <c r="L10" s="101"/>
      <c r="M10" s="21"/>
      <c r="N10" s="21"/>
      <c r="O10" s="21"/>
      <c r="P10" s="21"/>
      <c r="Q10" s="21"/>
      <c r="R10" s="21"/>
      <c r="S10" s="101"/>
      <c r="T10" s="21"/>
      <c r="U10" s="113"/>
    </row>
    <row r="11" spans="1:21" s="106" customFormat="1" ht="18">
      <c r="A11" s="107"/>
      <c r="B11" s="101"/>
      <c r="C11" s="171"/>
      <c r="D11" s="160"/>
      <c r="E11" s="21"/>
      <c r="F11" s="108"/>
      <c r="G11" s="101"/>
      <c r="H11" s="47"/>
      <c r="I11" s="364"/>
      <c r="J11" s="364"/>
      <c r="K11" s="364"/>
      <c r="L11" s="364"/>
      <c r="M11" s="21"/>
      <c r="N11" s="21"/>
      <c r="O11" s="21"/>
      <c r="P11" s="21"/>
      <c r="Q11" s="21"/>
      <c r="R11" s="101"/>
      <c r="S11" s="101"/>
      <c r="T11" s="101"/>
      <c r="U11" s="113"/>
    </row>
    <row r="12" spans="1:21" s="106" customFormat="1">
      <c r="A12" s="107"/>
      <c r="B12" s="101"/>
      <c r="C12" s="101"/>
      <c r="D12" s="166"/>
      <c r="E12" s="21"/>
      <c r="F12" s="101"/>
      <c r="G12" s="101"/>
      <c r="H12" s="101"/>
      <c r="I12" s="101"/>
      <c r="J12" s="101"/>
      <c r="K12" s="101"/>
      <c r="L12" s="101"/>
      <c r="M12" s="101"/>
      <c r="N12" s="101"/>
      <c r="O12" s="101"/>
      <c r="P12" s="101"/>
      <c r="Q12" s="101"/>
      <c r="R12" s="101"/>
      <c r="S12" s="101"/>
      <c r="T12" s="101"/>
      <c r="U12" s="113"/>
    </row>
    <row r="13" spans="1:21" s="106" customFormat="1" ht="18">
      <c r="A13" s="107"/>
      <c r="B13" s="108" t="s">
        <v>450</v>
      </c>
      <c r="C13" s="108"/>
      <c r="D13" s="166"/>
      <c r="E13" s="21"/>
      <c r="F13" s="101"/>
      <c r="G13" s="108"/>
      <c r="H13" s="101"/>
      <c r="I13" s="108" t="s">
        <v>451</v>
      </c>
      <c r="J13" s="101"/>
      <c r="K13" s="101"/>
      <c r="L13" s="101"/>
      <c r="M13" s="101"/>
      <c r="N13" s="101"/>
      <c r="O13" s="101"/>
      <c r="P13" s="101"/>
      <c r="Q13" s="101"/>
      <c r="R13" s="101"/>
      <c r="S13" s="101"/>
      <c r="T13" s="101"/>
      <c r="U13" s="113"/>
    </row>
    <row r="14" spans="1:21" s="106" customFormat="1" ht="10.5" customHeight="1">
      <c r="A14" s="107"/>
      <c r="B14" s="103"/>
      <c r="C14" s="104"/>
      <c r="D14" s="374"/>
      <c r="E14" s="49"/>
      <c r="F14" s="104"/>
      <c r="G14" s="104"/>
      <c r="H14" s="104"/>
      <c r="I14" s="104"/>
      <c r="J14" s="104"/>
      <c r="K14" s="104"/>
      <c r="L14" s="104"/>
      <c r="M14" s="104"/>
      <c r="N14" s="104"/>
      <c r="O14" s="104"/>
      <c r="P14" s="104"/>
      <c r="Q14" s="104"/>
      <c r="R14" s="104"/>
      <c r="S14" s="104"/>
      <c r="T14" s="105"/>
      <c r="U14" s="113"/>
    </row>
    <row r="15" spans="1:21" s="106" customFormat="1" ht="13.5" customHeight="1">
      <c r="A15" s="107"/>
      <c r="B15" s="107"/>
      <c r="C15" s="101" t="s">
        <v>238</v>
      </c>
      <c r="D15" s="166" t="s">
        <v>239</v>
      </c>
      <c r="E15" s="376">
        <f>VLOOKUP("Interest_collections",calcdata_20,2,0)</f>
        <v>1376611.35</v>
      </c>
      <c r="F15" s="21"/>
      <c r="G15" s="101"/>
      <c r="H15" s="101"/>
      <c r="I15" s="986" t="s">
        <v>389</v>
      </c>
      <c r="J15" s="986"/>
      <c r="K15" s="986"/>
      <c r="L15" s="160" t="s">
        <v>239</v>
      </c>
      <c r="M15" s="376">
        <f>VLOOKUP("Principal_collections",calcdata_20,2,0)</f>
        <v>13412980.4</v>
      </c>
      <c r="N15" s="101"/>
      <c r="O15" s="101"/>
      <c r="P15" s="101"/>
      <c r="Q15" s="101"/>
      <c r="R15" s="101"/>
      <c r="S15" s="101"/>
      <c r="T15" s="113"/>
      <c r="U15" s="113"/>
    </row>
    <row r="16" spans="1:21" ht="13.5" customHeight="1">
      <c r="A16" s="182"/>
      <c r="B16" s="107"/>
      <c r="C16" s="101" t="s">
        <v>502</v>
      </c>
      <c r="D16" s="166" t="s">
        <v>239</v>
      </c>
      <c r="E16" s="376">
        <f>VLOOKUP("Other_interest_payments",calcdata_20,2,0)</f>
        <v>0</v>
      </c>
      <c r="F16" s="21"/>
      <c r="G16" s="101"/>
      <c r="H16" s="101"/>
      <c r="I16" s="986" t="s">
        <v>504</v>
      </c>
      <c r="J16" s="986"/>
      <c r="K16" s="986"/>
      <c r="L16" s="160" t="s">
        <v>239</v>
      </c>
      <c r="M16" s="376">
        <f>VLOOKUP("Other_Principal_amount",calcdata_20,2,0)</f>
        <v>0</v>
      </c>
      <c r="N16" s="101"/>
      <c r="O16" s="101"/>
      <c r="P16" s="101"/>
      <c r="Q16" s="101"/>
      <c r="R16" s="101"/>
      <c r="S16" s="101"/>
      <c r="T16" s="113"/>
      <c r="U16" s="176"/>
    </row>
    <row r="17" spans="1:21" ht="13.5" customHeight="1">
      <c r="A17" s="182"/>
      <c r="B17" s="107"/>
      <c r="C17" s="101" t="s">
        <v>384</v>
      </c>
      <c r="D17" s="166" t="s">
        <v>239</v>
      </c>
      <c r="E17" s="376">
        <f>VLOOKUP("Recoveries_received",calcdata_20,2,0)</f>
        <v>282796.34999999998</v>
      </c>
      <c r="F17" s="21"/>
      <c r="G17" s="101"/>
      <c r="H17" s="101"/>
      <c r="I17" s="986" t="s">
        <v>505</v>
      </c>
      <c r="J17" s="986"/>
      <c r="K17" s="986"/>
      <c r="L17" s="160" t="s">
        <v>239</v>
      </c>
      <c r="M17" s="376">
        <f>VLOOKUP("Final_Repurchase_Price",calcdata_20,2,0)</f>
        <v>0</v>
      </c>
      <c r="N17" s="101"/>
      <c r="O17" s="101"/>
      <c r="P17" s="101"/>
      <c r="Q17" s="101"/>
      <c r="R17" s="101"/>
      <c r="S17" s="101"/>
      <c r="T17" s="113"/>
      <c r="U17" s="176"/>
    </row>
    <row r="18" spans="1:21" ht="13.5" customHeight="1">
      <c r="A18" s="182"/>
      <c r="B18" s="107"/>
      <c r="C18" s="101" t="s">
        <v>240</v>
      </c>
      <c r="D18" s="166" t="s">
        <v>239</v>
      </c>
      <c r="E18" s="376">
        <f>VLOOKUP("Interests_earned_Transaction_Purchase_Shortfall_Account",calcdata_20,2,0)</f>
        <v>0</v>
      </c>
      <c r="F18" s="101"/>
      <c r="G18" s="101"/>
      <c r="H18" s="101"/>
      <c r="I18" s="986" t="s">
        <v>506</v>
      </c>
      <c r="J18" s="986"/>
      <c r="K18" s="986"/>
      <c r="L18" s="160" t="s">
        <v>239</v>
      </c>
      <c r="M18" s="376">
        <f>VLOOKUP("Amounts_credit_Com_Reserve_Account",calcdata_20,2,0)</f>
        <v>0</v>
      </c>
      <c r="N18" s="101"/>
      <c r="O18" s="101"/>
      <c r="P18" s="101"/>
      <c r="Q18" s="101"/>
      <c r="R18" s="101"/>
      <c r="S18" s="101"/>
      <c r="T18" s="113"/>
      <c r="U18" s="176"/>
    </row>
    <row r="19" spans="1:21" ht="13.5" customHeight="1">
      <c r="A19" s="182"/>
      <c r="B19" s="107"/>
      <c r="C19" s="101" t="s">
        <v>385</v>
      </c>
      <c r="D19" s="166" t="s">
        <v>239</v>
      </c>
      <c r="E19" s="376">
        <f>VLOOKUP("Amounts_ComReserve_Account",calcdata_20,2,0)</f>
        <v>0</v>
      </c>
      <c r="F19" s="101"/>
      <c r="G19" s="101"/>
      <c r="H19" s="101"/>
      <c r="I19" s="986" t="s">
        <v>557</v>
      </c>
      <c r="J19" s="986"/>
      <c r="K19" s="986"/>
      <c r="L19" s="160" t="s">
        <v>239</v>
      </c>
      <c r="M19" s="376">
        <f>VLOOKUP("Amounts_credit_Setoff_Reserve_Account",calcdata_20,2,0)</f>
        <v>0</v>
      </c>
      <c r="N19" s="101"/>
      <c r="O19" s="101"/>
      <c r="P19" s="101"/>
      <c r="Q19" s="101"/>
      <c r="R19" s="101"/>
      <c r="S19" s="101"/>
      <c r="T19" s="113"/>
      <c r="U19" s="176"/>
    </row>
    <row r="20" spans="1:21" ht="13.5" customHeight="1">
      <c r="A20" s="182"/>
      <c r="B20" s="107"/>
      <c r="C20" s="101" t="s">
        <v>386</v>
      </c>
      <c r="D20" s="166" t="s">
        <v>239</v>
      </c>
      <c r="E20" s="376">
        <f>VLOOKUP("Amounts_Liqudity_Reserve_Account",calcdata_20,2,0)</f>
        <v>6000000</v>
      </c>
      <c r="F20" s="101"/>
      <c r="G20" s="101"/>
      <c r="H20" s="101"/>
      <c r="I20" s="986" t="s">
        <v>147</v>
      </c>
      <c r="J20" s="986"/>
      <c r="K20" s="986"/>
      <c r="L20" s="160" t="s">
        <v>239</v>
      </c>
      <c r="M20" s="376">
        <f>VLOOKUP("Amounts_credit_Purchase_Shortfall_Account",calcdata_20,2,0)</f>
        <v>5.339999983261805</v>
      </c>
      <c r="N20" s="101"/>
      <c r="O20" s="101"/>
      <c r="P20" s="101"/>
      <c r="Q20" s="101"/>
      <c r="R20" s="101"/>
      <c r="S20" s="101"/>
      <c r="T20" s="113"/>
      <c r="U20" s="176"/>
    </row>
    <row r="21" spans="1:21" ht="13.5" customHeight="1">
      <c r="A21" s="182"/>
      <c r="B21" s="107"/>
      <c r="C21" s="101" t="s">
        <v>387</v>
      </c>
      <c r="D21" s="166" t="s">
        <v>239</v>
      </c>
      <c r="E21" s="376">
        <f>VLOOKUP("Interests_paid_Swap_Counterparty",calcdata_20,2,0)</f>
        <v>667058.36</v>
      </c>
      <c r="F21" s="101"/>
      <c r="G21" s="101"/>
      <c r="H21" s="101"/>
      <c r="I21" s="986" t="s">
        <v>507</v>
      </c>
      <c r="J21" s="986"/>
      <c r="K21" s="986"/>
      <c r="L21" s="160" t="s">
        <v>239</v>
      </c>
      <c r="M21" s="376">
        <f>VLOOKUP("Mezzanine_loan_disbursement",calcdata_20,2,0)</f>
        <v>0</v>
      </c>
      <c r="N21" s="101"/>
      <c r="O21" s="101"/>
      <c r="P21" s="101"/>
      <c r="Q21" s="101"/>
      <c r="R21" s="101"/>
      <c r="S21" s="101"/>
      <c r="T21" s="113"/>
      <c r="U21" s="176"/>
    </row>
    <row r="22" spans="1:21" ht="13.5" customHeight="1">
      <c r="A22" s="182"/>
      <c r="B22" s="107"/>
      <c r="C22" s="21" t="s">
        <v>388</v>
      </c>
      <c r="D22" s="166" t="s">
        <v>239</v>
      </c>
      <c r="E22" s="387">
        <f>VLOOKUP("Senior_Expense_Deficit",calcdata_20,2,0)</f>
        <v>0</v>
      </c>
      <c r="F22" s="101"/>
      <c r="G22" s="101"/>
      <c r="H22" s="101"/>
      <c r="I22" s="986" t="s">
        <v>508</v>
      </c>
      <c r="J22" s="986"/>
      <c r="K22" s="986"/>
      <c r="L22" s="160" t="s">
        <v>239</v>
      </c>
      <c r="M22" s="376">
        <f>VLOOKUP("PDL",calcdata_20,2,0)</f>
        <v>877657.75</v>
      </c>
      <c r="N22" s="101"/>
      <c r="O22" s="101"/>
      <c r="P22" s="101"/>
      <c r="Q22" s="101"/>
      <c r="R22" s="101"/>
      <c r="S22" s="101"/>
      <c r="T22" s="113"/>
      <c r="U22" s="176"/>
    </row>
    <row r="23" spans="1:21" ht="13.5" customHeight="1" thickBot="1">
      <c r="A23" s="182"/>
      <c r="B23" s="107"/>
      <c r="C23" s="101" t="s">
        <v>503</v>
      </c>
      <c r="D23" s="166" t="s">
        <v>239</v>
      </c>
      <c r="E23" s="376">
        <f>VLOOKUP("Other_amounts_paid_Interests",calcdata_20,2,0)</f>
        <v>0</v>
      </c>
      <c r="F23" s="101"/>
      <c r="G23" s="101"/>
      <c r="H23" s="101"/>
      <c r="I23" s="986" t="s">
        <v>241</v>
      </c>
      <c r="J23" s="986"/>
      <c r="K23" s="986"/>
      <c r="L23" s="160" t="s">
        <v>239</v>
      </c>
      <c r="M23" s="376">
        <f>VLOOKUP("Rounding_differences_previous",calcdata_20,2,0)</f>
        <v>0</v>
      </c>
      <c r="N23" s="101"/>
      <c r="O23" s="101"/>
      <c r="P23" s="101"/>
      <c r="Q23" s="101"/>
      <c r="R23" s="101"/>
      <c r="S23" s="101"/>
      <c r="T23" s="113"/>
      <c r="U23" s="176"/>
    </row>
    <row r="24" spans="1:21" ht="13.5" customHeight="1" thickTop="1">
      <c r="A24" s="182"/>
      <c r="B24" s="107"/>
      <c r="C24" s="101" t="s">
        <v>236</v>
      </c>
      <c r="D24" s="166" t="s">
        <v>15</v>
      </c>
      <c r="E24" s="377">
        <f>VLOOKUP("Available_Interest_amount",calcdata_20,2,0)</f>
        <v>8326466.0600000005</v>
      </c>
      <c r="F24" s="101"/>
      <c r="G24" s="101"/>
      <c r="H24" s="101"/>
      <c r="I24" s="986" t="s">
        <v>237</v>
      </c>
      <c r="J24" s="986"/>
      <c r="K24" s="986"/>
      <c r="L24" s="160" t="s">
        <v>15</v>
      </c>
      <c r="M24" s="377">
        <f>VLOOKUP("Available_Principal_amount",calcdata_20,2,0)</f>
        <v>14290643.489999983</v>
      </c>
      <c r="N24" s="101"/>
      <c r="O24" s="101"/>
      <c r="P24" s="101"/>
      <c r="Q24" s="101"/>
      <c r="R24" s="101"/>
      <c r="S24" s="101"/>
      <c r="T24" s="113"/>
      <c r="U24" s="176"/>
    </row>
    <row r="25" spans="1:21">
      <c r="A25" s="182"/>
      <c r="B25" s="148"/>
      <c r="C25" s="150"/>
      <c r="D25" s="378"/>
      <c r="E25" s="56"/>
      <c r="F25" s="150"/>
      <c r="G25" s="150"/>
      <c r="H25" s="150"/>
      <c r="I25" s="150"/>
      <c r="J25" s="150"/>
      <c r="K25" s="150"/>
      <c r="L25" s="379"/>
      <c r="M25" s="150"/>
      <c r="N25" s="150"/>
      <c r="O25" s="150"/>
      <c r="P25" s="150"/>
      <c r="Q25" s="150"/>
      <c r="R25" s="150"/>
      <c r="S25" s="150"/>
      <c r="T25" s="151"/>
      <c r="U25" s="176"/>
    </row>
    <row r="26" spans="1:21">
      <c r="A26" s="182"/>
      <c r="B26" s="101"/>
      <c r="C26" s="101"/>
      <c r="D26" s="166"/>
      <c r="E26" s="21"/>
      <c r="F26" s="101"/>
      <c r="G26" s="101"/>
      <c r="H26" s="101"/>
      <c r="I26" s="101"/>
      <c r="J26" s="101"/>
      <c r="K26" s="101"/>
      <c r="L26" s="160"/>
      <c r="M26" s="101"/>
      <c r="N26" s="101"/>
      <c r="O26" s="101"/>
      <c r="P26" s="101"/>
      <c r="Q26" s="101"/>
      <c r="R26" s="101"/>
      <c r="S26" s="101"/>
      <c r="T26" s="101"/>
      <c r="U26" s="176"/>
    </row>
    <row r="27" spans="1:21" ht="18">
      <c r="A27" s="182"/>
      <c r="B27" s="108" t="s">
        <v>474</v>
      </c>
      <c r="C27" s="108"/>
      <c r="D27" s="166"/>
      <c r="E27" s="213"/>
      <c r="F27" s="213"/>
      <c r="G27" s="108"/>
      <c r="H27" s="174"/>
      <c r="I27" s="108" t="s">
        <v>475</v>
      </c>
      <c r="J27" s="174"/>
      <c r="K27" s="174"/>
      <c r="L27" s="380"/>
      <c r="M27" s="175"/>
      <c r="N27" s="175"/>
      <c r="O27" s="175"/>
      <c r="P27" s="175"/>
      <c r="Q27" s="175"/>
      <c r="R27" s="175"/>
      <c r="S27" s="175"/>
      <c r="T27" s="21"/>
      <c r="U27" s="176"/>
    </row>
    <row r="28" spans="1:21" ht="10.5" customHeight="1">
      <c r="A28" s="182"/>
      <c r="B28" s="103"/>
      <c r="C28" s="381"/>
      <c r="D28" s="374"/>
      <c r="E28" s="382"/>
      <c r="F28" s="382"/>
      <c r="G28" s="383"/>
      <c r="H28" s="384"/>
      <c r="I28" s="383"/>
      <c r="J28" s="384"/>
      <c r="K28" s="384"/>
      <c r="L28" s="385"/>
      <c r="M28" s="386"/>
      <c r="N28" s="386"/>
      <c r="O28" s="386"/>
      <c r="P28" s="386"/>
      <c r="Q28" s="386"/>
      <c r="R28" s="386"/>
      <c r="S28" s="386"/>
      <c r="T28" s="156"/>
      <c r="U28" s="176"/>
    </row>
    <row r="29" spans="1:21" ht="13.5" customHeight="1">
      <c r="A29" s="182"/>
      <c r="B29" s="107"/>
      <c r="C29" s="92" t="s">
        <v>236</v>
      </c>
      <c r="D29" s="92"/>
      <c r="E29" s="387">
        <f>VLOOKUP("Available_Interest_amount",calcdata_20,2,0)</f>
        <v>8326466.0600000005</v>
      </c>
      <c r="F29" s="282"/>
      <c r="G29" s="21"/>
      <c r="H29" s="283"/>
      <c r="I29" s="986" t="s">
        <v>237</v>
      </c>
      <c r="J29" s="986"/>
      <c r="K29" s="986"/>
      <c r="L29" s="284"/>
      <c r="M29" s="387">
        <f>VLOOKUP("Available_Principal_amount",calcdata_20,2,0)</f>
        <v>14290643.489999983</v>
      </c>
      <c r="N29" s="174"/>
      <c r="O29" s="174"/>
      <c r="P29" s="174"/>
      <c r="Q29" s="174"/>
      <c r="R29" s="174"/>
      <c r="S29" s="174"/>
      <c r="T29" s="176"/>
      <c r="U29" s="176"/>
    </row>
    <row r="30" spans="1:21" ht="13.5" customHeight="1">
      <c r="A30" s="182"/>
      <c r="B30" s="182"/>
      <c r="C30" s="92" t="s">
        <v>355</v>
      </c>
      <c r="D30" s="93" t="s">
        <v>35</v>
      </c>
      <c r="E30" s="387">
        <f>VLOOKUP("Senior_expenses",calcdata_20,2,0)</f>
        <v>8799.7099999999991</v>
      </c>
      <c r="F30" s="286"/>
      <c r="G30" s="21"/>
      <c r="H30" s="288"/>
      <c r="I30" s="986" t="s">
        <v>356</v>
      </c>
      <c r="J30" s="986"/>
      <c r="K30" s="986"/>
      <c r="L30" s="287" t="s">
        <v>35</v>
      </c>
      <c r="M30" s="387">
        <f>VLOOKUP("Senior_Expense_Deficit",calcdata_20,2,0)</f>
        <v>0</v>
      </c>
      <c r="N30" s="220"/>
      <c r="O30" s="220"/>
      <c r="P30" s="220"/>
      <c r="Q30" s="220"/>
      <c r="R30" s="220"/>
      <c r="S30" s="220"/>
      <c r="T30" s="176"/>
      <c r="U30" s="176"/>
    </row>
    <row r="31" spans="1:21" ht="13.5" customHeight="1">
      <c r="A31" s="182"/>
      <c r="B31" s="182"/>
      <c r="C31" s="21" t="s">
        <v>357</v>
      </c>
      <c r="D31" s="93" t="s">
        <v>35</v>
      </c>
      <c r="E31" s="387">
        <f>VLOOKUP("Swap_payment",calcdata_20,2,0)</f>
        <v>0</v>
      </c>
      <c r="F31" s="286"/>
      <c r="G31" s="21"/>
      <c r="H31" s="288"/>
      <c r="I31" s="986" t="s">
        <v>477</v>
      </c>
      <c r="J31" s="986"/>
      <c r="K31" s="986"/>
      <c r="L31" s="146" t="s">
        <v>15</v>
      </c>
      <c r="M31" s="387">
        <f>M29-M30</f>
        <v>14290643.489999983</v>
      </c>
      <c r="N31" s="220"/>
      <c r="O31" s="220"/>
      <c r="P31" s="220"/>
      <c r="Q31" s="220"/>
      <c r="R31" s="220"/>
      <c r="S31" s="220"/>
      <c r="T31" s="176"/>
      <c r="U31" s="176"/>
    </row>
    <row r="32" spans="1:21" ht="13.5" customHeight="1">
      <c r="A32" s="182"/>
      <c r="B32" s="182"/>
      <c r="C32" s="92" t="s">
        <v>242</v>
      </c>
      <c r="D32" s="93" t="s">
        <v>35</v>
      </c>
      <c r="E32" s="387">
        <f>VLOOKUP("A_interest_amount_notes",calcdata_20,2,0)</f>
        <v>547082.1</v>
      </c>
      <c r="F32" s="286"/>
      <c r="G32" s="21"/>
      <c r="H32" s="288"/>
      <c r="I32" s="986" t="s">
        <v>243</v>
      </c>
      <c r="J32" s="986"/>
      <c r="K32" s="986"/>
      <c r="L32" s="287" t="s">
        <v>35</v>
      </c>
      <c r="M32" s="387">
        <f>VLOOKUP("Replenishment",calcdata_20,2,0)</f>
        <v>0</v>
      </c>
      <c r="N32" s="220"/>
      <c r="O32" s="220"/>
      <c r="P32" s="220"/>
      <c r="Q32" s="220"/>
      <c r="R32" s="220"/>
      <c r="S32" s="220"/>
      <c r="T32" s="176"/>
      <c r="U32" s="176"/>
    </row>
    <row r="33" spans="1:21" ht="13.5" customHeight="1">
      <c r="A33" s="182"/>
      <c r="B33" s="182"/>
      <c r="C33" s="92" t="s">
        <v>358</v>
      </c>
      <c r="D33" s="93" t="s">
        <v>35</v>
      </c>
      <c r="E33" s="387">
        <f>VLOOKUP("b_interest_amount_notes",calcdata_20,2,0)</f>
        <v>43526.700000000004</v>
      </c>
      <c r="F33" s="286"/>
      <c r="G33" s="21"/>
      <c r="H33" s="288"/>
      <c r="I33" s="986" t="s">
        <v>147</v>
      </c>
      <c r="J33" s="986"/>
      <c r="K33" s="986"/>
      <c r="L33" s="287" t="s">
        <v>35</v>
      </c>
      <c r="M33" s="387">
        <f>VLOOKUP("Purchase_shortfall",calcdata_20,2,0)</f>
        <v>160.43999998038635</v>
      </c>
      <c r="N33" s="220"/>
      <c r="O33" s="220"/>
      <c r="P33" s="220"/>
      <c r="Q33" s="220"/>
      <c r="R33" s="220"/>
      <c r="S33" s="220"/>
      <c r="T33" s="176"/>
      <c r="U33" s="176"/>
    </row>
    <row r="34" spans="1:21" ht="13.5" customHeight="1">
      <c r="A34" s="182"/>
      <c r="B34" s="182"/>
      <c r="C34" s="92" t="s">
        <v>359</v>
      </c>
      <c r="D34" s="93" t="s">
        <v>35</v>
      </c>
      <c r="E34" s="387">
        <f>VLOOKUP("c_interest_amount_notes",calcdata_20,2,0)</f>
        <v>58860</v>
      </c>
      <c r="F34" s="286"/>
      <c r="G34" s="21"/>
      <c r="H34" s="288"/>
      <c r="I34" s="986" t="s">
        <v>478</v>
      </c>
      <c r="J34" s="986"/>
      <c r="K34" s="986"/>
      <c r="L34" s="287" t="s">
        <v>35</v>
      </c>
      <c r="M34" s="387">
        <f>VLOOKUP("A_prorata_Principal",calcdata_20,2,0)</f>
        <v>11183856.300000001</v>
      </c>
      <c r="N34" s="220"/>
      <c r="O34" s="220"/>
      <c r="P34" s="220"/>
      <c r="Q34" s="220"/>
      <c r="R34" s="220"/>
      <c r="S34" s="220"/>
      <c r="T34" s="176"/>
      <c r="U34" s="176"/>
    </row>
    <row r="35" spans="1:21" ht="13.5" customHeight="1">
      <c r="A35" s="182"/>
      <c r="B35" s="182"/>
      <c r="C35" s="92" t="s">
        <v>361</v>
      </c>
      <c r="D35" s="93" t="s">
        <v>35</v>
      </c>
      <c r="E35" s="387">
        <f>VLOOKUP("d_interest_amount_notes",calcdata_20,2,0)</f>
        <v>52698.6</v>
      </c>
      <c r="F35" s="286"/>
      <c r="G35" s="21"/>
      <c r="H35" s="288"/>
      <c r="I35" s="986" t="s">
        <v>479</v>
      </c>
      <c r="J35" s="986"/>
      <c r="K35" s="986"/>
      <c r="L35" s="287" t="s">
        <v>35</v>
      </c>
      <c r="M35" s="387">
        <f>VLOOKUP("b_prorata_Principal",calcdata_20,2,0)</f>
        <v>767519.55</v>
      </c>
      <c r="N35" s="220"/>
      <c r="O35" s="220"/>
      <c r="P35" s="220"/>
      <c r="Q35" s="220"/>
      <c r="R35" s="220"/>
      <c r="S35" s="220"/>
      <c r="T35" s="176"/>
      <c r="U35" s="176"/>
    </row>
    <row r="36" spans="1:21" ht="13.5" customHeight="1">
      <c r="A36" s="182"/>
      <c r="B36" s="182"/>
      <c r="C36" s="92" t="s">
        <v>363</v>
      </c>
      <c r="D36" s="93" t="s">
        <v>35</v>
      </c>
      <c r="E36" s="387">
        <f>VLOOKUP("e_interest_amount_notes",calcdata_20,2,0)</f>
        <v>45770.400000000001</v>
      </c>
      <c r="F36" s="286"/>
      <c r="G36" s="21"/>
      <c r="H36" s="288"/>
      <c r="I36" s="986" t="s">
        <v>480</v>
      </c>
      <c r="J36" s="986"/>
      <c r="K36" s="986"/>
      <c r="L36" s="287" t="s">
        <v>35</v>
      </c>
      <c r="M36" s="387">
        <f>VLOOKUP("c_prorata_Principal",calcdata_20,2,0)</f>
        <v>877165.20000000007</v>
      </c>
      <c r="N36" s="220"/>
      <c r="O36" s="220"/>
      <c r="P36" s="220"/>
      <c r="Q36" s="220"/>
      <c r="R36" s="220"/>
      <c r="S36" s="220"/>
      <c r="T36" s="176"/>
      <c r="U36" s="176"/>
    </row>
    <row r="37" spans="1:21" ht="13.5" customHeight="1">
      <c r="A37" s="182"/>
      <c r="B37" s="182"/>
      <c r="C37" s="92" t="s">
        <v>365</v>
      </c>
      <c r="D37" s="93" t="s">
        <v>35</v>
      </c>
      <c r="E37" s="387">
        <f>VLOOKUP("f_interest_amount_notes",calcdata_20,2,0)</f>
        <v>47007</v>
      </c>
      <c r="F37" s="286"/>
      <c r="G37" s="21"/>
      <c r="H37" s="288"/>
      <c r="I37" s="986" t="s">
        <v>481</v>
      </c>
      <c r="J37" s="986"/>
      <c r="K37" s="986"/>
      <c r="L37" s="287" t="s">
        <v>35</v>
      </c>
      <c r="M37" s="387">
        <f>VLOOKUP("d_prorata_Principal",calcdata_20,2,0)</f>
        <v>657873.9</v>
      </c>
      <c r="N37" s="220"/>
      <c r="O37" s="220"/>
      <c r="P37" s="220"/>
      <c r="Q37" s="220"/>
      <c r="R37" s="220"/>
      <c r="S37" s="220"/>
      <c r="T37" s="176"/>
      <c r="U37" s="176"/>
    </row>
    <row r="38" spans="1:21" ht="13.5" customHeight="1">
      <c r="A38" s="182"/>
      <c r="B38" s="182"/>
      <c r="C38" s="92" t="s">
        <v>367</v>
      </c>
      <c r="D38" s="93" t="s">
        <v>35</v>
      </c>
      <c r="E38" s="387">
        <f>VLOOKUP("Liquidity_Reserve_amount_Repl",calcdata_20,2,0)</f>
        <v>6000000</v>
      </c>
      <c r="F38" s="286"/>
      <c r="G38" s="21"/>
      <c r="H38" s="288"/>
      <c r="I38" s="986" t="s">
        <v>482</v>
      </c>
      <c r="J38" s="986"/>
      <c r="K38" s="986"/>
      <c r="L38" s="287" t="s">
        <v>35</v>
      </c>
      <c r="M38" s="387">
        <f>VLOOKUP("e_prorata_Principal",calcdata_20,2,0)</f>
        <v>438582.60000000003</v>
      </c>
      <c r="N38" s="220"/>
      <c r="O38" s="220"/>
      <c r="P38" s="220"/>
      <c r="Q38" s="220"/>
      <c r="R38" s="220"/>
      <c r="S38" s="220"/>
      <c r="T38" s="176"/>
      <c r="U38" s="176"/>
    </row>
    <row r="39" spans="1:21" ht="13.5" customHeight="1">
      <c r="A39" s="182"/>
      <c r="B39" s="182"/>
      <c r="C39" s="92" t="s">
        <v>369</v>
      </c>
      <c r="D39" s="93" t="s">
        <v>35</v>
      </c>
      <c r="E39" s="387">
        <f>VLOOKUP("Liqduidity_Reserve_Reduction_Amount",calcdata_20,2,0)</f>
        <v>0</v>
      </c>
      <c r="F39" s="286"/>
      <c r="G39" s="21"/>
      <c r="H39" s="288"/>
      <c r="I39" s="986" t="s">
        <v>483</v>
      </c>
      <c r="J39" s="986"/>
      <c r="K39" s="986"/>
      <c r="L39" s="287" t="s">
        <v>35</v>
      </c>
      <c r="M39" s="387">
        <f>VLOOKUP("f_prorata_Principal",calcdata_20,2,0)</f>
        <v>365485.5</v>
      </c>
      <c r="N39" s="220"/>
      <c r="O39" s="220"/>
      <c r="P39" s="220"/>
      <c r="Q39" s="220"/>
      <c r="R39" s="220"/>
      <c r="S39" s="220"/>
      <c r="T39" s="176"/>
      <c r="U39" s="176"/>
    </row>
    <row r="40" spans="1:21" ht="13.5" customHeight="1">
      <c r="A40" s="182"/>
      <c r="B40" s="182"/>
      <c r="C40" s="92" t="s">
        <v>371</v>
      </c>
      <c r="D40" s="93" t="s">
        <v>35</v>
      </c>
      <c r="E40" s="387">
        <f>VLOOKUP("Elimination_PDL",calcdata_20,2,0)</f>
        <v>877657.75</v>
      </c>
      <c r="F40" s="286"/>
      <c r="G40" s="21"/>
      <c r="H40" s="288"/>
      <c r="I40" s="986" t="s">
        <v>360</v>
      </c>
      <c r="J40" s="986"/>
      <c r="K40" s="986"/>
      <c r="L40" s="287" t="s">
        <v>35</v>
      </c>
      <c r="M40" s="387">
        <f>VLOOKUP("A_sequential_Principal",calcdata_20,2,0)</f>
        <v>0</v>
      </c>
      <c r="N40" s="225"/>
      <c r="O40" s="225"/>
      <c r="P40" s="225"/>
      <c r="Q40" s="225"/>
      <c r="R40" s="225"/>
      <c r="S40" s="225"/>
      <c r="T40" s="176"/>
      <c r="U40" s="176"/>
    </row>
    <row r="41" spans="1:21" ht="13.5" customHeight="1">
      <c r="A41" s="182"/>
      <c r="B41" s="182"/>
      <c r="C41" s="92" t="s">
        <v>372</v>
      </c>
      <c r="D41" s="93" t="s">
        <v>35</v>
      </c>
      <c r="E41" s="387">
        <f>VLOOKUP("B_Interests_notes",calcdata_20,2,0)</f>
        <v>0</v>
      </c>
      <c r="F41" s="286"/>
      <c r="G41" s="21"/>
      <c r="H41" s="288"/>
      <c r="I41" s="986" t="s">
        <v>510</v>
      </c>
      <c r="J41" s="986"/>
      <c r="K41" s="986"/>
      <c r="L41" s="287" t="s">
        <v>35</v>
      </c>
      <c r="M41" s="387">
        <f>VLOOKUP("B_to_G_Full_Redemption",calcdata_20,2,0)</f>
        <v>0</v>
      </c>
      <c r="N41" s="225"/>
      <c r="O41" s="225"/>
      <c r="P41" s="225"/>
      <c r="Q41" s="225"/>
      <c r="R41" s="225"/>
      <c r="S41" s="225"/>
      <c r="T41" s="176"/>
      <c r="U41" s="176"/>
    </row>
    <row r="42" spans="1:21" ht="13.5" customHeight="1">
      <c r="A42" s="182"/>
      <c r="B42" s="182"/>
      <c r="C42" s="92" t="s">
        <v>373</v>
      </c>
      <c r="D42" s="93" t="s">
        <v>35</v>
      </c>
      <c r="E42" s="387">
        <f>VLOOKUP("C_Interests_notes",calcdata_20,2,0)</f>
        <v>0</v>
      </c>
      <c r="F42" s="286"/>
      <c r="G42" s="21"/>
      <c r="H42" s="288"/>
      <c r="I42" s="986" t="s">
        <v>362</v>
      </c>
      <c r="J42" s="986"/>
      <c r="K42" s="986"/>
      <c r="L42" s="287" t="s">
        <v>35</v>
      </c>
      <c r="M42" s="387">
        <f>VLOOKUP("B_Redemption_triggerbreach",calcdata_20,2,0)</f>
        <v>0</v>
      </c>
      <c r="N42" s="225"/>
      <c r="O42" s="225"/>
      <c r="P42" s="225"/>
      <c r="Q42" s="225"/>
      <c r="R42" s="225"/>
      <c r="S42" s="225"/>
      <c r="T42" s="176"/>
      <c r="U42" s="176"/>
    </row>
    <row r="43" spans="1:21" ht="13.5" customHeight="1">
      <c r="A43" s="182"/>
      <c r="B43" s="182"/>
      <c r="C43" s="92" t="s">
        <v>374</v>
      </c>
      <c r="D43" s="93" t="s">
        <v>35</v>
      </c>
      <c r="E43" s="387">
        <f>VLOOKUP("D_Interests_notes",calcdata_20,2,0)</f>
        <v>0</v>
      </c>
      <c r="F43" s="286"/>
      <c r="G43" s="21"/>
      <c r="H43" s="288"/>
      <c r="I43" s="986" t="s">
        <v>364</v>
      </c>
      <c r="J43" s="986"/>
      <c r="K43" s="986"/>
      <c r="L43" s="287" t="s">
        <v>35</v>
      </c>
      <c r="M43" s="387">
        <f>VLOOKUP("c_Redemption_triggerbreach",calcdata_20,2,0)</f>
        <v>0</v>
      </c>
      <c r="N43" s="225"/>
      <c r="O43" s="225"/>
      <c r="P43" s="225"/>
      <c r="Q43" s="225"/>
      <c r="R43" s="225"/>
      <c r="S43" s="225"/>
      <c r="T43" s="176"/>
      <c r="U43" s="176"/>
    </row>
    <row r="44" spans="1:21" ht="13.5" customHeight="1">
      <c r="A44" s="182"/>
      <c r="B44" s="182"/>
      <c r="C44" s="92" t="s">
        <v>375</v>
      </c>
      <c r="D44" s="93" t="s">
        <v>35</v>
      </c>
      <c r="E44" s="387">
        <f>VLOOKUP("E_Interests_notes",calcdata_20,2,0)</f>
        <v>0</v>
      </c>
      <c r="F44" s="286"/>
      <c r="G44" s="21"/>
      <c r="H44" s="288"/>
      <c r="I44" s="986" t="s">
        <v>366</v>
      </c>
      <c r="J44" s="986"/>
      <c r="K44" s="986"/>
      <c r="L44" s="287" t="s">
        <v>35</v>
      </c>
      <c r="M44" s="387">
        <f>VLOOKUP("d_Redemption_triggerbreach",calcdata_20,2,0)</f>
        <v>0</v>
      </c>
      <c r="N44" s="225"/>
      <c r="O44" s="225"/>
      <c r="P44" s="225"/>
      <c r="Q44" s="225"/>
      <c r="R44" s="225"/>
      <c r="S44" s="225"/>
      <c r="T44" s="176"/>
      <c r="U44" s="176"/>
    </row>
    <row r="45" spans="1:21" ht="13.5" customHeight="1">
      <c r="A45" s="182"/>
      <c r="B45" s="182"/>
      <c r="C45" s="92" t="s">
        <v>376</v>
      </c>
      <c r="D45" s="93" t="s">
        <v>35</v>
      </c>
      <c r="E45" s="387">
        <f>VLOOKUP("F_Interests_notes",calcdata_20,2,0)</f>
        <v>0</v>
      </c>
      <c r="F45" s="286"/>
      <c r="G45" s="21"/>
      <c r="H45" s="288"/>
      <c r="I45" s="986" t="s">
        <v>368</v>
      </c>
      <c r="J45" s="986"/>
      <c r="K45" s="986"/>
      <c r="L45" s="287" t="s">
        <v>35</v>
      </c>
      <c r="M45" s="387">
        <f>VLOOKUP("e_Redemption_triggerbreach",calcdata_20,2,0)</f>
        <v>0</v>
      </c>
      <c r="N45" s="225"/>
      <c r="O45" s="225"/>
      <c r="P45" s="225"/>
      <c r="Q45" s="225"/>
      <c r="R45" s="225"/>
      <c r="S45" s="225"/>
      <c r="T45" s="176"/>
      <c r="U45" s="176"/>
    </row>
    <row r="46" spans="1:21" ht="13.5" customHeight="1">
      <c r="A46" s="182"/>
      <c r="B46" s="182"/>
      <c r="C46" s="92" t="s">
        <v>377</v>
      </c>
      <c r="D46" s="93" t="s">
        <v>35</v>
      </c>
      <c r="E46" s="387">
        <f>VLOOKUP("G_Interests_notes",calcdata_20,2,0)</f>
        <v>0</v>
      </c>
      <c r="F46" s="286"/>
      <c r="G46" s="21"/>
      <c r="H46" s="288"/>
      <c r="I46" s="986" t="s">
        <v>370</v>
      </c>
      <c r="J46" s="986"/>
      <c r="K46" s="986"/>
      <c r="L46" s="287" t="s">
        <v>35</v>
      </c>
      <c r="M46" s="387">
        <f>VLOOKUP("f_Redemption_triggerbreach",calcdata_20,2,0)</f>
        <v>0</v>
      </c>
      <c r="N46" s="225"/>
      <c r="O46" s="225"/>
      <c r="P46" s="225"/>
      <c r="Q46" s="225"/>
      <c r="R46" s="225"/>
      <c r="S46" s="225"/>
      <c r="T46" s="176"/>
      <c r="U46" s="176"/>
    </row>
    <row r="47" spans="1:21" ht="13.5" customHeight="1">
      <c r="A47" s="182"/>
      <c r="B47" s="182"/>
      <c r="C47" s="92" t="s">
        <v>509</v>
      </c>
      <c r="D47" s="93" t="s">
        <v>35</v>
      </c>
      <c r="E47" s="387">
        <f>VLOOKUP("Mezzanine_loan_interests",calcdata_20,2,0)</f>
        <v>0</v>
      </c>
      <c r="F47" s="286"/>
      <c r="G47" s="21"/>
      <c r="H47" s="288"/>
      <c r="I47" s="986" t="s">
        <v>345</v>
      </c>
      <c r="J47" s="986"/>
      <c r="K47" s="986"/>
      <c r="L47" s="287" t="s">
        <v>35</v>
      </c>
      <c r="M47" s="387">
        <f>VLOOKUP("G_Redemption_Principal",calcdata_20,2,0)</f>
        <v>0</v>
      </c>
      <c r="N47" s="225"/>
      <c r="O47" s="225"/>
      <c r="P47" s="225"/>
      <c r="Q47" s="225"/>
      <c r="R47" s="225"/>
      <c r="S47" s="225"/>
      <c r="T47" s="176"/>
      <c r="U47" s="176"/>
    </row>
    <row r="48" spans="1:21" ht="13.5" customHeight="1" thickBot="1">
      <c r="A48" s="182"/>
      <c r="B48" s="182"/>
      <c r="C48" s="92" t="s">
        <v>378</v>
      </c>
      <c r="D48" s="93" t="s">
        <v>35</v>
      </c>
      <c r="E48" s="387">
        <f>VLOOKUP("Subordinated_swap_amounts",calcdata_20,2,0)</f>
        <v>0</v>
      </c>
      <c r="F48" s="286"/>
      <c r="G48" s="21"/>
      <c r="H48" s="288"/>
      <c r="I48" s="986" t="s">
        <v>511</v>
      </c>
      <c r="J48" s="986"/>
      <c r="K48" s="986"/>
      <c r="L48" s="287" t="s">
        <v>35</v>
      </c>
      <c r="M48" s="387">
        <f>VLOOKUP("Mezzanine_loan_principal",calcdata_20,2,0)</f>
        <v>0</v>
      </c>
      <c r="N48" s="225"/>
      <c r="O48" s="225"/>
      <c r="P48" s="225"/>
      <c r="Q48" s="225"/>
      <c r="R48" s="225"/>
      <c r="S48" s="225"/>
      <c r="T48" s="176"/>
      <c r="U48" s="176"/>
    </row>
    <row r="49" spans="1:21" ht="13.5" customHeight="1" thickTop="1">
      <c r="A49" s="182"/>
      <c r="B49" s="182"/>
      <c r="C49" s="92" t="s">
        <v>383</v>
      </c>
      <c r="D49" s="93" t="s">
        <v>35</v>
      </c>
      <c r="E49" s="387">
        <f>VLOOKUP("Fees_commingling_setoff_reserve",calcdata_20,2,0)</f>
        <v>0</v>
      </c>
      <c r="F49" s="286"/>
      <c r="G49" s="21"/>
      <c r="H49" s="288"/>
      <c r="I49" s="986" t="s">
        <v>512</v>
      </c>
      <c r="J49" s="986"/>
      <c r="K49" s="986"/>
      <c r="L49" s="287"/>
      <c r="M49" s="377">
        <f>VLOOKUP("Transaction_Account_remaining_amount",calcdata_20,2,0)</f>
        <v>0</v>
      </c>
      <c r="N49" s="225"/>
      <c r="O49" s="225"/>
      <c r="P49" s="225"/>
      <c r="Q49" s="225"/>
      <c r="R49" s="225"/>
      <c r="S49" s="225"/>
      <c r="T49" s="176"/>
      <c r="U49" s="176"/>
    </row>
    <row r="50" spans="1:21" ht="13.5" customHeight="1">
      <c r="A50" s="182"/>
      <c r="B50" s="182"/>
      <c r="C50" s="92" t="s">
        <v>379</v>
      </c>
      <c r="D50" s="93" t="s">
        <v>35</v>
      </c>
      <c r="E50" s="387">
        <f>VLOOKUP("Liqudity_Reserve_Interests",calcdata_20,2,0)</f>
        <v>0</v>
      </c>
      <c r="F50" s="286"/>
      <c r="G50" s="21"/>
      <c r="H50" s="288"/>
      <c r="I50" s="388"/>
      <c r="J50" s="287"/>
      <c r="K50" s="287"/>
      <c r="L50" s="287"/>
      <c r="M50" s="225"/>
      <c r="N50" s="225"/>
      <c r="O50" s="225"/>
      <c r="P50" s="225"/>
      <c r="Q50" s="225"/>
      <c r="R50" s="225"/>
      <c r="S50" s="225"/>
      <c r="T50" s="176"/>
      <c r="U50" s="176"/>
    </row>
    <row r="51" spans="1:21" ht="13.5" customHeight="1">
      <c r="A51" s="182"/>
      <c r="B51" s="182"/>
      <c r="C51" s="92" t="s">
        <v>380</v>
      </c>
      <c r="D51" s="93" t="s">
        <v>35</v>
      </c>
      <c r="E51" s="387">
        <f>VLOOKUP("Liqudity_Reserve_Principal",calcdata_20,2,0)</f>
        <v>0</v>
      </c>
      <c r="F51" s="286"/>
      <c r="G51" s="21"/>
      <c r="H51" s="288"/>
      <c r="I51" s="388"/>
      <c r="J51" s="287"/>
      <c r="K51" s="287"/>
      <c r="L51" s="287"/>
      <c r="M51" s="225"/>
      <c r="N51" s="225"/>
      <c r="O51" s="225"/>
      <c r="P51" s="225"/>
      <c r="Q51" s="225"/>
      <c r="R51" s="225"/>
      <c r="S51" s="225"/>
      <c r="T51" s="176"/>
      <c r="U51" s="176"/>
    </row>
    <row r="52" spans="1:21" ht="13.5" customHeight="1" thickBot="1">
      <c r="A52" s="182"/>
      <c r="B52" s="182"/>
      <c r="C52" s="92" t="s">
        <v>381</v>
      </c>
      <c r="D52" s="93" t="s">
        <v>35</v>
      </c>
      <c r="E52" s="387">
        <f>VLOOKUP("Target_Amortisation_Class_G",calcdata_20,2,0)</f>
        <v>0</v>
      </c>
      <c r="F52" s="286"/>
      <c r="G52" s="21"/>
      <c r="H52" s="288"/>
      <c r="I52" s="388"/>
      <c r="J52" s="287"/>
      <c r="K52" s="287"/>
      <c r="L52" s="287"/>
      <c r="M52" s="225"/>
      <c r="N52" s="225"/>
      <c r="O52" s="225"/>
      <c r="P52" s="225"/>
      <c r="Q52" s="225"/>
      <c r="R52" s="225"/>
      <c r="S52" s="225"/>
      <c r="T52" s="176"/>
      <c r="U52" s="176"/>
    </row>
    <row r="53" spans="1:21" ht="13.5" customHeight="1" thickTop="1">
      <c r="A53" s="182"/>
      <c r="B53" s="182"/>
      <c r="C53" s="389" t="s">
        <v>382</v>
      </c>
      <c r="D53" s="94"/>
      <c r="E53" s="377">
        <f>VLOOKUP("Remaining_amount_seller",calcdata_20,2,0)</f>
        <v>645063.80000000075</v>
      </c>
      <c r="F53" s="368"/>
      <c r="G53" s="939"/>
      <c r="H53" s="369"/>
      <c r="I53" s="223"/>
      <c r="J53" s="220"/>
      <c r="K53" s="220"/>
      <c r="L53" s="220"/>
      <c r="M53" s="225"/>
      <c r="N53" s="225"/>
      <c r="O53" s="225"/>
      <c r="P53" s="225"/>
      <c r="Q53" s="225"/>
      <c r="R53" s="225"/>
      <c r="S53" s="225"/>
      <c r="T53" s="176"/>
      <c r="U53" s="176"/>
    </row>
    <row r="54" spans="1:21" ht="13.5" customHeight="1">
      <c r="A54" s="182"/>
      <c r="B54" s="196"/>
      <c r="C54" s="29"/>
      <c r="D54" s="11"/>
      <c r="E54" s="56"/>
      <c r="F54" s="56"/>
      <c r="G54" s="56"/>
      <c r="H54" s="56"/>
      <c r="I54" s="56"/>
      <c r="J54" s="56"/>
      <c r="K54" s="56"/>
      <c r="L54" s="56"/>
      <c r="M54" s="56"/>
      <c r="N54" s="56"/>
      <c r="O54" s="56"/>
      <c r="P54" s="56"/>
      <c r="Q54" s="56"/>
      <c r="R54" s="56"/>
      <c r="S54" s="56"/>
      <c r="T54" s="197"/>
      <c r="U54" s="176"/>
    </row>
    <row r="55" spans="1:21" ht="18" customHeight="1">
      <c r="A55" s="182"/>
      <c r="B55" s="21"/>
      <c r="C55" s="90"/>
      <c r="D55" s="91"/>
      <c r="E55" s="49"/>
      <c r="F55" s="49"/>
      <c r="G55" s="49"/>
      <c r="H55" s="49"/>
      <c r="I55" s="49"/>
      <c r="J55" s="49"/>
      <c r="K55" s="49"/>
      <c r="L55" s="49"/>
      <c r="M55" s="49"/>
      <c r="N55" s="49"/>
      <c r="O55" s="49"/>
      <c r="P55" s="49"/>
      <c r="Q55" s="49"/>
      <c r="R55" s="49"/>
      <c r="S55" s="49"/>
      <c r="T55" s="49"/>
      <c r="U55" s="176"/>
    </row>
    <row r="56" spans="1:21" ht="13.5" customHeight="1">
      <c r="A56" s="182"/>
      <c r="B56" s="21"/>
      <c r="C56" s="14"/>
      <c r="D56" s="13"/>
      <c r="E56" s="21"/>
      <c r="F56" s="21"/>
      <c r="G56" s="21"/>
      <c r="H56" s="21"/>
      <c r="I56" s="21"/>
      <c r="J56" s="21"/>
      <c r="K56" s="21"/>
      <c r="L56" s="21"/>
      <c r="M56" s="21"/>
      <c r="N56" s="21"/>
      <c r="O56" s="21"/>
      <c r="P56" s="21"/>
      <c r="Q56" s="21"/>
      <c r="R56" s="21"/>
      <c r="T56" s="21"/>
      <c r="U56" s="176"/>
    </row>
    <row r="57" spans="1:21" ht="12.75" customHeight="1">
      <c r="A57" s="182"/>
      <c r="B57" s="21"/>
      <c r="C57" s="47" t="s">
        <v>90</v>
      </c>
      <c r="D57" s="48" t="s">
        <v>7</v>
      </c>
      <c r="E57" s="48" t="s">
        <v>5</v>
      </c>
      <c r="F57" s="48"/>
      <c r="G57" s="48" t="s">
        <v>6</v>
      </c>
      <c r="H57" s="48"/>
      <c r="I57" s="48" t="s">
        <v>192</v>
      </c>
      <c r="J57" s="48"/>
      <c r="K57" s="48" t="s">
        <v>193</v>
      </c>
      <c r="L57" s="48"/>
      <c r="M57" s="48" t="s">
        <v>194</v>
      </c>
      <c r="N57" s="48"/>
      <c r="O57" s="48" t="s">
        <v>244</v>
      </c>
      <c r="P57" s="48"/>
      <c r="Q57" s="48" t="s">
        <v>256</v>
      </c>
      <c r="R57" s="48"/>
      <c r="S57" s="48" t="s">
        <v>395</v>
      </c>
      <c r="T57" s="48"/>
      <c r="U57" s="176"/>
    </row>
    <row r="58" spans="1:21" ht="13.5" customHeight="1">
      <c r="A58" s="182"/>
      <c r="B58" s="155"/>
      <c r="C58" s="49" t="s">
        <v>83</v>
      </c>
      <c r="D58" s="102">
        <f>E30</f>
        <v>8799.7099999999991</v>
      </c>
      <c r="E58" s="50"/>
      <c r="F58" s="50"/>
      <c r="G58" s="50"/>
      <c r="H58" s="51"/>
      <c r="I58" s="50"/>
      <c r="J58" s="51"/>
      <c r="K58" s="50"/>
      <c r="L58" s="51"/>
      <c r="M58" s="50"/>
      <c r="N58" s="50"/>
      <c r="O58" s="50"/>
      <c r="P58" s="50"/>
      <c r="Q58" s="50"/>
      <c r="R58" s="50"/>
      <c r="S58" s="50"/>
      <c r="T58" s="390"/>
      <c r="U58" s="176"/>
    </row>
    <row r="59" spans="1:21" ht="13.5" customHeight="1">
      <c r="A59" s="182"/>
      <c r="B59" s="182"/>
      <c r="C59" s="21" t="s">
        <v>91</v>
      </c>
      <c r="D59" s="52">
        <f>SUM(E59:S59)</f>
        <v>794944.79999999993</v>
      </c>
      <c r="E59" s="52">
        <f>VLOOKUP("A_Interests_accrued",calcdata_20,2,0)</f>
        <v>547082.1</v>
      </c>
      <c r="F59" s="53"/>
      <c r="G59" s="52">
        <f>VLOOKUP("B_Interests_accrued",calcdata_20,2,0)</f>
        <v>43526.700000000004</v>
      </c>
      <c r="H59" s="54"/>
      <c r="I59" s="52">
        <f>VLOOKUP("C_Interests_accrued",calcdata_20,2,0)</f>
        <v>58860</v>
      </c>
      <c r="J59" s="54"/>
      <c r="K59" s="52">
        <f>VLOOKUP("D_Interests_accrued",calcdata_20,2,0)</f>
        <v>52698.6</v>
      </c>
      <c r="L59" s="54"/>
      <c r="M59" s="52">
        <f>VLOOKUP("E_Interests_accrued",calcdata_20,2,0)</f>
        <v>45770.400000000001</v>
      </c>
      <c r="N59" s="52"/>
      <c r="O59" s="52">
        <f>VLOOKUP("F_Interests_accrued",calcdata_20,2,0)</f>
        <v>47007</v>
      </c>
      <c r="P59" s="52"/>
      <c r="Q59" s="52">
        <f>VLOOKUP("G_Interests_accrued",calcdata_20,2,0)</f>
        <v>0</v>
      </c>
      <c r="R59" s="52"/>
      <c r="S59" s="52">
        <f>VLOOKUP("Reserve_Interests_accrued",calcdata_20,2,0)</f>
        <v>0</v>
      </c>
      <c r="T59" s="391"/>
      <c r="U59" s="176"/>
    </row>
    <row r="60" spans="1:21" ht="13.5" customHeight="1">
      <c r="A60" s="182"/>
      <c r="B60" s="182"/>
      <c r="C60" s="21" t="s">
        <v>92</v>
      </c>
      <c r="D60" s="52">
        <f t="shared" ref="D60:D65" si="0">SUM(E60:S60)</f>
        <v>87012432.409311116</v>
      </c>
      <c r="E60" s="52">
        <f>VLOOKUP("A_Interests_accrued_cum",calcdata_20,2,0)</f>
        <v>50685855.300000004</v>
      </c>
      <c r="F60" s="53"/>
      <c r="G60" s="52">
        <f>VLOOKUP("B_Interests_accrued_cum",calcdata_20,2,0)</f>
        <v>4610305.3499999996</v>
      </c>
      <c r="H60" s="54"/>
      <c r="I60" s="52">
        <f>VLOOKUP("C_Interests_accrued_cum",calcdata_20,2,0)</f>
        <v>6993691.1999999993</v>
      </c>
      <c r="J60" s="54"/>
      <c r="K60" s="52">
        <f>VLOOKUP("D_Interests_accrued_cum",calcdata_20,2,0)</f>
        <v>6862198.4999999981</v>
      </c>
      <c r="L60" s="54"/>
      <c r="M60" s="52">
        <f>VLOOKUP("E_Interests_accrued_cum",calcdata_20,2,0)</f>
        <v>6587017.1999999993</v>
      </c>
      <c r="N60" s="52"/>
      <c r="O60" s="52">
        <f>VLOOKUP("F_Interests_accrued_cum",calcdata_20,2,0)</f>
        <v>7166020.5</v>
      </c>
      <c r="P60" s="52"/>
      <c r="Q60" s="52">
        <f>VLOOKUP("G_Interests_accrued_cum",calcdata_20,2,0)</f>
        <v>4103682.75</v>
      </c>
      <c r="R60" s="52"/>
      <c r="S60" s="52">
        <f>VLOOKUP("Reserve_Interests_accrued_cum",calcdata_20,2,0)</f>
        <v>3661.6093111111086</v>
      </c>
      <c r="T60" s="391"/>
      <c r="U60" s="176"/>
    </row>
    <row r="61" spans="1:21" ht="13.5" customHeight="1">
      <c r="A61" s="182"/>
      <c r="B61" s="182"/>
      <c r="C61" s="21" t="s">
        <v>93</v>
      </c>
      <c r="D61" s="52">
        <f t="shared" si="0"/>
        <v>794944.79999999993</v>
      </c>
      <c r="E61" s="52">
        <f>VLOOKUP("A_Interest_Payments",calcdata_20,2,0)</f>
        <v>547082.1</v>
      </c>
      <c r="F61" s="53"/>
      <c r="G61" s="52">
        <f>VLOOKUP("B_Interest_Payments",calcdata_20,2,0)</f>
        <v>43526.700000000004</v>
      </c>
      <c r="H61" s="55"/>
      <c r="I61" s="52">
        <f>VLOOKUP("C_Interest_Payments",calcdata_20,2,0)</f>
        <v>58860</v>
      </c>
      <c r="J61" s="55"/>
      <c r="K61" s="52">
        <f>VLOOKUP("D_Interest_Payments",calcdata_20,2,0)</f>
        <v>52698.6</v>
      </c>
      <c r="L61" s="55"/>
      <c r="M61" s="52">
        <f>VLOOKUP("E_Interest_Payments",calcdata_20,2,0)</f>
        <v>45770.400000000001</v>
      </c>
      <c r="N61" s="52"/>
      <c r="O61" s="52">
        <f>VLOOKUP("F_Interest_Payments",calcdata_20,2,0)</f>
        <v>47007</v>
      </c>
      <c r="P61" s="52"/>
      <c r="Q61" s="52">
        <f>VLOOKUP("g_Interest_Payments",calcdata_20,2,0)</f>
        <v>0</v>
      </c>
      <c r="R61" s="52"/>
      <c r="S61" s="52">
        <f>VLOOKUP("Reserve_Interest_Payments",calcdata_20,2,0)</f>
        <v>0</v>
      </c>
      <c r="T61" s="392"/>
      <c r="U61" s="176"/>
    </row>
    <row r="62" spans="1:21" ht="13.5" customHeight="1">
      <c r="A62" s="182"/>
      <c r="B62" s="182"/>
      <c r="C62" s="21" t="s">
        <v>94</v>
      </c>
      <c r="D62" s="52">
        <f t="shared" si="0"/>
        <v>87012432.409311116</v>
      </c>
      <c r="E62" s="52">
        <f>VLOOKUP("A_Interest_Payments_cum",calcdata_20,2,0)</f>
        <v>50685855.300000004</v>
      </c>
      <c r="F62" s="53"/>
      <c r="G62" s="52">
        <f>VLOOKUP("B_Interest_Payments_cum",calcdata_20,2,0)</f>
        <v>4610305.3499999996</v>
      </c>
      <c r="H62" s="55"/>
      <c r="I62" s="52">
        <f>VLOOKUP("C_Interest_Payments_cum",calcdata_20,2,0)</f>
        <v>6993691.1999999993</v>
      </c>
      <c r="J62" s="55"/>
      <c r="K62" s="52">
        <f>VLOOKUP("D_Interest_Payments_cum",calcdata_20,2,0)</f>
        <v>6862198.4999999981</v>
      </c>
      <c r="L62" s="55"/>
      <c r="M62" s="52">
        <f>VLOOKUP("E_Interest_Payments_cum",calcdata_20,2,0)</f>
        <v>6587017.1999999993</v>
      </c>
      <c r="N62" s="52"/>
      <c r="O62" s="52">
        <f>VLOOKUP("F_Interest_Payments_cum",calcdata_20,2,0)</f>
        <v>7166020.5</v>
      </c>
      <c r="P62" s="52"/>
      <c r="Q62" s="52">
        <f>VLOOKUP("g_Interest_Payments_cum",calcdata_20,2,0)</f>
        <v>4103682.75</v>
      </c>
      <c r="R62" s="52"/>
      <c r="S62" s="52">
        <f>VLOOKUP("Reserve_Interest_Payments_cum",calcdata_20,2,0)</f>
        <v>3661.6093111111086</v>
      </c>
      <c r="T62" s="392"/>
      <c r="U62" s="176"/>
    </row>
    <row r="63" spans="1:21" ht="13.5" customHeight="1">
      <c r="A63" s="182"/>
      <c r="B63" s="182"/>
      <c r="C63" s="21" t="s">
        <v>95</v>
      </c>
      <c r="D63" s="52">
        <f t="shared" si="0"/>
        <v>0</v>
      </c>
      <c r="E63" s="52">
        <f>VLOOKUP("A_Interests_unpaid",calcdata_20,2,0)</f>
        <v>0</v>
      </c>
      <c r="F63" s="53"/>
      <c r="G63" s="52">
        <f>VLOOKUP("B_Interests_unpaid",calcdata_20,2,0)</f>
        <v>0</v>
      </c>
      <c r="H63" s="55"/>
      <c r="I63" s="52">
        <f>VLOOKUP("C_Interests_unpaid",calcdata_20,2,0)</f>
        <v>0</v>
      </c>
      <c r="J63" s="55"/>
      <c r="K63" s="52">
        <f>VLOOKUP("D_Interests_unpaid",calcdata_20,2,0)</f>
        <v>0</v>
      </c>
      <c r="L63" s="55"/>
      <c r="M63" s="52">
        <f>VLOOKUP("E_Interests_unpaid",calcdata_20,2,0)</f>
        <v>0</v>
      </c>
      <c r="N63" s="52"/>
      <c r="O63" s="52">
        <f>VLOOKUP("F_Interests_unpaid",calcdata_20,2,0)</f>
        <v>0</v>
      </c>
      <c r="P63" s="52"/>
      <c r="Q63" s="52">
        <f>VLOOKUP("g_Interests_unpaid",calcdata_20,2,0)</f>
        <v>0</v>
      </c>
      <c r="R63" s="52"/>
      <c r="S63" s="52">
        <f>VLOOKUP("Reserve_Interests_unpaid",calcdata_20,2,0)</f>
        <v>0</v>
      </c>
      <c r="T63" s="392"/>
      <c r="U63" s="176"/>
    </row>
    <row r="64" spans="1:21" ht="13.5" customHeight="1">
      <c r="A64" s="182"/>
      <c r="B64" s="182"/>
      <c r="C64" s="21" t="s">
        <v>96</v>
      </c>
      <c r="D64" s="52">
        <f t="shared" si="0"/>
        <v>0</v>
      </c>
      <c r="E64" s="52">
        <f>VLOOKUP("A_Interests_unpaid_cum",calcdata_20,2,0)</f>
        <v>0</v>
      </c>
      <c r="F64" s="53"/>
      <c r="G64" s="52">
        <f>VLOOKUP("B_Interests_unpaid_cum",calcdata_20,2,0)</f>
        <v>0</v>
      </c>
      <c r="H64" s="55"/>
      <c r="I64" s="52">
        <f>VLOOKUP("C_Interests_unpaid_cum",calcdata_20,2,0)</f>
        <v>0</v>
      </c>
      <c r="J64" s="55"/>
      <c r="K64" s="52">
        <f>VLOOKUP("D_Interests_unpaid_cum",calcdata_20,2,0)</f>
        <v>0</v>
      </c>
      <c r="L64" s="55"/>
      <c r="M64" s="52">
        <f>VLOOKUP("E_Interests_unpaid_cum",calcdata_20,2,0)</f>
        <v>0</v>
      </c>
      <c r="N64" s="52"/>
      <c r="O64" s="52">
        <f>VLOOKUP("F_Interests_unpaid_cum",calcdata_20,2,0)</f>
        <v>0</v>
      </c>
      <c r="P64" s="52"/>
      <c r="Q64" s="52">
        <f>VLOOKUP("g_Interests_unpaid_cum",calcdata_20,2,0)</f>
        <v>0</v>
      </c>
      <c r="R64" s="52"/>
      <c r="S64" s="52">
        <f>VLOOKUP("Reserve_Interests_unpaid_cum",calcdata_20,2,0)</f>
        <v>0</v>
      </c>
      <c r="T64" s="392"/>
      <c r="U64" s="176"/>
    </row>
    <row r="65" spans="1:21" ht="13.5" customHeight="1">
      <c r="A65" s="182"/>
      <c r="B65" s="196"/>
      <c r="C65" s="56" t="s">
        <v>398</v>
      </c>
      <c r="D65" s="57">
        <f t="shared" si="0"/>
        <v>0</v>
      </c>
      <c r="E65" s="57"/>
      <c r="F65" s="58"/>
      <c r="G65" s="57"/>
      <c r="H65" s="59"/>
      <c r="I65" s="57"/>
      <c r="J65" s="59"/>
      <c r="K65" s="57"/>
      <c r="L65" s="59"/>
      <c r="M65" s="57"/>
      <c r="N65" s="57"/>
      <c r="O65" s="57"/>
      <c r="P65" s="57"/>
      <c r="Q65" s="57"/>
      <c r="R65" s="57"/>
      <c r="S65" s="57">
        <f>VLOOKUP("Reserve_outstanding",calcdata_20,2,0)</f>
        <v>0</v>
      </c>
      <c r="T65" s="393"/>
      <c r="U65" s="176"/>
    </row>
    <row r="66" spans="1:21" s="21" customFormat="1">
      <c r="A66" s="182"/>
      <c r="C66" s="14"/>
      <c r="D66" s="13"/>
      <c r="E66" s="198"/>
      <c r="F66" s="13"/>
      <c r="G66" s="199"/>
      <c r="H66" s="200"/>
      <c r="I66" s="199"/>
      <c r="J66" s="199"/>
      <c r="K66" s="199"/>
      <c r="L66" s="199"/>
      <c r="M66" s="175"/>
      <c r="N66" s="175"/>
      <c r="O66" s="175"/>
      <c r="P66" s="175"/>
      <c r="Q66" s="175"/>
      <c r="U66" s="176"/>
    </row>
    <row r="67" spans="1:21" s="21" customFormat="1">
      <c r="A67" s="196"/>
      <c r="B67" s="56"/>
      <c r="C67" s="29"/>
      <c r="D67" s="11"/>
      <c r="E67" s="351"/>
      <c r="F67" s="11"/>
      <c r="G67" s="318"/>
      <c r="H67" s="352"/>
      <c r="I67" s="318"/>
      <c r="J67" s="318"/>
      <c r="K67" s="318"/>
      <c r="L67" s="318"/>
      <c r="M67" s="394"/>
      <c r="N67" s="394"/>
      <c r="O67" s="394"/>
      <c r="P67" s="394"/>
      <c r="Q67" s="394"/>
      <c r="R67" s="56"/>
      <c r="S67" s="56"/>
      <c r="T67" s="56"/>
      <c r="U67" s="197"/>
    </row>
    <row r="68" spans="1:21" s="101" customFormat="1" ht="15" customHeight="1">
      <c r="C68" s="14"/>
      <c r="D68" s="13"/>
      <c r="E68" s="198"/>
      <c r="F68" s="13"/>
      <c r="G68" s="199"/>
      <c r="H68" s="200"/>
      <c r="I68" s="199"/>
      <c r="J68" s="199"/>
      <c r="K68" s="199"/>
      <c r="L68" s="199"/>
      <c r="M68" s="147"/>
      <c r="N68" s="147"/>
      <c r="O68" s="147"/>
      <c r="P68" s="147"/>
      <c r="Q68" s="147"/>
    </row>
    <row r="69" spans="1:21" s="101" customFormat="1">
      <c r="C69" s="14"/>
      <c r="D69" s="13"/>
      <c r="E69" s="198"/>
      <c r="F69" s="13"/>
      <c r="G69" s="199"/>
      <c r="H69" s="200"/>
      <c r="I69" s="199"/>
      <c r="J69" s="199"/>
      <c r="K69" s="199"/>
      <c r="L69" s="199"/>
      <c r="M69" s="147"/>
      <c r="N69" s="147"/>
      <c r="O69" s="147"/>
      <c r="P69" s="147"/>
      <c r="Q69" s="147"/>
    </row>
    <row r="70" spans="1:21" s="21" customFormat="1">
      <c r="C70" s="14"/>
      <c r="D70" s="13"/>
      <c r="E70" s="198"/>
      <c r="F70" s="13"/>
      <c r="G70" s="199"/>
      <c r="H70" s="200"/>
      <c r="I70" s="199"/>
      <c r="J70" s="199"/>
      <c r="K70" s="199"/>
      <c r="L70" s="199"/>
      <c r="M70" s="175"/>
      <c r="N70" s="175"/>
      <c r="O70" s="175"/>
      <c r="P70" s="175"/>
      <c r="Q70" s="175"/>
    </row>
    <row r="71" spans="1:21" s="21" customFormat="1">
      <c r="C71" s="14"/>
      <c r="D71" s="13"/>
      <c r="E71" s="198"/>
      <c r="F71" s="13"/>
      <c r="G71" s="199"/>
      <c r="H71" s="200"/>
      <c r="I71" s="199"/>
      <c r="J71" s="199"/>
      <c r="K71" s="199"/>
      <c r="L71" s="199"/>
      <c r="M71" s="175"/>
      <c r="N71" s="175"/>
      <c r="O71" s="175"/>
      <c r="P71" s="175"/>
      <c r="Q71" s="175"/>
    </row>
    <row r="72" spans="1:21" s="21" customFormat="1">
      <c r="C72" s="14"/>
      <c r="D72" s="13"/>
      <c r="E72" s="198"/>
      <c r="F72" s="13"/>
      <c r="G72" s="199"/>
      <c r="H72" s="200"/>
      <c r="I72" s="199"/>
      <c r="J72" s="199"/>
      <c r="K72" s="199"/>
      <c r="L72" s="199"/>
      <c r="M72" s="175"/>
      <c r="N72" s="175"/>
      <c r="O72" s="175"/>
      <c r="P72" s="175"/>
      <c r="Q72" s="175"/>
    </row>
    <row r="73" spans="1:21" s="21" customFormat="1">
      <c r="C73" s="14"/>
      <c r="D73" s="13"/>
      <c r="E73" s="198"/>
      <c r="F73" s="13"/>
      <c r="G73" s="199"/>
      <c r="H73" s="200"/>
      <c r="I73" s="199"/>
      <c r="J73" s="199"/>
      <c r="K73" s="199"/>
      <c r="L73" s="199"/>
      <c r="M73" s="175"/>
      <c r="N73" s="175"/>
      <c r="O73" s="175"/>
      <c r="P73" s="175"/>
      <c r="Q73" s="175"/>
    </row>
    <row r="74" spans="1:21" s="21" customFormat="1">
      <c r="C74" s="14"/>
      <c r="D74" s="13"/>
      <c r="E74" s="198"/>
      <c r="F74" s="13"/>
      <c r="G74" s="199"/>
      <c r="H74" s="200"/>
      <c r="I74" s="199"/>
      <c r="J74" s="199"/>
      <c r="K74" s="199"/>
      <c r="L74" s="199"/>
      <c r="M74" s="175"/>
      <c r="N74" s="175"/>
      <c r="O74" s="175"/>
      <c r="P74" s="175"/>
      <c r="Q74" s="175"/>
    </row>
    <row r="75" spans="1:21" s="21" customFormat="1">
      <c r="C75" s="14"/>
      <c r="D75" s="13"/>
      <c r="E75" s="198"/>
      <c r="F75" s="13"/>
      <c r="G75" s="199"/>
      <c r="H75" s="200"/>
      <c r="I75" s="199"/>
      <c r="J75" s="199"/>
      <c r="K75" s="199"/>
      <c r="L75" s="199"/>
      <c r="M75" s="175"/>
      <c r="N75" s="175"/>
      <c r="O75" s="175"/>
      <c r="P75" s="175"/>
      <c r="Q75" s="175"/>
    </row>
    <row r="76" spans="1:21" s="21" customFormat="1">
      <c r="C76" s="14"/>
      <c r="D76" s="13"/>
      <c r="E76" s="198"/>
      <c r="F76" s="13"/>
      <c r="G76" s="199"/>
      <c r="H76" s="200"/>
      <c r="I76" s="199"/>
      <c r="J76" s="199"/>
      <c r="K76" s="199"/>
      <c r="L76" s="199"/>
      <c r="M76" s="175"/>
      <c r="N76" s="175"/>
      <c r="O76" s="175"/>
      <c r="P76" s="175"/>
      <c r="Q76" s="175"/>
    </row>
    <row r="77" spans="1:21" s="21" customFormat="1">
      <c r="C77" s="14"/>
      <c r="D77" s="13"/>
      <c r="E77" s="198"/>
      <c r="F77" s="13"/>
      <c r="G77" s="199"/>
      <c r="H77" s="200"/>
      <c r="I77" s="199"/>
      <c r="J77" s="199"/>
      <c r="K77" s="199"/>
      <c r="L77" s="199"/>
      <c r="M77" s="175"/>
      <c r="N77" s="175"/>
      <c r="O77" s="175"/>
      <c r="P77" s="175"/>
      <c r="Q77" s="175"/>
    </row>
    <row r="78" spans="1:21" s="21" customFormat="1">
      <c r="C78" s="14"/>
      <c r="D78" s="13"/>
      <c r="E78" s="198"/>
      <c r="F78" s="13"/>
      <c r="G78" s="199"/>
      <c r="H78" s="200"/>
      <c r="I78" s="199"/>
      <c r="J78" s="199"/>
      <c r="K78" s="199"/>
      <c r="L78" s="199"/>
      <c r="M78" s="175"/>
      <c r="N78" s="175"/>
      <c r="O78" s="175"/>
      <c r="P78" s="175"/>
      <c r="Q78" s="175"/>
    </row>
    <row r="79" spans="1:21" s="21" customFormat="1">
      <c r="C79" s="14"/>
      <c r="D79" s="13"/>
      <c r="E79" s="198"/>
      <c r="F79" s="13"/>
      <c r="G79" s="199"/>
      <c r="H79" s="200"/>
      <c r="I79" s="199"/>
      <c r="J79" s="199"/>
      <c r="K79" s="199"/>
      <c r="L79" s="199"/>
      <c r="M79" s="175"/>
      <c r="N79" s="175"/>
      <c r="O79" s="175"/>
      <c r="P79" s="175"/>
      <c r="Q79" s="175"/>
    </row>
    <row r="80" spans="1:21" s="21" customFormat="1">
      <c r="C80" s="14"/>
      <c r="D80" s="13"/>
      <c r="E80" s="198"/>
      <c r="F80" s="13"/>
      <c r="G80" s="199"/>
      <c r="H80" s="200"/>
      <c r="I80" s="199"/>
      <c r="J80" s="199"/>
      <c r="K80" s="199"/>
      <c r="L80" s="199"/>
      <c r="M80" s="175"/>
      <c r="N80" s="175"/>
      <c r="O80" s="175"/>
      <c r="P80" s="175"/>
      <c r="Q80" s="175"/>
    </row>
    <row r="81" spans="3:17" s="21" customFormat="1">
      <c r="C81" s="14"/>
      <c r="D81" s="13"/>
      <c r="E81" s="198"/>
      <c r="F81" s="13"/>
      <c r="G81" s="199"/>
      <c r="H81" s="200"/>
      <c r="I81" s="199"/>
      <c r="J81" s="199"/>
      <c r="K81" s="199"/>
      <c r="L81" s="199"/>
      <c r="M81" s="175"/>
      <c r="N81" s="175"/>
      <c r="O81" s="175"/>
      <c r="P81" s="175"/>
      <c r="Q81" s="175"/>
    </row>
    <row r="82" spans="3:17" s="21" customFormat="1">
      <c r="C82" s="14"/>
      <c r="D82" s="13"/>
      <c r="E82" s="198"/>
      <c r="F82" s="13"/>
      <c r="G82" s="199"/>
      <c r="H82" s="200"/>
      <c r="I82" s="199"/>
      <c r="J82" s="199"/>
      <c r="K82" s="199"/>
      <c r="L82" s="199"/>
      <c r="M82" s="175"/>
      <c r="N82" s="175"/>
      <c r="O82" s="175"/>
      <c r="P82" s="175"/>
      <c r="Q82" s="175"/>
    </row>
    <row r="83" spans="3:17" s="21" customFormat="1">
      <c r="C83" s="14"/>
      <c r="D83" s="13"/>
      <c r="E83" s="198"/>
      <c r="F83" s="13"/>
      <c r="G83" s="199"/>
      <c r="H83" s="200"/>
      <c r="I83" s="199"/>
      <c r="J83" s="199"/>
      <c r="K83" s="199"/>
      <c r="L83" s="199"/>
      <c r="M83" s="175"/>
      <c r="N83" s="175"/>
      <c r="O83" s="175"/>
      <c r="P83" s="175"/>
      <c r="Q83" s="175"/>
    </row>
    <row r="84" spans="3:17" s="21" customFormat="1">
      <c r="C84" s="14"/>
      <c r="D84" s="13"/>
      <c r="E84" s="198"/>
      <c r="F84" s="13"/>
      <c r="G84" s="199"/>
      <c r="H84" s="200"/>
      <c r="I84" s="199"/>
      <c r="J84" s="199"/>
      <c r="K84" s="199"/>
      <c r="L84" s="199"/>
      <c r="M84" s="175"/>
      <c r="N84" s="175"/>
      <c r="O84" s="175"/>
      <c r="P84" s="175"/>
      <c r="Q84" s="175"/>
    </row>
    <row r="85" spans="3:17" s="21" customFormat="1">
      <c r="C85" s="14"/>
      <c r="D85" s="13"/>
      <c r="E85" s="198"/>
      <c r="F85" s="13"/>
      <c r="G85" s="199"/>
      <c r="H85" s="200"/>
      <c r="I85" s="199"/>
      <c r="J85" s="199"/>
      <c r="K85" s="199"/>
      <c r="L85" s="199"/>
      <c r="M85" s="175"/>
      <c r="N85" s="175"/>
      <c r="O85" s="175"/>
      <c r="P85" s="175"/>
      <c r="Q85" s="175"/>
    </row>
    <row r="86" spans="3:17" s="21" customFormat="1">
      <c r="C86" s="14"/>
      <c r="D86" s="13"/>
      <c r="E86" s="198"/>
      <c r="F86" s="13"/>
      <c r="G86" s="199"/>
      <c r="H86" s="200"/>
      <c r="I86" s="199"/>
      <c r="J86" s="199"/>
      <c r="K86" s="199"/>
      <c r="L86" s="199"/>
      <c r="M86" s="175"/>
      <c r="N86" s="175"/>
      <c r="O86" s="175"/>
      <c r="P86" s="175"/>
      <c r="Q86" s="175"/>
    </row>
    <row r="87" spans="3:17" s="21" customFormat="1">
      <c r="C87" s="14"/>
      <c r="D87" s="13"/>
      <c r="E87" s="198"/>
      <c r="F87" s="13"/>
      <c r="G87" s="199"/>
      <c r="H87" s="200"/>
      <c r="I87" s="199"/>
      <c r="J87" s="199"/>
      <c r="K87" s="199"/>
      <c r="L87" s="199"/>
      <c r="M87" s="175"/>
      <c r="N87" s="175"/>
      <c r="O87" s="175"/>
      <c r="P87" s="175"/>
      <c r="Q87" s="175"/>
    </row>
    <row r="88" spans="3:17" s="21" customFormat="1">
      <c r="C88" s="14"/>
      <c r="D88" s="13"/>
      <c r="E88" s="198"/>
      <c r="F88" s="13"/>
      <c r="G88" s="199"/>
      <c r="H88" s="200"/>
      <c r="I88" s="199"/>
      <c r="J88" s="199"/>
      <c r="K88" s="199"/>
      <c r="L88" s="199"/>
      <c r="M88" s="175"/>
      <c r="N88" s="175"/>
      <c r="O88" s="175"/>
      <c r="P88" s="175"/>
      <c r="Q88" s="175"/>
    </row>
    <row r="89" spans="3:17" s="21" customFormat="1">
      <c r="C89" s="14"/>
      <c r="D89" s="13"/>
      <c r="E89" s="198"/>
      <c r="F89" s="13"/>
      <c r="G89" s="199"/>
      <c r="H89" s="200"/>
      <c r="I89" s="199"/>
      <c r="J89" s="199"/>
      <c r="K89" s="199"/>
      <c r="L89" s="199"/>
      <c r="M89" s="175"/>
      <c r="N89" s="175"/>
      <c r="O89" s="175"/>
      <c r="P89" s="175"/>
      <c r="Q89" s="175"/>
    </row>
    <row r="90" spans="3:17" s="21" customFormat="1">
      <c r="C90" s="14"/>
      <c r="D90" s="13"/>
      <c r="E90" s="198"/>
      <c r="F90" s="13"/>
      <c r="G90" s="199"/>
      <c r="H90" s="200"/>
      <c r="I90" s="199"/>
      <c r="J90" s="199"/>
      <c r="K90" s="199"/>
      <c r="L90" s="199"/>
      <c r="M90" s="175"/>
      <c r="N90" s="175"/>
      <c r="O90" s="175"/>
      <c r="P90" s="175"/>
      <c r="Q90" s="175"/>
    </row>
    <row r="91" spans="3:17" s="21" customFormat="1">
      <c r="C91" s="14"/>
      <c r="D91" s="13"/>
      <c r="E91" s="198"/>
      <c r="F91" s="13"/>
      <c r="G91" s="199"/>
      <c r="H91" s="200"/>
      <c r="I91" s="199"/>
      <c r="J91" s="199"/>
      <c r="K91" s="199"/>
      <c r="L91" s="199"/>
      <c r="M91" s="175"/>
      <c r="N91" s="175"/>
      <c r="O91" s="175"/>
      <c r="P91" s="175"/>
      <c r="Q91" s="175"/>
    </row>
    <row r="92" spans="3:17" s="21" customFormat="1">
      <c r="C92" s="14"/>
      <c r="D92" s="13"/>
      <c r="E92" s="198"/>
      <c r="F92" s="13"/>
      <c r="G92" s="199"/>
      <c r="H92" s="200"/>
      <c r="I92" s="199"/>
      <c r="J92" s="199"/>
      <c r="K92" s="199"/>
      <c r="L92" s="199"/>
      <c r="M92" s="175"/>
      <c r="N92" s="175"/>
      <c r="O92" s="175"/>
      <c r="P92" s="175"/>
      <c r="Q92" s="175"/>
    </row>
    <row r="93" spans="3:17" s="21" customFormat="1">
      <c r="C93" s="14"/>
      <c r="D93" s="13"/>
      <c r="E93" s="198"/>
      <c r="F93" s="13"/>
      <c r="G93" s="199"/>
      <c r="H93" s="200"/>
      <c r="I93" s="199"/>
      <c r="J93" s="199"/>
      <c r="K93" s="199"/>
      <c r="L93" s="199"/>
      <c r="M93" s="175"/>
      <c r="N93" s="175"/>
      <c r="O93" s="175"/>
      <c r="P93" s="175"/>
      <c r="Q93" s="175"/>
    </row>
    <row r="94" spans="3:17" s="21" customFormat="1">
      <c r="C94" s="14"/>
      <c r="D94" s="13"/>
      <c r="E94" s="198"/>
      <c r="F94" s="13"/>
      <c r="G94" s="199"/>
      <c r="H94" s="200"/>
      <c r="I94" s="199"/>
      <c r="J94" s="199"/>
      <c r="K94" s="199"/>
      <c r="L94" s="199"/>
      <c r="M94" s="175"/>
      <c r="N94" s="175"/>
      <c r="O94" s="175"/>
      <c r="P94" s="175"/>
      <c r="Q94" s="175"/>
    </row>
    <row r="95" spans="3:17" s="21" customFormat="1">
      <c r="C95" s="14"/>
      <c r="D95" s="13"/>
      <c r="E95" s="198"/>
      <c r="F95" s="13"/>
      <c r="G95" s="199"/>
      <c r="H95" s="200"/>
      <c r="I95" s="199"/>
      <c r="J95" s="199"/>
      <c r="K95" s="199"/>
      <c r="L95" s="199"/>
      <c r="M95" s="175"/>
      <c r="N95" s="175"/>
      <c r="O95" s="175"/>
      <c r="P95" s="175"/>
      <c r="Q95" s="175"/>
    </row>
    <row r="96" spans="3:17" s="21" customFormat="1">
      <c r="C96" s="14"/>
      <c r="D96" s="13"/>
      <c r="E96" s="198"/>
      <c r="F96" s="13"/>
      <c r="G96" s="199"/>
      <c r="H96" s="200"/>
      <c r="I96" s="199"/>
      <c r="J96" s="199"/>
      <c r="K96" s="199"/>
      <c r="L96" s="199"/>
      <c r="M96" s="175"/>
      <c r="N96" s="175"/>
      <c r="O96" s="175"/>
      <c r="P96" s="175"/>
      <c r="Q96" s="175"/>
    </row>
    <row r="97" spans="3:17" s="21" customFormat="1">
      <c r="C97" s="14"/>
      <c r="D97" s="13"/>
      <c r="E97" s="198"/>
      <c r="F97" s="13"/>
      <c r="G97" s="199"/>
      <c r="H97" s="200"/>
      <c r="I97" s="199"/>
      <c r="J97" s="199"/>
      <c r="K97" s="199"/>
      <c r="L97" s="199"/>
      <c r="M97" s="175"/>
      <c r="N97" s="175"/>
      <c r="O97" s="175"/>
      <c r="P97" s="175"/>
      <c r="Q97" s="175"/>
    </row>
    <row r="98" spans="3:17" s="21" customFormat="1">
      <c r="C98" s="14"/>
      <c r="D98" s="13"/>
      <c r="E98" s="201"/>
      <c r="F98" s="202"/>
      <c r="G98" s="233"/>
      <c r="H98" s="204"/>
      <c r="I98" s="233"/>
      <c r="J98" s="233"/>
      <c r="K98" s="233"/>
      <c r="L98" s="233"/>
      <c r="M98" s="175"/>
      <c r="N98" s="175"/>
      <c r="O98" s="175"/>
      <c r="P98" s="175"/>
      <c r="Q98" s="175"/>
    </row>
    <row r="99" spans="3:17" s="21" customFormat="1">
      <c r="C99" s="14"/>
      <c r="D99" s="13"/>
      <c r="E99" s="201"/>
      <c r="F99" s="201"/>
      <c r="G99" s="201"/>
      <c r="H99" s="201"/>
      <c r="I99" s="201"/>
      <c r="J99" s="201"/>
      <c r="K99" s="201"/>
      <c r="L99" s="201"/>
      <c r="M99" s="175"/>
      <c r="N99" s="175"/>
      <c r="O99" s="175"/>
      <c r="P99" s="175"/>
      <c r="Q99" s="175"/>
    </row>
    <row r="100" spans="3:17" s="21" customFormat="1">
      <c r="C100" s="14"/>
      <c r="D100" s="13"/>
      <c r="E100" s="201"/>
      <c r="F100" s="201"/>
      <c r="G100" s="201"/>
      <c r="H100" s="201"/>
      <c r="I100" s="201"/>
      <c r="J100" s="201"/>
      <c r="K100" s="201"/>
      <c r="L100" s="201"/>
      <c r="M100" s="175"/>
      <c r="N100" s="175"/>
      <c r="O100" s="175"/>
      <c r="P100" s="175"/>
      <c r="Q100" s="175"/>
    </row>
    <row r="101" spans="3:17" s="21" customFormat="1">
      <c r="C101" s="14"/>
      <c r="D101" s="13"/>
      <c r="E101" s="205"/>
      <c r="F101" s="395"/>
      <c r="G101" s="201"/>
      <c r="H101" s="201"/>
      <c r="I101" s="201"/>
      <c r="J101" s="201"/>
      <c r="K101" s="201"/>
      <c r="L101" s="201"/>
      <c r="M101" s="175"/>
      <c r="N101" s="175"/>
      <c r="O101" s="175"/>
      <c r="P101" s="175"/>
      <c r="Q101" s="175"/>
    </row>
    <row r="102" spans="3:17" s="21" customFormat="1">
      <c r="C102" s="14"/>
      <c r="D102" s="13"/>
      <c r="E102" s="202"/>
      <c r="F102" s="395"/>
      <c r="G102" s="201"/>
      <c r="H102" s="201"/>
      <c r="I102" s="201"/>
      <c r="J102" s="201"/>
      <c r="K102" s="201"/>
      <c r="L102" s="201"/>
      <c r="M102" s="175"/>
      <c r="N102" s="175"/>
      <c r="O102" s="175"/>
      <c r="P102" s="175"/>
      <c r="Q102" s="175"/>
    </row>
    <row r="103" spans="3:17" s="21" customFormat="1">
      <c r="C103" s="14"/>
      <c r="D103" s="13"/>
      <c r="E103" s="201"/>
      <c r="F103" s="395"/>
      <c r="G103" s="201"/>
      <c r="H103" s="201"/>
      <c r="I103" s="201"/>
      <c r="J103" s="201"/>
      <c r="K103" s="201"/>
      <c r="L103" s="201"/>
      <c r="M103" s="175"/>
      <c r="N103" s="175"/>
      <c r="O103" s="175"/>
      <c r="P103" s="175"/>
      <c r="Q103" s="175"/>
    </row>
    <row r="104" spans="3:17" s="21" customFormat="1" ht="14">
      <c r="C104" s="201"/>
      <c r="D104" s="396"/>
      <c r="E104" s="207"/>
      <c r="F104" s="207"/>
      <c r="G104" s="207"/>
      <c r="H104" s="207"/>
      <c r="I104" s="207"/>
      <c r="J104" s="207"/>
      <c r="K104" s="207"/>
      <c r="L104" s="207"/>
      <c r="M104" s="175"/>
      <c r="N104" s="175"/>
      <c r="O104" s="175"/>
      <c r="P104" s="175"/>
      <c r="Q104" s="175"/>
    </row>
    <row r="105" spans="3:17" s="21" customFormat="1" ht="14">
      <c r="C105" s="101"/>
      <c r="D105" s="160"/>
      <c r="E105" s="207"/>
      <c r="F105" s="207"/>
      <c r="G105" s="207"/>
      <c r="H105" s="207"/>
      <c r="I105" s="207"/>
      <c r="J105" s="207"/>
      <c r="K105" s="207"/>
      <c r="L105" s="207"/>
      <c r="M105" s="175"/>
      <c r="N105" s="175"/>
      <c r="O105" s="175"/>
      <c r="P105" s="175"/>
      <c r="Q105" s="175"/>
    </row>
    <row r="106" spans="3:17" s="21" customFormat="1" ht="14">
      <c r="C106" s="101"/>
      <c r="D106" s="160"/>
      <c r="E106" s="208"/>
      <c r="F106" s="397"/>
      <c r="G106" s="207"/>
      <c r="H106" s="207"/>
      <c r="I106" s="207"/>
      <c r="J106" s="207"/>
      <c r="K106" s="207"/>
      <c r="L106" s="207"/>
      <c r="M106" s="175"/>
      <c r="N106" s="175"/>
      <c r="O106" s="175"/>
      <c r="P106" s="175"/>
      <c r="Q106" s="175"/>
    </row>
    <row r="107" spans="3:17" s="21" customFormat="1" ht="14">
      <c r="C107" s="205"/>
      <c r="D107" s="395"/>
      <c r="E107" s="210"/>
      <c r="F107" s="397"/>
      <c r="G107" s="207"/>
      <c r="H107" s="207"/>
      <c r="I107" s="207"/>
      <c r="J107" s="207"/>
      <c r="K107" s="207"/>
      <c r="L107" s="207"/>
      <c r="M107" s="175"/>
      <c r="N107" s="175"/>
      <c r="O107" s="175"/>
      <c r="P107" s="175"/>
      <c r="Q107" s="175"/>
    </row>
    <row r="108" spans="3:17" s="21" customFormat="1" ht="14">
      <c r="C108" s="211"/>
      <c r="D108" s="395"/>
      <c r="E108" s="207"/>
      <c r="F108" s="397"/>
      <c r="G108" s="207"/>
      <c r="H108" s="207"/>
      <c r="I108" s="207"/>
      <c r="J108" s="207"/>
      <c r="K108" s="207"/>
      <c r="L108" s="207"/>
      <c r="M108" s="175"/>
      <c r="N108" s="175"/>
      <c r="O108" s="175"/>
      <c r="P108" s="175"/>
      <c r="Q108" s="175"/>
    </row>
    <row r="109" spans="3:17" s="21" customFormat="1">
      <c r="D109" s="395"/>
      <c r="M109" s="175"/>
      <c r="N109" s="175"/>
      <c r="O109" s="175"/>
      <c r="P109" s="175"/>
      <c r="Q109" s="175"/>
    </row>
    <row r="110" spans="3:17" s="21" customFormat="1">
      <c r="D110" s="166"/>
      <c r="M110" s="175"/>
      <c r="N110" s="175"/>
      <c r="O110" s="175"/>
      <c r="P110" s="175"/>
      <c r="Q110" s="175"/>
    </row>
    <row r="111" spans="3:17" s="21" customFormat="1">
      <c r="D111" s="166"/>
      <c r="M111" s="175"/>
      <c r="N111" s="175"/>
      <c r="O111" s="175"/>
      <c r="P111" s="175"/>
      <c r="Q111" s="175"/>
    </row>
    <row r="112" spans="3:17" s="21" customFormat="1">
      <c r="D112" s="166"/>
      <c r="M112" s="175"/>
      <c r="N112" s="175"/>
      <c r="O112" s="175"/>
      <c r="P112" s="175"/>
      <c r="Q112" s="175"/>
    </row>
    <row r="113" spans="4:17" s="21" customFormat="1">
      <c r="D113" s="166"/>
      <c r="M113" s="175"/>
      <c r="N113" s="175"/>
      <c r="O113" s="175"/>
      <c r="P113" s="175"/>
      <c r="Q113" s="175"/>
    </row>
    <row r="114" spans="4:17" s="21" customFormat="1">
      <c r="D114" s="166"/>
      <c r="M114" s="175"/>
      <c r="N114" s="175"/>
      <c r="O114" s="175"/>
      <c r="P114" s="175"/>
      <c r="Q114" s="175"/>
    </row>
    <row r="115" spans="4:17" s="21" customFormat="1">
      <c r="D115" s="166"/>
      <c r="M115" s="175"/>
      <c r="N115" s="175"/>
      <c r="O115" s="175"/>
      <c r="P115" s="175"/>
      <c r="Q115" s="175"/>
    </row>
    <row r="116" spans="4:17" s="21" customFormat="1">
      <c r="D116" s="166"/>
      <c r="M116" s="175"/>
      <c r="N116" s="175"/>
      <c r="O116" s="175"/>
      <c r="P116" s="175"/>
      <c r="Q116" s="175"/>
    </row>
    <row r="117" spans="4:17" s="21" customFormat="1">
      <c r="D117" s="166"/>
      <c r="M117" s="175"/>
      <c r="N117" s="175"/>
      <c r="O117" s="175"/>
      <c r="P117" s="175"/>
      <c r="Q117" s="175"/>
    </row>
    <row r="118" spans="4:17" s="21" customFormat="1">
      <c r="D118" s="166"/>
      <c r="M118" s="175"/>
      <c r="N118" s="175"/>
      <c r="O118" s="175"/>
      <c r="P118" s="175"/>
      <c r="Q118" s="175"/>
    </row>
    <row r="119" spans="4:17" s="21" customFormat="1">
      <c r="D119" s="166"/>
      <c r="M119" s="175"/>
      <c r="N119" s="175"/>
      <c r="O119" s="175"/>
      <c r="P119" s="175"/>
      <c r="Q119" s="175"/>
    </row>
    <row r="120" spans="4:17" s="21" customFormat="1">
      <c r="D120" s="166"/>
      <c r="M120" s="175"/>
      <c r="N120" s="175"/>
      <c r="O120" s="175"/>
      <c r="P120" s="175"/>
      <c r="Q120" s="175"/>
    </row>
    <row r="121" spans="4:17" s="21" customFormat="1">
      <c r="D121" s="166"/>
      <c r="M121" s="175"/>
      <c r="N121" s="175"/>
      <c r="O121" s="175"/>
      <c r="P121" s="175"/>
      <c r="Q121" s="175"/>
    </row>
    <row r="122" spans="4:17" s="21" customFormat="1">
      <c r="D122" s="166"/>
      <c r="M122" s="175"/>
      <c r="N122" s="175"/>
      <c r="O122" s="175"/>
      <c r="P122" s="175"/>
      <c r="Q122" s="175"/>
    </row>
    <row r="123" spans="4:17" s="21" customFormat="1">
      <c r="D123" s="166"/>
      <c r="M123" s="175"/>
      <c r="N123" s="175"/>
      <c r="O123" s="175"/>
      <c r="P123" s="175"/>
      <c r="Q123" s="175"/>
    </row>
    <row r="124" spans="4:17" s="21" customFormat="1">
      <c r="D124" s="166"/>
      <c r="M124" s="175"/>
      <c r="N124" s="175"/>
      <c r="O124" s="175"/>
      <c r="P124" s="175"/>
      <c r="Q124" s="175"/>
    </row>
    <row r="125" spans="4:17" s="21" customFormat="1">
      <c r="D125" s="166"/>
      <c r="M125" s="175"/>
      <c r="N125" s="175"/>
      <c r="O125" s="175"/>
      <c r="P125" s="175"/>
      <c r="Q125" s="175"/>
    </row>
    <row r="126" spans="4:17" s="21" customFormat="1">
      <c r="D126" s="166"/>
      <c r="M126" s="175"/>
      <c r="N126" s="175"/>
      <c r="O126" s="175"/>
      <c r="P126" s="175"/>
      <c r="Q126" s="175"/>
    </row>
    <row r="127" spans="4:17" s="21" customFormat="1">
      <c r="D127" s="166"/>
      <c r="M127" s="175"/>
      <c r="N127" s="175"/>
      <c r="O127" s="175"/>
      <c r="P127" s="175"/>
      <c r="Q127" s="175"/>
    </row>
    <row r="128" spans="4:17" s="21" customFormat="1">
      <c r="D128" s="166"/>
      <c r="M128" s="175"/>
      <c r="N128" s="175"/>
      <c r="O128" s="175"/>
      <c r="P128" s="175"/>
      <c r="Q128" s="175"/>
    </row>
    <row r="129" spans="4:17" s="21" customFormat="1">
      <c r="D129" s="166"/>
      <c r="M129" s="175"/>
      <c r="N129" s="175"/>
      <c r="O129" s="175"/>
      <c r="P129" s="175"/>
      <c r="Q129" s="175"/>
    </row>
    <row r="130" spans="4:17" s="21" customFormat="1">
      <c r="D130" s="166"/>
      <c r="M130" s="175"/>
      <c r="N130" s="175"/>
      <c r="O130" s="175"/>
      <c r="P130" s="175"/>
      <c r="Q130" s="175"/>
    </row>
    <row r="131" spans="4:17" s="21" customFormat="1">
      <c r="D131" s="166"/>
      <c r="M131" s="175"/>
      <c r="N131" s="175"/>
      <c r="O131" s="175"/>
      <c r="P131" s="175"/>
      <c r="Q131" s="175"/>
    </row>
    <row r="132" spans="4:17" s="21" customFormat="1">
      <c r="D132" s="166"/>
      <c r="M132" s="175"/>
      <c r="N132" s="175"/>
      <c r="O132" s="175"/>
      <c r="P132" s="175"/>
      <c r="Q132" s="175"/>
    </row>
    <row r="133" spans="4:17" s="21" customFormat="1">
      <c r="D133" s="166"/>
      <c r="M133" s="175"/>
      <c r="N133" s="175"/>
      <c r="O133" s="175"/>
      <c r="P133" s="175"/>
      <c r="Q133" s="175"/>
    </row>
    <row r="134" spans="4:17" s="21" customFormat="1">
      <c r="D134" s="166"/>
      <c r="M134" s="175"/>
      <c r="N134" s="175"/>
      <c r="O134" s="175"/>
      <c r="P134" s="175"/>
      <c r="Q134" s="175"/>
    </row>
    <row r="135" spans="4:17" s="21" customFormat="1">
      <c r="D135" s="166"/>
      <c r="M135" s="175"/>
      <c r="N135" s="175"/>
      <c r="O135" s="175"/>
      <c r="P135" s="175"/>
      <c r="Q135" s="175"/>
    </row>
    <row r="136" spans="4:17" s="21" customFormat="1">
      <c r="D136" s="166"/>
      <c r="M136" s="175"/>
      <c r="N136" s="175"/>
      <c r="O136" s="175"/>
      <c r="P136" s="175"/>
      <c r="Q136" s="175"/>
    </row>
    <row r="137" spans="4:17" s="21" customFormat="1">
      <c r="D137" s="166"/>
      <c r="M137" s="175"/>
      <c r="N137" s="175"/>
      <c r="O137" s="175"/>
      <c r="P137" s="175"/>
      <c r="Q137" s="175"/>
    </row>
    <row r="138" spans="4:17" s="21" customFormat="1">
      <c r="D138" s="166"/>
      <c r="M138" s="175"/>
      <c r="N138" s="175"/>
      <c r="O138" s="175"/>
      <c r="P138" s="175"/>
      <c r="Q138" s="175"/>
    </row>
    <row r="139" spans="4:17" s="21" customFormat="1">
      <c r="D139" s="166"/>
      <c r="M139" s="175"/>
      <c r="N139" s="175"/>
      <c r="O139" s="175"/>
      <c r="P139" s="175"/>
      <c r="Q139" s="175"/>
    </row>
    <row r="140" spans="4:17" s="21" customFormat="1">
      <c r="D140" s="166"/>
      <c r="M140" s="175"/>
      <c r="N140" s="175"/>
      <c r="O140" s="175"/>
      <c r="P140" s="175"/>
      <c r="Q140" s="175"/>
    </row>
    <row r="141" spans="4:17" s="21" customFormat="1">
      <c r="D141" s="166"/>
      <c r="M141" s="175"/>
      <c r="N141" s="175"/>
      <c r="O141" s="175"/>
      <c r="P141" s="175"/>
      <c r="Q141" s="175"/>
    </row>
    <row r="142" spans="4:17" s="21" customFormat="1">
      <c r="D142" s="166"/>
      <c r="M142" s="175"/>
      <c r="N142" s="175"/>
      <c r="O142" s="175"/>
      <c r="P142" s="175"/>
      <c r="Q142" s="175"/>
    </row>
    <row r="143" spans="4:17" s="21" customFormat="1">
      <c r="D143" s="166"/>
      <c r="M143" s="175"/>
      <c r="N143" s="175"/>
      <c r="O143" s="175"/>
      <c r="P143" s="175"/>
      <c r="Q143" s="175"/>
    </row>
    <row r="144" spans="4:17" s="21" customFormat="1">
      <c r="D144" s="166"/>
      <c r="M144" s="175"/>
      <c r="N144" s="175"/>
      <c r="O144" s="175"/>
      <c r="P144" s="175"/>
      <c r="Q144" s="175"/>
    </row>
    <row r="145" spans="4:17" s="21" customFormat="1">
      <c r="D145" s="166"/>
      <c r="M145" s="175"/>
      <c r="N145" s="175"/>
      <c r="O145" s="175"/>
      <c r="P145" s="175"/>
      <c r="Q145" s="175"/>
    </row>
    <row r="146" spans="4:17" s="21" customFormat="1">
      <c r="D146" s="166"/>
      <c r="M146" s="175"/>
      <c r="N146" s="175"/>
      <c r="O146" s="175"/>
      <c r="P146" s="175"/>
      <c r="Q146" s="175"/>
    </row>
    <row r="147" spans="4:17" s="21" customFormat="1">
      <c r="D147" s="166"/>
      <c r="M147" s="175"/>
      <c r="N147" s="175"/>
      <c r="O147" s="175"/>
      <c r="P147" s="175"/>
      <c r="Q147" s="175"/>
    </row>
    <row r="148" spans="4:17" s="21" customFormat="1">
      <c r="D148" s="166"/>
      <c r="M148" s="175"/>
      <c r="N148" s="175"/>
      <c r="O148" s="175"/>
      <c r="P148" s="175"/>
      <c r="Q148" s="175"/>
    </row>
    <row r="149" spans="4:17" s="21" customFormat="1">
      <c r="D149" s="166"/>
      <c r="M149" s="175"/>
      <c r="N149" s="175"/>
      <c r="O149" s="175"/>
      <c r="P149" s="175"/>
      <c r="Q149" s="175"/>
    </row>
    <row r="150" spans="4:17" s="21" customFormat="1">
      <c r="D150" s="166"/>
      <c r="M150" s="175"/>
      <c r="N150" s="175"/>
      <c r="O150" s="175"/>
      <c r="P150" s="175"/>
      <c r="Q150" s="175"/>
    </row>
    <row r="151" spans="4:17" s="21" customFormat="1">
      <c r="D151" s="166"/>
      <c r="M151" s="175"/>
      <c r="N151" s="175"/>
      <c r="O151" s="175"/>
      <c r="P151" s="175"/>
      <c r="Q151" s="175"/>
    </row>
    <row r="152" spans="4:17" s="21" customFormat="1">
      <c r="D152" s="166"/>
      <c r="M152" s="175"/>
      <c r="N152" s="175"/>
      <c r="O152" s="175"/>
      <c r="P152" s="175"/>
      <c r="Q152" s="175"/>
    </row>
    <row r="153" spans="4:17" s="21" customFormat="1">
      <c r="D153" s="166"/>
      <c r="M153" s="175"/>
      <c r="N153" s="175"/>
      <c r="O153" s="175"/>
      <c r="P153" s="175"/>
      <c r="Q153" s="175"/>
    </row>
    <row r="154" spans="4:17" s="21" customFormat="1">
      <c r="D154" s="166"/>
      <c r="M154" s="175"/>
      <c r="N154" s="175"/>
      <c r="O154" s="175"/>
      <c r="P154" s="175"/>
      <c r="Q154" s="175"/>
    </row>
    <row r="155" spans="4:17" s="21" customFormat="1">
      <c r="D155" s="166"/>
      <c r="M155" s="175"/>
      <c r="N155" s="175"/>
      <c r="O155" s="175"/>
      <c r="P155" s="175"/>
      <c r="Q155" s="175"/>
    </row>
    <row r="156" spans="4:17" s="21" customFormat="1">
      <c r="D156" s="166"/>
      <c r="M156" s="175"/>
      <c r="N156" s="175"/>
      <c r="O156" s="175"/>
      <c r="P156" s="175"/>
      <c r="Q156" s="175"/>
    </row>
    <row r="157" spans="4:17" s="21" customFormat="1">
      <c r="D157" s="166"/>
      <c r="M157" s="175"/>
      <c r="N157" s="175"/>
      <c r="O157" s="175"/>
      <c r="P157" s="175"/>
      <c r="Q157" s="175"/>
    </row>
    <row r="158" spans="4:17" s="21" customFormat="1">
      <c r="D158" s="166"/>
      <c r="M158" s="175"/>
      <c r="N158" s="175"/>
      <c r="O158" s="175"/>
      <c r="P158" s="175"/>
      <c r="Q158" s="175"/>
    </row>
    <row r="159" spans="4:17" s="21" customFormat="1">
      <c r="D159" s="166"/>
      <c r="M159" s="175"/>
      <c r="N159" s="175"/>
      <c r="O159" s="175"/>
      <c r="P159" s="175"/>
      <c r="Q159" s="175"/>
    </row>
    <row r="160" spans="4:17" s="21" customFormat="1">
      <c r="D160" s="166"/>
      <c r="M160" s="175"/>
      <c r="N160" s="175"/>
      <c r="O160" s="175"/>
      <c r="P160" s="175"/>
      <c r="Q160" s="175"/>
    </row>
    <row r="161" spans="4:17" s="21" customFormat="1">
      <c r="D161" s="166"/>
      <c r="M161" s="175"/>
      <c r="N161" s="175"/>
      <c r="O161" s="175"/>
      <c r="P161" s="175"/>
      <c r="Q161" s="175"/>
    </row>
    <row r="162" spans="4:17" s="21" customFormat="1">
      <c r="D162" s="166"/>
      <c r="M162" s="175"/>
      <c r="N162" s="175"/>
      <c r="O162" s="175"/>
      <c r="P162" s="175"/>
      <c r="Q162" s="175"/>
    </row>
    <row r="163" spans="4:17" s="21" customFormat="1">
      <c r="D163" s="166"/>
      <c r="M163" s="175"/>
      <c r="N163" s="175"/>
      <c r="O163" s="175"/>
      <c r="P163" s="175"/>
      <c r="Q163" s="175"/>
    </row>
    <row r="164" spans="4:17" s="21" customFormat="1">
      <c r="D164" s="166"/>
      <c r="M164" s="175"/>
      <c r="N164" s="175"/>
      <c r="O164" s="175"/>
      <c r="P164" s="175"/>
      <c r="Q164" s="175"/>
    </row>
    <row r="165" spans="4:17" s="21" customFormat="1">
      <c r="D165" s="166"/>
      <c r="M165" s="175"/>
      <c r="N165" s="175"/>
      <c r="O165" s="175"/>
      <c r="P165" s="175"/>
      <c r="Q165" s="175"/>
    </row>
    <row r="166" spans="4:17" s="21" customFormat="1">
      <c r="D166" s="166"/>
      <c r="M166" s="175"/>
      <c r="N166" s="175"/>
      <c r="O166" s="175"/>
      <c r="P166" s="175"/>
      <c r="Q166" s="175"/>
    </row>
    <row r="167" spans="4:17" s="21" customFormat="1">
      <c r="D167" s="166"/>
      <c r="M167" s="175"/>
      <c r="N167" s="175"/>
      <c r="O167" s="175"/>
      <c r="P167" s="175"/>
      <c r="Q167" s="175"/>
    </row>
    <row r="168" spans="4:17" s="21" customFormat="1">
      <c r="D168" s="166"/>
      <c r="M168" s="175"/>
      <c r="N168" s="175"/>
      <c r="O168" s="175"/>
      <c r="P168" s="175"/>
      <c r="Q168" s="175"/>
    </row>
    <row r="169" spans="4:17" s="21" customFormat="1">
      <c r="D169" s="166"/>
      <c r="M169" s="175"/>
      <c r="N169" s="175"/>
      <c r="O169" s="175"/>
      <c r="P169" s="175"/>
      <c r="Q169" s="175"/>
    </row>
    <row r="170" spans="4:17" s="21" customFormat="1">
      <c r="D170" s="166"/>
      <c r="M170" s="175"/>
      <c r="N170" s="175"/>
      <c r="O170" s="175"/>
      <c r="P170" s="175"/>
      <c r="Q170" s="175"/>
    </row>
    <row r="171" spans="4:17" s="21" customFormat="1">
      <c r="D171" s="166"/>
      <c r="M171" s="175"/>
      <c r="N171" s="175"/>
      <c r="O171" s="175"/>
      <c r="P171" s="175"/>
      <c r="Q171" s="175"/>
    </row>
    <row r="172" spans="4:17" s="21" customFormat="1">
      <c r="D172" s="166"/>
      <c r="M172" s="175"/>
      <c r="N172" s="175"/>
      <c r="O172" s="175"/>
      <c r="P172" s="175"/>
      <c r="Q172" s="175"/>
    </row>
    <row r="173" spans="4:17" s="21" customFormat="1">
      <c r="D173" s="166"/>
      <c r="M173" s="175"/>
      <c r="N173" s="175"/>
      <c r="O173" s="175"/>
      <c r="P173" s="175"/>
      <c r="Q173" s="175"/>
    </row>
    <row r="174" spans="4:17" s="21" customFormat="1">
      <c r="D174" s="166"/>
      <c r="M174" s="175"/>
      <c r="N174" s="175"/>
      <c r="O174" s="175"/>
      <c r="P174" s="175"/>
      <c r="Q174" s="175"/>
    </row>
    <row r="175" spans="4:17" s="21" customFormat="1">
      <c r="D175" s="166"/>
      <c r="M175" s="175"/>
      <c r="N175" s="175"/>
      <c r="O175" s="175"/>
      <c r="P175" s="175"/>
      <c r="Q175" s="175"/>
    </row>
    <row r="176" spans="4:17" s="21" customFormat="1">
      <c r="D176" s="166"/>
      <c r="M176" s="175"/>
      <c r="N176" s="175"/>
      <c r="O176" s="175"/>
      <c r="P176" s="175"/>
      <c r="Q176" s="175"/>
    </row>
    <row r="177" spans="4:17" s="21" customFormat="1">
      <c r="D177" s="166"/>
      <c r="M177" s="175"/>
      <c r="N177" s="175"/>
      <c r="O177" s="175"/>
      <c r="P177" s="175"/>
      <c r="Q177" s="175"/>
    </row>
    <row r="178" spans="4:17" s="21" customFormat="1">
      <c r="D178" s="166"/>
      <c r="M178" s="175"/>
      <c r="N178" s="175"/>
      <c r="O178" s="175"/>
      <c r="P178" s="175"/>
      <c r="Q178" s="175"/>
    </row>
    <row r="179" spans="4:17" s="21" customFormat="1">
      <c r="D179" s="166"/>
      <c r="M179" s="175"/>
      <c r="N179" s="175"/>
      <c r="O179" s="175"/>
      <c r="P179" s="175"/>
      <c r="Q179" s="175"/>
    </row>
    <row r="180" spans="4:17" s="21" customFormat="1">
      <c r="D180" s="166"/>
      <c r="M180" s="175"/>
      <c r="N180" s="175"/>
      <c r="O180" s="175"/>
      <c r="P180" s="175"/>
      <c r="Q180" s="175"/>
    </row>
    <row r="181" spans="4:17" s="21" customFormat="1">
      <c r="D181" s="166"/>
      <c r="M181" s="175"/>
      <c r="N181" s="175"/>
      <c r="O181" s="175"/>
      <c r="P181" s="175"/>
      <c r="Q181" s="175"/>
    </row>
    <row r="182" spans="4:17" s="21" customFormat="1">
      <c r="D182" s="166"/>
      <c r="M182" s="175"/>
      <c r="N182" s="175"/>
      <c r="O182" s="175"/>
      <c r="P182" s="175"/>
      <c r="Q182" s="175"/>
    </row>
    <row r="183" spans="4:17" s="21" customFormat="1">
      <c r="D183" s="166"/>
      <c r="M183" s="175"/>
      <c r="N183" s="175"/>
      <c r="O183" s="175"/>
      <c r="P183" s="175"/>
      <c r="Q183" s="175"/>
    </row>
    <row r="184" spans="4:17" s="21" customFormat="1">
      <c r="D184" s="166"/>
      <c r="M184" s="175"/>
      <c r="N184" s="175"/>
      <c r="O184" s="175"/>
      <c r="P184" s="175"/>
      <c r="Q184" s="175"/>
    </row>
    <row r="185" spans="4:17" s="21" customFormat="1">
      <c r="D185" s="166"/>
      <c r="M185" s="175"/>
      <c r="N185" s="175"/>
      <c r="O185" s="175"/>
      <c r="P185" s="175"/>
      <c r="Q185" s="175"/>
    </row>
    <row r="186" spans="4:17" s="21" customFormat="1">
      <c r="D186" s="166"/>
      <c r="M186" s="175"/>
      <c r="N186" s="175"/>
      <c r="O186" s="175"/>
      <c r="P186" s="175"/>
      <c r="Q186" s="175"/>
    </row>
    <row r="187" spans="4:17" s="21" customFormat="1">
      <c r="D187" s="166"/>
      <c r="M187" s="175"/>
      <c r="N187" s="175"/>
      <c r="O187" s="175"/>
      <c r="P187" s="175"/>
      <c r="Q187" s="175"/>
    </row>
    <row r="188" spans="4:17" s="21" customFormat="1">
      <c r="D188" s="166"/>
      <c r="M188" s="175"/>
      <c r="N188" s="175"/>
      <c r="O188" s="175"/>
      <c r="P188" s="175"/>
      <c r="Q188" s="175"/>
    </row>
    <row r="189" spans="4:17" s="21" customFormat="1">
      <c r="D189" s="166"/>
      <c r="M189" s="175"/>
      <c r="N189" s="175"/>
      <c r="O189" s="175"/>
      <c r="P189" s="175"/>
      <c r="Q189" s="175"/>
    </row>
    <row r="190" spans="4:17" s="21" customFormat="1">
      <c r="D190" s="166"/>
      <c r="M190" s="175"/>
      <c r="N190" s="175"/>
      <c r="O190" s="175"/>
      <c r="P190" s="175"/>
      <c r="Q190" s="175"/>
    </row>
    <row r="191" spans="4:17" s="21" customFormat="1">
      <c r="D191" s="166"/>
      <c r="M191" s="175"/>
      <c r="N191" s="175"/>
      <c r="O191" s="175"/>
      <c r="P191" s="175"/>
      <c r="Q191" s="175"/>
    </row>
    <row r="192" spans="4:17" s="21" customFormat="1">
      <c r="D192" s="166"/>
      <c r="M192" s="175"/>
      <c r="N192" s="175"/>
      <c r="O192" s="175"/>
      <c r="P192" s="175"/>
      <c r="Q192" s="175"/>
    </row>
    <row r="193" spans="4:17" s="21" customFormat="1">
      <c r="D193" s="166"/>
      <c r="M193" s="175"/>
      <c r="N193" s="175"/>
      <c r="O193" s="175"/>
      <c r="P193" s="175"/>
      <c r="Q193" s="175"/>
    </row>
    <row r="194" spans="4:17" s="21" customFormat="1">
      <c r="D194" s="166"/>
      <c r="M194" s="175"/>
      <c r="N194" s="175"/>
      <c r="O194" s="175"/>
      <c r="P194" s="175"/>
      <c r="Q194" s="175"/>
    </row>
    <row r="195" spans="4:17" s="21" customFormat="1">
      <c r="D195" s="166"/>
      <c r="M195" s="175"/>
      <c r="N195" s="175"/>
      <c r="O195" s="175"/>
      <c r="P195" s="175"/>
      <c r="Q195" s="175"/>
    </row>
    <row r="196" spans="4:17" s="21" customFormat="1">
      <c r="D196" s="166"/>
      <c r="M196" s="175"/>
      <c r="N196" s="175"/>
      <c r="O196" s="175"/>
      <c r="P196" s="175"/>
      <c r="Q196" s="175"/>
    </row>
    <row r="197" spans="4:17" s="21" customFormat="1">
      <c r="D197" s="166"/>
      <c r="M197" s="175"/>
      <c r="N197" s="175"/>
      <c r="O197" s="175"/>
      <c r="P197" s="175"/>
      <c r="Q197" s="175"/>
    </row>
    <row r="198" spans="4:17" s="21" customFormat="1">
      <c r="D198" s="166"/>
      <c r="M198" s="175"/>
      <c r="N198" s="175"/>
      <c r="O198" s="175"/>
      <c r="P198" s="175"/>
      <c r="Q198" s="175"/>
    </row>
    <row r="199" spans="4:17" s="21" customFormat="1">
      <c r="D199" s="166"/>
      <c r="M199" s="175"/>
      <c r="N199" s="175"/>
      <c r="O199" s="175"/>
      <c r="P199" s="175"/>
      <c r="Q199" s="175"/>
    </row>
    <row r="200" spans="4:17" s="21" customFormat="1">
      <c r="D200" s="166"/>
      <c r="M200" s="175"/>
      <c r="N200" s="175"/>
      <c r="O200" s="175"/>
      <c r="P200" s="175"/>
      <c r="Q200" s="175"/>
    </row>
    <row r="201" spans="4:17" s="21" customFormat="1">
      <c r="D201" s="166"/>
      <c r="M201" s="175"/>
      <c r="N201" s="175"/>
      <c r="O201" s="175"/>
      <c r="P201" s="175"/>
      <c r="Q201" s="175"/>
    </row>
    <row r="202" spans="4:17" s="21" customFormat="1">
      <c r="D202" s="166"/>
      <c r="M202" s="175"/>
      <c r="N202" s="175"/>
      <c r="O202" s="175"/>
      <c r="P202" s="175"/>
      <c r="Q202" s="175"/>
    </row>
    <row r="203" spans="4:17" s="21" customFormat="1">
      <c r="D203" s="166"/>
      <c r="M203" s="175"/>
      <c r="N203" s="175"/>
      <c r="O203" s="175"/>
      <c r="P203" s="175"/>
      <c r="Q203" s="175"/>
    </row>
    <row r="204" spans="4:17" s="21" customFormat="1">
      <c r="D204" s="166"/>
      <c r="M204" s="175"/>
      <c r="N204" s="175"/>
      <c r="O204" s="175"/>
      <c r="P204" s="175"/>
      <c r="Q204" s="175"/>
    </row>
    <row r="205" spans="4:17" s="21" customFormat="1">
      <c r="D205" s="166"/>
      <c r="M205" s="175"/>
      <c r="N205" s="175"/>
      <c r="O205" s="175"/>
      <c r="P205" s="175"/>
      <c r="Q205" s="175"/>
    </row>
    <row r="206" spans="4:17" s="21" customFormat="1">
      <c r="D206" s="166"/>
      <c r="M206" s="175"/>
      <c r="N206" s="175"/>
      <c r="O206" s="175"/>
      <c r="P206" s="175"/>
      <c r="Q206" s="175"/>
    </row>
    <row r="207" spans="4:17" s="21" customFormat="1">
      <c r="D207" s="166"/>
      <c r="M207" s="175"/>
      <c r="N207" s="175"/>
      <c r="O207" s="175"/>
      <c r="P207" s="175"/>
      <c r="Q207" s="175"/>
    </row>
    <row r="208" spans="4:17" s="21" customFormat="1">
      <c r="D208" s="166"/>
      <c r="M208" s="175"/>
      <c r="N208" s="175"/>
      <c r="O208" s="175"/>
      <c r="P208" s="175"/>
      <c r="Q208" s="175"/>
    </row>
    <row r="209" spans="4:17" s="21" customFormat="1">
      <c r="D209" s="166"/>
      <c r="M209" s="175"/>
      <c r="N209" s="175"/>
      <c r="O209" s="175"/>
      <c r="P209" s="175"/>
      <c r="Q209" s="175"/>
    </row>
    <row r="210" spans="4:17" s="21" customFormat="1">
      <c r="D210" s="166"/>
      <c r="M210" s="175"/>
      <c r="N210" s="175"/>
      <c r="O210" s="175"/>
      <c r="P210" s="175"/>
      <c r="Q210" s="175"/>
    </row>
    <row r="211" spans="4:17" s="21" customFormat="1">
      <c r="D211" s="166"/>
      <c r="M211" s="175"/>
      <c r="N211" s="175"/>
      <c r="O211" s="175"/>
      <c r="P211" s="175"/>
      <c r="Q211" s="175"/>
    </row>
    <row r="212" spans="4:17" s="21" customFormat="1">
      <c r="D212" s="166"/>
      <c r="M212" s="175"/>
      <c r="N212" s="175"/>
      <c r="O212" s="175"/>
      <c r="P212" s="175"/>
      <c r="Q212" s="175"/>
    </row>
    <row r="213" spans="4:17" s="21" customFormat="1">
      <c r="D213" s="166"/>
      <c r="M213" s="175"/>
      <c r="N213" s="175"/>
      <c r="O213" s="175"/>
      <c r="P213" s="175"/>
      <c r="Q213" s="175"/>
    </row>
    <row r="214" spans="4:17" s="21" customFormat="1">
      <c r="D214" s="166"/>
      <c r="M214" s="175"/>
      <c r="N214" s="175"/>
      <c r="O214" s="175"/>
      <c r="P214" s="175"/>
      <c r="Q214" s="175"/>
    </row>
    <row r="215" spans="4:17" s="21" customFormat="1">
      <c r="D215" s="166"/>
      <c r="M215" s="175"/>
      <c r="N215" s="175"/>
      <c r="O215" s="175"/>
      <c r="P215" s="175"/>
      <c r="Q215" s="175"/>
    </row>
    <row r="216" spans="4:17" s="21" customFormat="1">
      <c r="D216" s="166"/>
      <c r="M216" s="175"/>
      <c r="N216" s="175"/>
      <c r="O216" s="175"/>
      <c r="P216" s="175"/>
      <c r="Q216" s="175"/>
    </row>
    <row r="217" spans="4:17" s="21" customFormat="1">
      <c r="D217" s="166"/>
      <c r="M217" s="175"/>
      <c r="N217" s="175"/>
      <c r="O217" s="175"/>
      <c r="P217" s="175"/>
      <c r="Q217" s="175"/>
    </row>
    <row r="218" spans="4:17" s="21" customFormat="1">
      <c r="D218" s="166"/>
      <c r="M218" s="175"/>
      <c r="N218" s="175"/>
      <c r="O218" s="175"/>
      <c r="P218" s="175"/>
      <c r="Q218" s="175"/>
    </row>
    <row r="219" spans="4:17" s="21" customFormat="1">
      <c r="D219" s="166"/>
      <c r="M219" s="175"/>
      <c r="N219" s="175"/>
      <c r="O219" s="175"/>
      <c r="P219" s="175"/>
      <c r="Q219" s="175"/>
    </row>
    <row r="220" spans="4:17" s="21" customFormat="1">
      <c r="D220" s="166"/>
      <c r="M220" s="175"/>
      <c r="N220" s="175"/>
      <c r="O220" s="175"/>
      <c r="P220" s="175"/>
      <c r="Q220" s="175"/>
    </row>
    <row r="221" spans="4:17" s="21" customFormat="1">
      <c r="D221" s="166"/>
      <c r="M221" s="175"/>
      <c r="N221" s="175"/>
      <c r="O221" s="175"/>
      <c r="P221" s="175"/>
      <c r="Q221" s="175"/>
    </row>
    <row r="222" spans="4:17" s="21" customFormat="1">
      <c r="D222" s="166"/>
      <c r="M222" s="175"/>
      <c r="N222" s="175"/>
      <c r="O222" s="175"/>
      <c r="P222" s="175"/>
      <c r="Q222" s="175"/>
    </row>
    <row r="223" spans="4:17" s="21" customFormat="1">
      <c r="D223" s="166"/>
      <c r="M223" s="175"/>
      <c r="N223" s="175"/>
      <c r="O223" s="175"/>
      <c r="P223" s="175"/>
      <c r="Q223" s="175"/>
    </row>
    <row r="224" spans="4:17" s="21" customFormat="1">
      <c r="D224" s="166"/>
      <c r="M224" s="175"/>
      <c r="N224" s="175"/>
      <c r="O224" s="175"/>
      <c r="P224" s="175"/>
      <c r="Q224" s="175"/>
    </row>
    <row r="225" spans="4:17" s="21" customFormat="1">
      <c r="D225" s="166"/>
      <c r="M225" s="175"/>
      <c r="N225" s="175"/>
      <c r="O225" s="175"/>
      <c r="P225" s="175"/>
      <c r="Q225" s="175"/>
    </row>
    <row r="226" spans="4:17" s="21" customFormat="1">
      <c r="D226" s="166"/>
      <c r="M226" s="175"/>
      <c r="N226" s="175"/>
      <c r="O226" s="175"/>
      <c r="P226" s="175"/>
      <c r="Q226" s="175"/>
    </row>
    <row r="227" spans="4:17" s="21" customFormat="1">
      <c r="D227" s="166"/>
      <c r="M227" s="175"/>
      <c r="N227" s="175"/>
      <c r="O227" s="175"/>
      <c r="P227" s="175"/>
      <c r="Q227" s="175"/>
    </row>
    <row r="228" spans="4:17" s="21" customFormat="1">
      <c r="D228" s="166"/>
      <c r="M228" s="175"/>
      <c r="N228" s="175"/>
      <c r="O228" s="175"/>
      <c r="P228" s="175"/>
      <c r="Q228" s="175"/>
    </row>
    <row r="229" spans="4:17" s="21" customFormat="1">
      <c r="D229" s="166"/>
      <c r="M229" s="175"/>
      <c r="N229" s="175"/>
      <c r="O229" s="175"/>
      <c r="P229" s="175"/>
      <c r="Q229" s="175"/>
    </row>
    <row r="230" spans="4:17" s="21" customFormat="1">
      <c r="D230" s="166"/>
      <c r="M230" s="175"/>
      <c r="N230" s="175"/>
      <c r="O230" s="175"/>
      <c r="P230" s="175"/>
      <c r="Q230" s="175"/>
    </row>
    <row r="231" spans="4:17" s="21" customFormat="1">
      <c r="D231" s="166"/>
      <c r="M231" s="175"/>
      <c r="N231" s="175"/>
      <c r="O231" s="175"/>
      <c r="P231" s="175"/>
      <c r="Q231" s="175"/>
    </row>
    <row r="232" spans="4:17" s="21" customFormat="1">
      <c r="D232" s="166"/>
      <c r="M232" s="175"/>
      <c r="N232" s="175"/>
      <c r="O232" s="175"/>
      <c r="P232" s="175"/>
      <c r="Q232" s="175"/>
    </row>
    <row r="233" spans="4:17" s="21" customFormat="1">
      <c r="D233" s="166"/>
      <c r="M233" s="175"/>
      <c r="N233" s="175"/>
      <c r="O233" s="175"/>
      <c r="P233" s="175"/>
      <c r="Q233" s="175"/>
    </row>
    <row r="234" spans="4:17" s="21" customFormat="1">
      <c r="D234" s="166"/>
      <c r="M234" s="175"/>
      <c r="N234" s="175"/>
      <c r="O234" s="175"/>
      <c r="P234" s="175"/>
      <c r="Q234" s="175"/>
    </row>
    <row r="235" spans="4:17" s="21" customFormat="1">
      <c r="D235" s="166"/>
      <c r="M235" s="175"/>
      <c r="N235" s="175"/>
      <c r="O235" s="175"/>
      <c r="P235" s="175"/>
      <c r="Q235" s="175"/>
    </row>
    <row r="236" spans="4:17" s="21" customFormat="1">
      <c r="D236" s="166"/>
      <c r="M236" s="175"/>
      <c r="N236" s="175"/>
      <c r="O236" s="175"/>
      <c r="P236" s="175"/>
      <c r="Q236" s="175"/>
    </row>
    <row r="237" spans="4:17" s="21" customFormat="1">
      <c r="D237" s="166"/>
      <c r="M237" s="175"/>
      <c r="N237" s="175"/>
      <c r="O237" s="175"/>
      <c r="P237" s="175"/>
      <c r="Q237" s="175"/>
    </row>
    <row r="238" spans="4:17" s="21" customFormat="1">
      <c r="D238" s="166"/>
      <c r="M238" s="175"/>
      <c r="N238" s="175"/>
      <c r="O238" s="175"/>
      <c r="P238" s="175"/>
      <c r="Q238" s="175"/>
    </row>
    <row r="239" spans="4:17" s="21" customFormat="1">
      <c r="D239" s="166"/>
      <c r="M239" s="175"/>
      <c r="N239" s="175"/>
      <c r="O239" s="175"/>
      <c r="P239" s="175"/>
      <c r="Q239" s="175"/>
    </row>
    <row r="240" spans="4:17" s="21" customFormat="1">
      <c r="D240" s="166"/>
      <c r="M240" s="175"/>
      <c r="N240" s="175"/>
      <c r="O240" s="175"/>
      <c r="P240" s="175"/>
      <c r="Q240" s="175"/>
    </row>
    <row r="241" spans="4:17" s="21" customFormat="1">
      <c r="D241" s="166"/>
      <c r="M241" s="175"/>
      <c r="N241" s="175"/>
      <c r="O241" s="175"/>
      <c r="P241" s="175"/>
      <c r="Q241" s="175"/>
    </row>
    <row r="242" spans="4:17" s="21" customFormat="1">
      <c r="D242" s="166"/>
      <c r="M242" s="175"/>
      <c r="N242" s="175"/>
      <c r="O242" s="175"/>
      <c r="P242" s="175"/>
      <c r="Q242" s="175"/>
    </row>
    <row r="243" spans="4:17" s="21" customFormat="1">
      <c r="D243" s="166"/>
      <c r="M243" s="175"/>
      <c r="N243" s="175"/>
      <c r="O243" s="175"/>
      <c r="P243" s="175"/>
      <c r="Q243" s="175"/>
    </row>
    <row r="244" spans="4:17" s="21" customFormat="1">
      <c r="D244" s="166"/>
      <c r="M244" s="175"/>
      <c r="N244" s="175"/>
      <c r="O244" s="175"/>
      <c r="P244" s="175"/>
      <c r="Q244" s="175"/>
    </row>
    <row r="245" spans="4:17" s="21" customFormat="1">
      <c r="D245" s="166"/>
      <c r="M245" s="175"/>
      <c r="N245" s="175"/>
      <c r="O245" s="175"/>
      <c r="P245" s="175"/>
      <c r="Q245" s="175"/>
    </row>
    <row r="246" spans="4:17" s="21" customFormat="1">
      <c r="D246" s="166"/>
      <c r="M246" s="175"/>
      <c r="N246" s="175"/>
      <c r="O246" s="175"/>
      <c r="P246" s="175"/>
      <c r="Q246" s="175"/>
    </row>
    <row r="247" spans="4:17" s="21" customFormat="1">
      <c r="D247" s="166"/>
      <c r="M247" s="175"/>
      <c r="N247" s="175"/>
      <c r="O247" s="175"/>
      <c r="P247" s="175"/>
      <c r="Q247" s="175"/>
    </row>
    <row r="248" spans="4:17" s="21" customFormat="1">
      <c r="D248" s="166"/>
      <c r="M248" s="175"/>
      <c r="N248" s="175"/>
      <c r="O248" s="175"/>
      <c r="P248" s="175"/>
      <c r="Q248" s="175"/>
    </row>
    <row r="249" spans="4:17" s="21" customFormat="1">
      <c r="D249" s="166"/>
      <c r="M249" s="175"/>
      <c r="N249" s="175"/>
      <c r="O249" s="175"/>
      <c r="P249" s="175"/>
      <c r="Q249" s="175"/>
    </row>
    <row r="250" spans="4:17" s="21" customFormat="1">
      <c r="D250" s="166"/>
      <c r="M250" s="175"/>
      <c r="N250" s="175"/>
      <c r="O250" s="175"/>
      <c r="P250" s="175"/>
      <c r="Q250" s="175"/>
    </row>
    <row r="251" spans="4:17" s="21" customFormat="1">
      <c r="D251" s="166"/>
      <c r="M251" s="175"/>
      <c r="N251" s="175"/>
      <c r="O251" s="175"/>
      <c r="P251" s="175"/>
      <c r="Q251" s="175"/>
    </row>
    <row r="252" spans="4:17" s="21" customFormat="1">
      <c r="D252" s="166"/>
      <c r="M252" s="175"/>
      <c r="N252" s="175"/>
      <c r="O252" s="175"/>
      <c r="P252" s="175"/>
      <c r="Q252" s="175"/>
    </row>
    <row r="253" spans="4:17" s="21" customFormat="1">
      <c r="D253" s="166"/>
      <c r="M253" s="175"/>
      <c r="N253" s="175"/>
      <c r="O253" s="175"/>
      <c r="P253" s="175"/>
      <c r="Q253" s="175"/>
    </row>
    <row r="254" spans="4:17" s="21" customFormat="1">
      <c r="D254" s="166"/>
      <c r="M254" s="175"/>
      <c r="N254" s="175"/>
      <c r="O254" s="175"/>
      <c r="P254" s="175"/>
      <c r="Q254" s="175"/>
    </row>
    <row r="255" spans="4:17" s="21" customFormat="1">
      <c r="D255" s="166"/>
      <c r="M255" s="175"/>
      <c r="N255" s="175"/>
      <c r="O255" s="175"/>
      <c r="P255" s="175"/>
      <c r="Q255" s="175"/>
    </row>
    <row r="256" spans="4:17" s="21" customFormat="1">
      <c r="D256" s="166"/>
      <c r="M256" s="175"/>
      <c r="N256" s="175"/>
      <c r="O256" s="175"/>
      <c r="P256" s="175"/>
      <c r="Q256" s="175"/>
    </row>
    <row r="257" spans="4:17" s="21" customFormat="1">
      <c r="D257" s="166"/>
      <c r="M257" s="175"/>
      <c r="N257" s="175"/>
      <c r="O257" s="175"/>
      <c r="P257" s="175"/>
      <c r="Q257" s="175"/>
    </row>
    <row r="258" spans="4:17" s="21" customFormat="1">
      <c r="D258" s="166"/>
      <c r="M258" s="175"/>
      <c r="N258" s="175"/>
      <c r="O258" s="175"/>
      <c r="P258" s="175"/>
      <c r="Q258" s="175"/>
    </row>
    <row r="259" spans="4:17" s="21" customFormat="1">
      <c r="D259" s="166"/>
      <c r="M259" s="175"/>
      <c r="N259" s="175"/>
      <c r="O259" s="175"/>
      <c r="P259" s="175"/>
      <c r="Q259" s="175"/>
    </row>
    <row r="260" spans="4:17" s="21" customFormat="1">
      <c r="D260" s="166"/>
      <c r="M260" s="175"/>
      <c r="N260" s="175"/>
      <c r="O260" s="175"/>
      <c r="P260" s="175"/>
      <c r="Q260" s="175"/>
    </row>
    <row r="261" spans="4:17" s="21" customFormat="1">
      <c r="D261" s="166"/>
      <c r="M261" s="175"/>
      <c r="N261" s="175"/>
      <c r="O261" s="175"/>
      <c r="P261" s="175"/>
      <c r="Q261" s="175"/>
    </row>
    <row r="262" spans="4:17" s="21" customFormat="1">
      <c r="D262" s="166"/>
      <c r="M262" s="175"/>
      <c r="N262" s="175"/>
      <c r="O262" s="175"/>
      <c r="P262" s="175"/>
      <c r="Q262" s="175"/>
    </row>
    <row r="263" spans="4:17" s="21" customFormat="1">
      <c r="D263" s="166"/>
      <c r="M263" s="175"/>
      <c r="N263" s="175"/>
      <c r="O263" s="175"/>
      <c r="P263" s="175"/>
      <c r="Q263" s="175"/>
    </row>
    <row r="264" spans="4:17" s="21" customFormat="1">
      <c r="D264" s="166"/>
      <c r="M264" s="175"/>
      <c r="N264" s="175"/>
      <c r="O264" s="175"/>
      <c r="P264" s="175"/>
      <c r="Q264" s="175"/>
    </row>
    <row r="265" spans="4:17" s="21" customFormat="1">
      <c r="D265" s="166"/>
      <c r="M265" s="175"/>
      <c r="N265" s="175"/>
      <c r="O265" s="175"/>
      <c r="P265" s="175"/>
      <c r="Q265" s="175"/>
    </row>
    <row r="266" spans="4:17" s="21" customFormat="1">
      <c r="D266" s="166"/>
      <c r="M266" s="175"/>
      <c r="N266" s="175"/>
      <c r="O266" s="175"/>
      <c r="P266" s="175"/>
      <c r="Q266" s="175"/>
    </row>
    <row r="267" spans="4:17" s="21" customFormat="1">
      <c r="D267" s="166"/>
      <c r="M267" s="175"/>
      <c r="N267" s="175"/>
      <c r="O267" s="175"/>
      <c r="P267" s="175"/>
      <c r="Q267" s="175"/>
    </row>
    <row r="268" spans="4:17" s="21" customFormat="1">
      <c r="D268" s="166"/>
      <c r="M268" s="175"/>
      <c r="N268" s="175"/>
      <c r="O268" s="175"/>
      <c r="P268" s="175"/>
      <c r="Q268" s="175"/>
    </row>
    <row r="269" spans="4:17" s="21" customFormat="1">
      <c r="D269" s="166"/>
      <c r="M269" s="175"/>
      <c r="N269" s="175"/>
      <c r="O269" s="175"/>
      <c r="P269" s="175"/>
      <c r="Q269" s="175"/>
    </row>
    <row r="270" spans="4:17" s="21" customFormat="1">
      <c r="D270" s="166"/>
      <c r="M270" s="175"/>
      <c r="N270" s="175"/>
      <c r="O270" s="175"/>
      <c r="P270" s="175"/>
      <c r="Q270" s="175"/>
    </row>
    <row r="271" spans="4:17" s="21" customFormat="1">
      <c r="D271" s="166"/>
      <c r="M271" s="175"/>
      <c r="N271" s="175"/>
      <c r="O271" s="175"/>
      <c r="P271" s="175"/>
      <c r="Q271" s="175"/>
    </row>
    <row r="272" spans="4:17" s="21" customFormat="1">
      <c r="D272" s="166"/>
      <c r="M272" s="175"/>
      <c r="N272" s="175"/>
      <c r="O272" s="175"/>
      <c r="P272" s="175"/>
      <c r="Q272" s="175"/>
    </row>
    <row r="273" spans="4:17" s="21" customFormat="1">
      <c r="D273" s="166"/>
      <c r="M273" s="175"/>
      <c r="N273" s="175"/>
      <c r="O273" s="175"/>
      <c r="P273" s="175"/>
      <c r="Q273" s="175"/>
    </row>
    <row r="274" spans="4:17" s="21" customFormat="1">
      <c r="D274" s="166"/>
      <c r="M274" s="175"/>
      <c r="N274" s="175"/>
      <c r="O274" s="175"/>
      <c r="P274" s="175"/>
      <c r="Q274" s="175"/>
    </row>
    <row r="275" spans="4:17" s="21" customFormat="1">
      <c r="D275" s="166"/>
      <c r="M275" s="175"/>
      <c r="N275" s="175"/>
      <c r="O275" s="175"/>
      <c r="P275" s="175"/>
      <c r="Q275" s="175"/>
    </row>
    <row r="276" spans="4:17" s="21" customFormat="1">
      <c r="D276" s="166"/>
      <c r="M276" s="175"/>
      <c r="N276" s="175"/>
      <c r="O276" s="175"/>
      <c r="P276" s="175"/>
      <c r="Q276" s="175"/>
    </row>
    <row r="277" spans="4:17" s="21" customFormat="1">
      <c r="D277" s="166"/>
      <c r="M277" s="175"/>
      <c r="N277" s="175"/>
      <c r="O277" s="175"/>
      <c r="P277" s="175"/>
      <c r="Q277" s="175"/>
    </row>
    <row r="278" spans="4:17" s="21" customFormat="1">
      <c r="D278" s="166"/>
      <c r="M278" s="175"/>
      <c r="N278" s="175"/>
      <c r="O278" s="175"/>
      <c r="P278" s="175"/>
      <c r="Q278" s="175"/>
    </row>
    <row r="279" spans="4:17" s="21" customFormat="1">
      <c r="D279" s="166"/>
      <c r="M279" s="175"/>
      <c r="N279" s="175"/>
      <c r="O279" s="175"/>
      <c r="P279" s="175"/>
      <c r="Q279" s="175"/>
    </row>
    <row r="280" spans="4:17" s="21" customFormat="1">
      <c r="D280" s="166"/>
      <c r="M280" s="175"/>
      <c r="N280" s="175"/>
      <c r="O280" s="175"/>
      <c r="P280" s="175"/>
      <c r="Q280" s="175"/>
    </row>
    <row r="281" spans="4:17" s="21" customFormat="1">
      <c r="D281" s="166"/>
      <c r="M281" s="175"/>
      <c r="N281" s="175"/>
      <c r="O281" s="175"/>
      <c r="P281" s="175"/>
      <c r="Q281" s="175"/>
    </row>
    <row r="282" spans="4:17" s="21" customFormat="1">
      <c r="D282" s="166"/>
      <c r="M282" s="175"/>
      <c r="N282" s="175"/>
      <c r="O282" s="175"/>
      <c r="P282" s="175"/>
      <c r="Q282" s="175"/>
    </row>
    <row r="283" spans="4:17" s="21" customFormat="1">
      <c r="D283" s="166"/>
      <c r="M283" s="175"/>
      <c r="N283" s="175"/>
      <c r="O283" s="175"/>
      <c r="P283" s="175"/>
      <c r="Q283" s="175"/>
    </row>
    <row r="284" spans="4:17" s="21" customFormat="1">
      <c r="D284" s="166"/>
      <c r="M284" s="175"/>
      <c r="N284" s="175"/>
      <c r="O284" s="175"/>
      <c r="P284" s="175"/>
      <c r="Q284" s="175"/>
    </row>
    <row r="285" spans="4:17" s="21" customFormat="1">
      <c r="D285" s="166"/>
      <c r="M285" s="175"/>
      <c r="N285" s="175"/>
      <c r="O285" s="175"/>
      <c r="P285" s="175"/>
      <c r="Q285" s="175"/>
    </row>
    <row r="286" spans="4:17" s="21" customFormat="1">
      <c r="D286" s="166"/>
      <c r="M286" s="175"/>
      <c r="N286" s="175"/>
      <c r="O286" s="175"/>
      <c r="P286" s="175"/>
      <c r="Q286" s="175"/>
    </row>
    <row r="287" spans="4:17" s="21" customFormat="1">
      <c r="D287" s="166"/>
      <c r="M287" s="175"/>
      <c r="N287" s="175"/>
      <c r="O287" s="175"/>
      <c r="P287" s="175"/>
      <c r="Q287" s="175"/>
    </row>
    <row r="288" spans="4:17" s="21" customFormat="1">
      <c r="D288" s="166"/>
      <c r="M288" s="175"/>
      <c r="N288" s="175"/>
      <c r="O288" s="175"/>
      <c r="P288" s="175"/>
      <c r="Q288" s="175"/>
    </row>
    <row r="289" spans="4:17" s="21" customFormat="1">
      <c r="D289" s="166"/>
      <c r="M289" s="175"/>
      <c r="N289" s="175"/>
      <c r="O289" s="175"/>
      <c r="P289" s="175"/>
      <c r="Q289" s="175"/>
    </row>
    <row r="290" spans="4:17" s="21" customFormat="1">
      <c r="D290" s="166"/>
      <c r="M290" s="175"/>
      <c r="N290" s="175"/>
      <c r="O290" s="175"/>
      <c r="P290" s="175"/>
      <c r="Q290" s="175"/>
    </row>
    <row r="291" spans="4:17" s="21" customFormat="1">
      <c r="D291" s="166"/>
      <c r="M291" s="175"/>
      <c r="N291" s="175"/>
      <c r="O291" s="175"/>
      <c r="P291" s="175"/>
      <c r="Q291" s="175"/>
    </row>
    <row r="292" spans="4:17" s="21" customFormat="1">
      <c r="D292" s="166"/>
      <c r="M292" s="175"/>
      <c r="N292" s="175"/>
      <c r="O292" s="175"/>
      <c r="P292" s="175"/>
      <c r="Q292" s="175"/>
    </row>
    <row r="293" spans="4:17" s="21" customFormat="1">
      <c r="D293" s="166"/>
      <c r="M293" s="175"/>
      <c r="N293" s="175"/>
      <c r="O293" s="175"/>
      <c r="P293" s="175"/>
      <c r="Q293" s="175"/>
    </row>
    <row r="294" spans="4:17" s="21" customFormat="1">
      <c r="D294" s="166"/>
      <c r="M294" s="175"/>
      <c r="N294" s="175"/>
      <c r="O294" s="175"/>
      <c r="P294" s="175"/>
      <c r="Q294" s="175"/>
    </row>
    <row r="295" spans="4:17" s="21" customFormat="1">
      <c r="D295" s="166"/>
      <c r="M295" s="175"/>
      <c r="N295" s="175"/>
      <c r="O295" s="175"/>
      <c r="P295" s="175"/>
      <c r="Q295" s="175"/>
    </row>
    <row r="296" spans="4:17" s="21" customFormat="1">
      <c r="D296" s="166"/>
      <c r="M296" s="175"/>
      <c r="N296" s="175"/>
      <c r="O296" s="175"/>
      <c r="P296" s="175"/>
      <c r="Q296" s="175"/>
    </row>
    <row r="297" spans="4:17" s="21" customFormat="1">
      <c r="D297" s="166"/>
      <c r="M297" s="175"/>
      <c r="N297" s="175"/>
      <c r="O297" s="175"/>
      <c r="P297" s="175"/>
      <c r="Q297" s="175"/>
    </row>
    <row r="298" spans="4:17" s="21" customFormat="1">
      <c r="D298" s="166"/>
      <c r="M298" s="175"/>
      <c r="N298" s="175"/>
      <c r="O298" s="175"/>
      <c r="P298" s="175"/>
      <c r="Q298" s="175"/>
    </row>
    <row r="299" spans="4:17" s="21" customFormat="1">
      <c r="D299" s="166"/>
      <c r="M299" s="175"/>
      <c r="N299" s="175"/>
      <c r="O299" s="175"/>
      <c r="P299" s="175"/>
      <c r="Q299" s="175"/>
    </row>
    <row r="300" spans="4:17" s="21" customFormat="1">
      <c r="D300" s="166"/>
      <c r="M300" s="175"/>
      <c r="N300" s="175"/>
      <c r="O300" s="175"/>
      <c r="P300" s="175"/>
      <c r="Q300" s="175"/>
    </row>
    <row r="301" spans="4:17" s="21" customFormat="1">
      <c r="D301" s="166"/>
      <c r="M301" s="175"/>
      <c r="N301" s="175"/>
      <c r="O301" s="175"/>
      <c r="P301" s="175"/>
      <c r="Q301" s="175"/>
    </row>
    <row r="302" spans="4:17" s="21" customFormat="1">
      <c r="D302" s="166"/>
      <c r="M302" s="175"/>
      <c r="N302" s="175"/>
      <c r="O302" s="175"/>
      <c r="P302" s="175"/>
      <c r="Q302" s="175"/>
    </row>
    <row r="303" spans="4:17" s="21" customFormat="1">
      <c r="D303" s="166"/>
      <c r="M303" s="175"/>
      <c r="N303" s="175"/>
      <c r="O303" s="175"/>
      <c r="P303" s="175"/>
      <c r="Q303" s="175"/>
    </row>
    <row r="304" spans="4:17" s="21" customFormat="1">
      <c r="D304" s="166"/>
      <c r="M304" s="175"/>
      <c r="N304" s="175"/>
      <c r="O304" s="175"/>
      <c r="P304" s="175"/>
      <c r="Q304" s="175"/>
    </row>
    <row r="305" spans="4:17" s="21" customFormat="1">
      <c r="D305" s="166"/>
      <c r="M305" s="175"/>
      <c r="N305" s="175"/>
      <c r="O305" s="175"/>
      <c r="P305" s="175"/>
      <c r="Q305" s="175"/>
    </row>
    <row r="306" spans="4:17" s="21" customFormat="1">
      <c r="D306" s="166"/>
      <c r="M306" s="175"/>
      <c r="N306" s="175"/>
      <c r="O306" s="175"/>
      <c r="P306" s="175"/>
      <c r="Q306" s="175"/>
    </row>
    <row r="307" spans="4:17" s="21" customFormat="1">
      <c r="D307" s="166"/>
      <c r="M307" s="175"/>
      <c r="N307" s="175"/>
      <c r="O307" s="175"/>
      <c r="P307" s="175"/>
      <c r="Q307" s="175"/>
    </row>
    <row r="308" spans="4:17" s="21" customFormat="1">
      <c r="D308" s="166"/>
      <c r="M308" s="175"/>
      <c r="N308" s="175"/>
      <c r="O308" s="175"/>
      <c r="P308" s="175"/>
      <c r="Q308" s="175"/>
    </row>
    <row r="309" spans="4:17" s="21" customFormat="1">
      <c r="D309" s="166"/>
      <c r="M309" s="175"/>
      <c r="N309" s="175"/>
      <c r="O309" s="175"/>
      <c r="P309" s="175"/>
      <c r="Q309" s="175"/>
    </row>
    <row r="310" spans="4:17" s="21" customFormat="1">
      <c r="D310" s="166"/>
      <c r="M310" s="175"/>
      <c r="N310" s="175"/>
      <c r="O310" s="175"/>
      <c r="P310" s="175"/>
      <c r="Q310" s="175"/>
    </row>
    <row r="311" spans="4:17" s="21" customFormat="1">
      <c r="D311" s="166"/>
      <c r="M311" s="175"/>
      <c r="N311" s="175"/>
      <c r="O311" s="175"/>
      <c r="P311" s="175"/>
      <c r="Q311" s="175"/>
    </row>
    <row r="312" spans="4:17" s="21" customFormat="1">
      <c r="D312" s="166"/>
      <c r="M312" s="175"/>
      <c r="N312" s="175"/>
      <c r="O312" s="175"/>
      <c r="P312" s="175"/>
      <c r="Q312" s="175"/>
    </row>
    <row r="313" spans="4:17" s="21" customFormat="1">
      <c r="D313" s="166"/>
      <c r="M313" s="175"/>
      <c r="N313" s="175"/>
      <c r="O313" s="175"/>
      <c r="P313" s="175"/>
      <c r="Q313" s="175"/>
    </row>
    <row r="314" spans="4:17" s="21" customFormat="1">
      <c r="D314" s="166"/>
      <c r="M314" s="175"/>
      <c r="N314" s="175"/>
      <c r="O314" s="175"/>
      <c r="P314" s="175"/>
      <c r="Q314" s="175"/>
    </row>
    <row r="315" spans="4:17" s="21" customFormat="1">
      <c r="D315" s="166"/>
      <c r="M315" s="175"/>
      <c r="N315" s="175"/>
      <c r="O315" s="175"/>
      <c r="P315" s="175"/>
      <c r="Q315" s="175"/>
    </row>
    <row r="316" spans="4:17" s="21" customFormat="1">
      <c r="D316" s="166"/>
      <c r="M316" s="175"/>
      <c r="N316" s="175"/>
      <c r="O316" s="175"/>
      <c r="P316" s="175"/>
      <c r="Q316" s="175"/>
    </row>
    <row r="317" spans="4:17" s="21" customFormat="1">
      <c r="D317" s="166"/>
      <c r="M317" s="175"/>
      <c r="N317" s="175"/>
      <c r="O317" s="175"/>
      <c r="P317" s="175"/>
      <c r="Q317" s="175"/>
    </row>
    <row r="318" spans="4:17" s="21" customFormat="1">
      <c r="D318" s="166"/>
      <c r="M318" s="175"/>
      <c r="N318" s="175"/>
      <c r="O318" s="175"/>
      <c r="P318" s="175"/>
      <c r="Q318" s="175"/>
    </row>
    <row r="319" spans="4:17" s="21" customFormat="1">
      <c r="D319" s="166"/>
      <c r="M319" s="175"/>
      <c r="N319" s="175"/>
      <c r="O319" s="175"/>
      <c r="P319" s="175"/>
      <c r="Q319" s="175"/>
    </row>
    <row r="320" spans="4:17" s="21" customFormat="1">
      <c r="D320" s="166"/>
      <c r="M320" s="175"/>
      <c r="N320" s="175"/>
      <c r="O320" s="175"/>
      <c r="P320" s="175"/>
      <c r="Q320" s="175"/>
    </row>
    <row r="321" spans="4:17" s="21" customFormat="1">
      <c r="D321" s="166"/>
      <c r="M321" s="175"/>
      <c r="N321" s="175"/>
      <c r="O321" s="175"/>
      <c r="P321" s="175"/>
      <c r="Q321" s="175"/>
    </row>
    <row r="322" spans="4:17" s="21" customFormat="1">
      <c r="D322" s="166"/>
      <c r="M322" s="175"/>
      <c r="N322" s="175"/>
      <c r="O322" s="175"/>
      <c r="P322" s="175"/>
      <c r="Q322" s="175"/>
    </row>
    <row r="323" spans="4:17" s="21" customFormat="1">
      <c r="D323" s="166"/>
      <c r="M323" s="175"/>
      <c r="N323" s="175"/>
      <c r="O323" s="175"/>
      <c r="P323" s="175"/>
      <c r="Q323" s="175"/>
    </row>
    <row r="324" spans="4:17" s="21" customFormat="1">
      <c r="D324" s="166"/>
      <c r="M324" s="175"/>
      <c r="N324" s="175"/>
      <c r="O324" s="175"/>
      <c r="P324" s="175"/>
      <c r="Q324" s="175"/>
    </row>
    <row r="325" spans="4:17" s="21" customFormat="1">
      <c r="D325" s="166"/>
      <c r="M325" s="175"/>
      <c r="N325" s="175"/>
      <c r="O325" s="175"/>
      <c r="P325" s="175"/>
      <c r="Q325" s="175"/>
    </row>
    <row r="326" spans="4:17" s="21" customFormat="1">
      <c r="D326" s="166"/>
      <c r="M326" s="175"/>
      <c r="N326" s="175"/>
      <c r="O326" s="175"/>
      <c r="P326" s="175"/>
      <c r="Q326" s="175"/>
    </row>
    <row r="327" spans="4:17" s="21" customFormat="1">
      <c r="D327" s="166"/>
      <c r="M327" s="175"/>
      <c r="N327" s="175"/>
      <c r="O327" s="175"/>
      <c r="P327" s="175"/>
      <c r="Q327" s="175"/>
    </row>
    <row r="328" spans="4:17" s="21" customFormat="1">
      <c r="D328" s="166"/>
    </row>
    <row r="329" spans="4:17" s="21" customFormat="1">
      <c r="D329" s="166"/>
    </row>
    <row r="330" spans="4:17" s="21" customFormat="1">
      <c r="D330" s="166"/>
    </row>
    <row r="331" spans="4:17" s="21" customFormat="1">
      <c r="D331" s="166"/>
    </row>
    <row r="332" spans="4:17" s="21" customFormat="1">
      <c r="D332" s="166"/>
    </row>
    <row r="333" spans="4:17" s="21" customFormat="1">
      <c r="D333" s="166"/>
    </row>
    <row r="334" spans="4:17" s="21" customFormat="1">
      <c r="D334" s="166"/>
    </row>
    <row r="335" spans="4:17" s="21" customFormat="1">
      <c r="D335" s="166"/>
    </row>
    <row r="336" spans="4:17" s="21" customFormat="1">
      <c r="D336" s="166"/>
    </row>
    <row r="337" spans="4:4" s="21" customFormat="1">
      <c r="D337" s="166"/>
    </row>
    <row r="338" spans="4:4" s="21" customFormat="1">
      <c r="D338" s="166"/>
    </row>
    <row r="339" spans="4:4" s="21" customFormat="1">
      <c r="D339" s="166"/>
    </row>
    <row r="340" spans="4:4" s="21" customFormat="1">
      <c r="D340" s="166"/>
    </row>
    <row r="341" spans="4:4" s="21" customFormat="1">
      <c r="D341" s="166"/>
    </row>
    <row r="342" spans="4:4" s="21" customFormat="1">
      <c r="D342" s="166"/>
    </row>
    <row r="343" spans="4:4" s="21" customFormat="1">
      <c r="D343" s="166"/>
    </row>
    <row r="344" spans="4:4" s="21" customFormat="1">
      <c r="D344" s="166"/>
    </row>
    <row r="345" spans="4:4" s="21" customFormat="1">
      <c r="D345" s="166"/>
    </row>
    <row r="346" spans="4:4" s="21" customFormat="1">
      <c r="D346" s="166"/>
    </row>
    <row r="347" spans="4:4" s="21" customFormat="1">
      <c r="D347" s="166"/>
    </row>
    <row r="348" spans="4:4" s="21" customFormat="1">
      <c r="D348" s="166"/>
    </row>
    <row r="349" spans="4:4" s="21" customFormat="1">
      <c r="D349" s="166"/>
    </row>
    <row r="350" spans="4:4" s="21" customFormat="1">
      <c r="D350" s="166"/>
    </row>
    <row r="351" spans="4:4" s="21" customFormat="1">
      <c r="D351" s="166"/>
    </row>
    <row r="352" spans="4:4" s="21" customFormat="1">
      <c r="D352" s="166"/>
    </row>
    <row r="353" spans="4:4" s="21" customFormat="1">
      <c r="D353" s="166"/>
    </row>
    <row r="354" spans="4:4" s="21" customFormat="1">
      <c r="D354" s="166"/>
    </row>
    <row r="355" spans="4:4" s="21" customFormat="1">
      <c r="D355" s="166"/>
    </row>
    <row r="356" spans="4:4" s="21" customFormat="1">
      <c r="D356" s="166"/>
    </row>
    <row r="357" spans="4:4" s="21" customFormat="1">
      <c r="D357" s="166"/>
    </row>
    <row r="358" spans="4:4" s="21" customFormat="1">
      <c r="D358" s="166"/>
    </row>
    <row r="359" spans="4:4" s="21" customFormat="1">
      <c r="D359" s="166"/>
    </row>
    <row r="360" spans="4:4" s="21" customFormat="1">
      <c r="D360" s="166"/>
    </row>
    <row r="361" spans="4:4" s="21" customFormat="1">
      <c r="D361" s="166"/>
    </row>
    <row r="362" spans="4:4" s="21" customFormat="1">
      <c r="D362" s="166"/>
    </row>
    <row r="363" spans="4:4" s="21" customFormat="1">
      <c r="D363" s="166"/>
    </row>
    <row r="364" spans="4:4" s="21" customFormat="1">
      <c r="D364" s="166"/>
    </row>
    <row r="365" spans="4:4" s="21" customFormat="1">
      <c r="D365" s="166"/>
    </row>
    <row r="366" spans="4:4" s="21" customFormat="1">
      <c r="D366" s="166"/>
    </row>
    <row r="367" spans="4:4" s="21" customFormat="1">
      <c r="D367" s="166"/>
    </row>
    <row r="368" spans="4:4" s="21" customFormat="1">
      <c r="D368" s="166"/>
    </row>
    <row r="369" spans="4:4" s="21" customFormat="1">
      <c r="D369" s="166"/>
    </row>
    <row r="370" spans="4:4" s="21" customFormat="1">
      <c r="D370" s="166"/>
    </row>
    <row r="371" spans="4:4" s="21" customFormat="1">
      <c r="D371" s="166"/>
    </row>
    <row r="372" spans="4:4" s="21" customFormat="1">
      <c r="D372" s="166"/>
    </row>
    <row r="373" spans="4:4" s="21" customFormat="1">
      <c r="D373" s="166"/>
    </row>
    <row r="374" spans="4:4" s="21" customFormat="1">
      <c r="D374" s="166"/>
    </row>
    <row r="375" spans="4:4" s="21" customFormat="1">
      <c r="D375" s="166"/>
    </row>
    <row r="376" spans="4:4" s="21" customFormat="1">
      <c r="D376" s="166"/>
    </row>
    <row r="377" spans="4:4" s="21" customFormat="1">
      <c r="D377" s="166"/>
    </row>
    <row r="378" spans="4:4" s="21" customFormat="1">
      <c r="D378" s="166"/>
    </row>
    <row r="379" spans="4:4" s="21" customFormat="1">
      <c r="D379" s="166"/>
    </row>
    <row r="380" spans="4:4" s="21" customFormat="1">
      <c r="D380" s="166"/>
    </row>
    <row r="381" spans="4:4" s="21" customFormat="1">
      <c r="D381" s="166"/>
    </row>
    <row r="382" spans="4:4" s="21" customFormat="1">
      <c r="D382" s="166"/>
    </row>
    <row r="383" spans="4:4" s="21" customFormat="1">
      <c r="D383" s="166"/>
    </row>
    <row r="384" spans="4:4" s="21" customFormat="1">
      <c r="D384" s="166"/>
    </row>
    <row r="385" spans="4:4" s="21" customFormat="1">
      <c r="D385" s="166"/>
    </row>
    <row r="386" spans="4:4" s="21" customFormat="1">
      <c r="D386" s="166"/>
    </row>
    <row r="387" spans="4:4" s="21" customFormat="1">
      <c r="D387" s="166"/>
    </row>
    <row r="388" spans="4:4" s="21" customFormat="1">
      <c r="D388" s="166"/>
    </row>
    <row r="389" spans="4:4" s="21" customFormat="1">
      <c r="D389" s="166"/>
    </row>
    <row r="390" spans="4:4" s="21" customFormat="1">
      <c r="D390" s="166"/>
    </row>
    <row r="391" spans="4:4" s="21" customFormat="1">
      <c r="D391" s="166"/>
    </row>
    <row r="392" spans="4:4" s="21" customFormat="1">
      <c r="D392" s="166"/>
    </row>
    <row r="393" spans="4:4" s="21" customFormat="1">
      <c r="D393" s="166"/>
    </row>
    <row r="394" spans="4:4" s="21" customFormat="1">
      <c r="D394" s="166"/>
    </row>
    <row r="395" spans="4:4" s="21" customFormat="1">
      <c r="D395" s="166"/>
    </row>
    <row r="396" spans="4:4" s="21" customFormat="1">
      <c r="D396" s="166"/>
    </row>
    <row r="397" spans="4:4" s="21" customFormat="1">
      <c r="D397" s="166"/>
    </row>
    <row r="398" spans="4:4" s="21" customFormat="1">
      <c r="D398" s="166"/>
    </row>
    <row r="399" spans="4:4" s="21" customFormat="1">
      <c r="D399" s="166"/>
    </row>
    <row r="400" spans="4:4" s="21" customFormat="1">
      <c r="D400" s="166"/>
    </row>
    <row r="401" spans="4:4" s="21" customFormat="1">
      <c r="D401" s="166"/>
    </row>
    <row r="402" spans="4:4" s="21" customFormat="1">
      <c r="D402" s="166"/>
    </row>
    <row r="403" spans="4:4" s="21" customFormat="1">
      <c r="D403" s="166"/>
    </row>
    <row r="404" spans="4:4" s="21" customFormat="1">
      <c r="D404" s="166"/>
    </row>
    <row r="405" spans="4:4" s="21" customFormat="1">
      <c r="D405" s="166"/>
    </row>
    <row r="406" spans="4:4" s="21" customFormat="1">
      <c r="D406" s="166"/>
    </row>
    <row r="407" spans="4:4" s="21" customFormat="1">
      <c r="D407" s="166"/>
    </row>
    <row r="408" spans="4:4" s="21" customFormat="1">
      <c r="D408" s="166"/>
    </row>
    <row r="409" spans="4:4" s="21" customFormat="1">
      <c r="D409" s="166"/>
    </row>
    <row r="410" spans="4:4" s="21" customFormat="1">
      <c r="D410" s="166"/>
    </row>
    <row r="411" spans="4:4" s="21" customFormat="1">
      <c r="D411" s="166"/>
    </row>
    <row r="412" spans="4:4" s="21" customFormat="1">
      <c r="D412" s="166"/>
    </row>
    <row r="413" spans="4:4" s="21" customFormat="1">
      <c r="D413" s="166"/>
    </row>
    <row r="414" spans="4:4" s="21" customFormat="1">
      <c r="D414" s="166"/>
    </row>
    <row r="415" spans="4:4" s="21" customFormat="1">
      <c r="D415" s="166"/>
    </row>
    <row r="416" spans="4:4" s="21" customFormat="1">
      <c r="D416" s="166"/>
    </row>
    <row r="417" spans="4:4" s="21" customFormat="1">
      <c r="D417" s="166"/>
    </row>
    <row r="418" spans="4:4" s="21" customFormat="1">
      <c r="D418" s="166"/>
    </row>
    <row r="419" spans="4:4" s="21" customFormat="1">
      <c r="D419" s="166"/>
    </row>
    <row r="420" spans="4:4" s="21" customFormat="1">
      <c r="D420" s="166"/>
    </row>
    <row r="421" spans="4:4" s="21" customFormat="1">
      <c r="D421" s="166"/>
    </row>
    <row r="422" spans="4:4" s="21" customFormat="1">
      <c r="D422" s="166"/>
    </row>
    <row r="423" spans="4:4" s="21" customFormat="1">
      <c r="D423" s="166"/>
    </row>
    <row r="424" spans="4:4" s="21" customFormat="1">
      <c r="D424" s="166"/>
    </row>
    <row r="425" spans="4:4" s="21" customFormat="1">
      <c r="D425" s="166"/>
    </row>
    <row r="426" spans="4:4" s="21" customFormat="1">
      <c r="D426" s="166"/>
    </row>
    <row r="427" spans="4:4" s="21" customFormat="1">
      <c r="D427" s="166"/>
    </row>
    <row r="428" spans="4:4" s="21" customFormat="1">
      <c r="D428" s="166"/>
    </row>
    <row r="429" spans="4:4" s="21" customFormat="1">
      <c r="D429" s="166"/>
    </row>
    <row r="430" spans="4:4" s="21" customFormat="1">
      <c r="D430" s="166"/>
    </row>
    <row r="431" spans="4:4" s="21" customFormat="1">
      <c r="D431" s="166"/>
    </row>
    <row r="432" spans="4:4" s="21" customFormat="1">
      <c r="D432" s="166"/>
    </row>
    <row r="433" spans="4:4" s="21" customFormat="1">
      <c r="D433" s="166"/>
    </row>
    <row r="434" spans="4:4" s="21" customFormat="1">
      <c r="D434" s="166"/>
    </row>
    <row r="435" spans="4:4" s="21" customFormat="1">
      <c r="D435" s="166"/>
    </row>
    <row r="436" spans="4:4" s="21" customFormat="1">
      <c r="D436" s="166"/>
    </row>
    <row r="437" spans="4:4" s="21" customFormat="1">
      <c r="D437" s="166"/>
    </row>
    <row r="438" spans="4:4" s="21" customFormat="1">
      <c r="D438" s="166"/>
    </row>
    <row r="439" spans="4:4" s="21" customFormat="1">
      <c r="D439" s="166"/>
    </row>
    <row r="440" spans="4:4" s="21" customFormat="1">
      <c r="D440" s="166"/>
    </row>
    <row r="441" spans="4:4" s="21" customFormat="1">
      <c r="D441" s="166"/>
    </row>
    <row r="442" spans="4:4" s="21" customFormat="1">
      <c r="D442" s="166"/>
    </row>
    <row r="443" spans="4:4" s="21" customFormat="1">
      <c r="D443" s="166"/>
    </row>
    <row r="444" spans="4:4" s="21" customFormat="1">
      <c r="D444" s="166"/>
    </row>
    <row r="445" spans="4:4" s="21" customFormat="1">
      <c r="D445" s="166"/>
    </row>
    <row r="446" spans="4:4" s="21" customFormat="1">
      <c r="D446" s="166"/>
    </row>
    <row r="447" spans="4:4" s="21" customFormat="1">
      <c r="D447" s="166"/>
    </row>
    <row r="448" spans="4:4" s="21" customFormat="1">
      <c r="D448" s="166"/>
    </row>
    <row r="449" spans="4:4" s="21" customFormat="1">
      <c r="D449" s="166"/>
    </row>
    <row r="450" spans="4:4" s="21" customFormat="1">
      <c r="D450" s="166"/>
    </row>
    <row r="451" spans="4:4" s="21" customFormat="1">
      <c r="D451" s="166"/>
    </row>
    <row r="452" spans="4:4" s="21" customFormat="1">
      <c r="D452" s="166"/>
    </row>
    <row r="453" spans="4:4" s="21" customFormat="1">
      <c r="D453" s="166"/>
    </row>
    <row r="454" spans="4:4" s="21" customFormat="1">
      <c r="D454" s="166"/>
    </row>
    <row r="455" spans="4:4" s="21" customFormat="1">
      <c r="D455" s="166"/>
    </row>
    <row r="456" spans="4:4" s="21" customFormat="1">
      <c r="D456" s="166"/>
    </row>
    <row r="457" spans="4:4" s="21" customFormat="1">
      <c r="D457" s="166"/>
    </row>
    <row r="458" spans="4:4" s="21" customFormat="1">
      <c r="D458" s="166"/>
    </row>
    <row r="459" spans="4:4" s="21" customFormat="1">
      <c r="D459" s="166"/>
    </row>
    <row r="460" spans="4:4" s="21" customFormat="1">
      <c r="D460" s="166"/>
    </row>
    <row r="461" spans="4:4" s="21" customFormat="1">
      <c r="D461" s="166"/>
    </row>
    <row r="462" spans="4:4" s="21" customFormat="1">
      <c r="D462" s="166"/>
    </row>
    <row r="463" spans="4:4" s="21" customFormat="1">
      <c r="D463" s="166"/>
    </row>
    <row r="464" spans="4:4" s="21" customFormat="1">
      <c r="D464" s="166"/>
    </row>
    <row r="465" spans="4:4" s="21" customFormat="1">
      <c r="D465" s="166"/>
    </row>
    <row r="466" spans="4:4" s="21" customFormat="1">
      <c r="D466" s="166"/>
    </row>
    <row r="467" spans="4:4" s="21" customFormat="1">
      <c r="D467" s="166"/>
    </row>
    <row r="468" spans="4:4" s="21" customFormat="1">
      <c r="D468" s="166"/>
    </row>
    <row r="469" spans="4:4" s="21" customFormat="1">
      <c r="D469" s="166"/>
    </row>
    <row r="470" spans="4:4" s="21" customFormat="1">
      <c r="D470" s="166"/>
    </row>
    <row r="471" spans="4:4" s="21" customFormat="1">
      <c r="D471" s="166"/>
    </row>
    <row r="472" spans="4:4" s="21" customFormat="1">
      <c r="D472" s="166"/>
    </row>
    <row r="473" spans="4:4" s="21" customFormat="1">
      <c r="D473" s="166"/>
    </row>
    <row r="474" spans="4:4" s="21" customFormat="1">
      <c r="D474" s="166"/>
    </row>
    <row r="475" spans="4:4" s="21" customFormat="1">
      <c r="D475" s="166"/>
    </row>
    <row r="476" spans="4:4" s="21" customFormat="1">
      <c r="D476" s="166"/>
    </row>
    <row r="477" spans="4:4" s="21" customFormat="1">
      <c r="D477" s="166"/>
    </row>
    <row r="478" spans="4:4" s="21" customFormat="1">
      <c r="D478" s="166"/>
    </row>
    <row r="479" spans="4:4" s="21" customFormat="1">
      <c r="D479" s="166"/>
    </row>
    <row r="480" spans="4:4" s="21" customFormat="1">
      <c r="D480" s="166"/>
    </row>
    <row r="481" spans="4:4" s="21" customFormat="1">
      <c r="D481" s="166"/>
    </row>
    <row r="482" spans="4:4" s="21" customFormat="1">
      <c r="D482" s="166"/>
    </row>
    <row r="483" spans="4:4" s="21" customFormat="1">
      <c r="D483" s="166"/>
    </row>
    <row r="484" spans="4:4" s="21" customFormat="1">
      <c r="D484" s="166"/>
    </row>
    <row r="485" spans="4:4" s="21" customFormat="1">
      <c r="D485" s="166"/>
    </row>
    <row r="486" spans="4:4" s="21" customFormat="1">
      <c r="D486" s="166"/>
    </row>
    <row r="487" spans="4:4" s="21" customFormat="1">
      <c r="D487" s="166"/>
    </row>
    <row r="488" spans="4:4" s="21" customFormat="1">
      <c r="D488" s="166"/>
    </row>
    <row r="489" spans="4:4" s="21" customFormat="1">
      <c r="D489" s="166"/>
    </row>
    <row r="490" spans="4:4" s="21" customFormat="1">
      <c r="D490" s="166"/>
    </row>
    <row r="491" spans="4:4" s="21" customFormat="1">
      <c r="D491" s="166"/>
    </row>
    <row r="492" spans="4:4" s="21" customFormat="1">
      <c r="D492" s="166"/>
    </row>
    <row r="493" spans="4:4" s="21" customFormat="1">
      <c r="D493" s="166"/>
    </row>
    <row r="494" spans="4:4" s="21" customFormat="1">
      <c r="D494" s="166"/>
    </row>
    <row r="495" spans="4:4" s="21" customFormat="1">
      <c r="D495" s="166"/>
    </row>
    <row r="496" spans="4:4" s="21" customFormat="1">
      <c r="D496" s="166"/>
    </row>
    <row r="497" spans="4:4" s="21" customFormat="1">
      <c r="D497" s="166"/>
    </row>
    <row r="498" spans="4:4" s="21" customFormat="1">
      <c r="D498" s="166"/>
    </row>
    <row r="499" spans="4:4" s="21" customFormat="1">
      <c r="D499" s="166"/>
    </row>
    <row r="500" spans="4:4" s="21" customFormat="1">
      <c r="D500" s="166"/>
    </row>
    <row r="501" spans="4:4" s="21" customFormat="1">
      <c r="D501" s="166"/>
    </row>
    <row r="502" spans="4:4" s="21" customFormat="1">
      <c r="D502" s="166"/>
    </row>
    <row r="503" spans="4:4" s="21" customFormat="1">
      <c r="D503" s="166"/>
    </row>
    <row r="504" spans="4:4" s="21" customFormat="1">
      <c r="D504" s="166"/>
    </row>
    <row r="505" spans="4:4" s="21" customFormat="1">
      <c r="D505" s="166"/>
    </row>
    <row r="506" spans="4:4" s="21" customFormat="1">
      <c r="D506" s="166"/>
    </row>
    <row r="507" spans="4:4" s="21" customFormat="1">
      <c r="D507" s="166"/>
    </row>
    <row r="508" spans="4:4" s="21" customFormat="1">
      <c r="D508" s="166"/>
    </row>
    <row r="509" spans="4:4" s="21" customFormat="1">
      <c r="D509" s="166"/>
    </row>
    <row r="510" spans="4:4" s="21" customFormat="1">
      <c r="D510" s="166"/>
    </row>
    <row r="511" spans="4:4" s="21" customFormat="1">
      <c r="D511" s="166"/>
    </row>
    <row r="512" spans="4:4" s="21" customFormat="1">
      <c r="D512" s="166"/>
    </row>
    <row r="513" spans="4:4" s="21" customFormat="1">
      <c r="D513" s="166"/>
    </row>
    <row r="514" spans="4:4" s="21" customFormat="1">
      <c r="D514" s="166"/>
    </row>
    <row r="515" spans="4:4" s="21" customFormat="1">
      <c r="D515" s="166"/>
    </row>
    <row r="516" spans="4:4" s="21" customFormat="1">
      <c r="D516" s="166"/>
    </row>
    <row r="517" spans="4:4" s="21" customFormat="1">
      <c r="D517" s="166"/>
    </row>
    <row r="518" spans="4:4" s="21" customFormat="1">
      <c r="D518" s="166"/>
    </row>
    <row r="519" spans="4:4" s="21" customFormat="1">
      <c r="D519" s="166"/>
    </row>
    <row r="520" spans="4:4" s="21" customFormat="1">
      <c r="D520" s="166"/>
    </row>
    <row r="521" spans="4:4" s="21" customFormat="1">
      <c r="D521" s="166"/>
    </row>
    <row r="522" spans="4:4" s="21" customFormat="1">
      <c r="D522" s="166"/>
    </row>
    <row r="523" spans="4:4" s="21" customFormat="1">
      <c r="D523" s="166"/>
    </row>
    <row r="524" spans="4:4" s="21" customFormat="1">
      <c r="D524" s="166"/>
    </row>
    <row r="525" spans="4:4" s="21" customFormat="1">
      <c r="D525" s="166"/>
    </row>
    <row r="526" spans="4:4" s="21" customFormat="1">
      <c r="D526" s="166"/>
    </row>
    <row r="527" spans="4:4" s="21" customFormat="1">
      <c r="D527" s="166"/>
    </row>
    <row r="528" spans="4:4" s="21" customFormat="1">
      <c r="D528" s="166"/>
    </row>
    <row r="529" spans="4:4" s="21" customFormat="1">
      <c r="D529" s="166"/>
    </row>
    <row r="530" spans="4:4" s="21" customFormat="1">
      <c r="D530" s="166"/>
    </row>
    <row r="531" spans="4:4" s="21" customFormat="1">
      <c r="D531" s="166"/>
    </row>
    <row r="532" spans="4:4" s="21" customFormat="1">
      <c r="D532" s="166"/>
    </row>
    <row r="533" spans="4:4" s="21" customFormat="1">
      <c r="D533" s="166"/>
    </row>
    <row r="534" spans="4:4" s="21" customFormat="1">
      <c r="D534" s="166"/>
    </row>
    <row r="535" spans="4:4" s="21" customFormat="1">
      <c r="D535" s="166"/>
    </row>
    <row r="536" spans="4:4" s="21" customFormat="1">
      <c r="D536" s="166"/>
    </row>
    <row r="537" spans="4:4" s="21" customFormat="1">
      <c r="D537" s="166"/>
    </row>
    <row r="538" spans="4:4" s="21" customFormat="1">
      <c r="D538" s="166"/>
    </row>
    <row r="539" spans="4:4" s="21" customFormat="1">
      <c r="D539" s="166"/>
    </row>
    <row r="540" spans="4:4" s="21" customFormat="1">
      <c r="D540" s="166"/>
    </row>
    <row r="541" spans="4:4" s="21" customFormat="1">
      <c r="D541" s="166"/>
    </row>
    <row r="542" spans="4:4" s="21" customFormat="1">
      <c r="D542" s="166"/>
    </row>
    <row r="543" spans="4:4" s="21" customFormat="1">
      <c r="D543" s="166"/>
    </row>
    <row r="544" spans="4:4" s="21" customFormat="1">
      <c r="D544" s="166"/>
    </row>
    <row r="545" spans="4:4" s="21" customFormat="1">
      <c r="D545" s="166"/>
    </row>
    <row r="546" spans="4:4" s="21" customFormat="1">
      <c r="D546" s="166"/>
    </row>
    <row r="547" spans="4:4" s="21" customFormat="1">
      <c r="D547" s="166"/>
    </row>
    <row r="548" spans="4:4" s="21" customFormat="1">
      <c r="D548" s="166"/>
    </row>
    <row r="549" spans="4:4" s="21" customFormat="1">
      <c r="D549" s="166"/>
    </row>
    <row r="550" spans="4:4" s="21" customFormat="1">
      <c r="D550" s="166"/>
    </row>
    <row r="551" spans="4:4" s="21" customFormat="1">
      <c r="D551" s="166"/>
    </row>
    <row r="552" spans="4:4" s="21" customFormat="1">
      <c r="D552" s="166"/>
    </row>
    <row r="553" spans="4:4" s="21" customFormat="1">
      <c r="D553" s="166"/>
    </row>
    <row r="554" spans="4:4" s="21" customFormat="1">
      <c r="D554" s="166"/>
    </row>
    <row r="555" spans="4:4" s="21" customFormat="1">
      <c r="D555" s="166"/>
    </row>
    <row r="556" spans="4:4" s="21" customFormat="1">
      <c r="D556" s="166"/>
    </row>
    <row r="557" spans="4:4" s="21" customFormat="1">
      <c r="D557" s="166"/>
    </row>
    <row r="558" spans="4:4" s="21" customFormat="1">
      <c r="D558" s="166"/>
    </row>
    <row r="559" spans="4:4" s="21" customFormat="1">
      <c r="D559" s="166"/>
    </row>
    <row r="560" spans="4:4" s="21" customFormat="1">
      <c r="D560" s="166"/>
    </row>
    <row r="561" spans="4:4" s="21" customFormat="1">
      <c r="D561" s="166"/>
    </row>
    <row r="562" spans="4:4" s="21" customFormat="1">
      <c r="D562" s="166"/>
    </row>
    <row r="563" spans="4:4" s="21" customFormat="1">
      <c r="D563" s="166"/>
    </row>
    <row r="564" spans="4:4" s="21" customFormat="1">
      <c r="D564" s="166"/>
    </row>
    <row r="565" spans="4:4" s="21" customFormat="1">
      <c r="D565" s="166"/>
    </row>
    <row r="566" spans="4:4" s="21" customFormat="1">
      <c r="D566" s="166"/>
    </row>
    <row r="567" spans="4:4" s="21" customFormat="1">
      <c r="D567" s="166"/>
    </row>
    <row r="568" spans="4:4" s="21" customFormat="1">
      <c r="D568" s="166"/>
    </row>
    <row r="569" spans="4:4" s="21" customFormat="1">
      <c r="D569" s="166"/>
    </row>
    <row r="570" spans="4:4" s="21" customFormat="1">
      <c r="D570" s="166"/>
    </row>
    <row r="571" spans="4:4" s="21" customFormat="1">
      <c r="D571" s="166"/>
    </row>
    <row r="572" spans="4:4" s="21" customFormat="1">
      <c r="D572" s="166"/>
    </row>
    <row r="573" spans="4:4" s="21" customFormat="1">
      <c r="D573" s="166"/>
    </row>
    <row r="574" spans="4:4" s="21" customFormat="1">
      <c r="D574" s="166"/>
    </row>
    <row r="575" spans="4:4" s="21" customFormat="1">
      <c r="D575" s="166"/>
    </row>
    <row r="576" spans="4:4" s="21" customFormat="1">
      <c r="D576" s="166"/>
    </row>
    <row r="577" spans="4:4" s="21" customFormat="1">
      <c r="D577" s="166"/>
    </row>
    <row r="578" spans="4:4" s="21" customFormat="1">
      <c r="D578" s="166"/>
    </row>
    <row r="579" spans="4:4" s="21" customFormat="1">
      <c r="D579" s="166"/>
    </row>
    <row r="580" spans="4:4" s="21" customFormat="1">
      <c r="D580" s="166"/>
    </row>
    <row r="581" spans="4:4" s="21" customFormat="1">
      <c r="D581" s="166"/>
    </row>
    <row r="582" spans="4:4" s="21" customFormat="1">
      <c r="D582" s="166"/>
    </row>
    <row r="583" spans="4:4" s="21" customFormat="1">
      <c r="D583" s="166"/>
    </row>
    <row r="584" spans="4:4" s="21" customFormat="1">
      <c r="D584" s="166"/>
    </row>
    <row r="585" spans="4:4" s="21" customFormat="1">
      <c r="D585" s="166"/>
    </row>
    <row r="586" spans="4:4" s="21" customFormat="1">
      <c r="D586" s="166"/>
    </row>
    <row r="587" spans="4:4" s="21" customFormat="1">
      <c r="D587" s="166"/>
    </row>
    <row r="588" spans="4:4" s="21" customFormat="1">
      <c r="D588" s="166"/>
    </row>
    <row r="589" spans="4:4" s="21" customFormat="1">
      <c r="D589" s="166"/>
    </row>
    <row r="590" spans="4:4" s="21" customFormat="1">
      <c r="D590" s="166"/>
    </row>
    <row r="591" spans="4:4" s="21" customFormat="1">
      <c r="D591" s="166"/>
    </row>
    <row r="592" spans="4:4" s="21" customFormat="1">
      <c r="D592" s="166"/>
    </row>
    <row r="593" spans="4:4" s="21" customFormat="1">
      <c r="D593" s="166"/>
    </row>
    <row r="594" spans="4:4" s="21" customFormat="1">
      <c r="D594" s="166"/>
    </row>
    <row r="595" spans="4:4" s="21" customFormat="1">
      <c r="D595" s="166"/>
    </row>
    <row r="596" spans="4:4" s="21" customFormat="1">
      <c r="D596" s="166"/>
    </row>
    <row r="597" spans="4:4" s="21" customFormat="1">
      <c r="D597" s="166"/>
    </row>
    <row r="598" spans="4:4" s="21" customFormat="1">
      <c r="D598" s="166"/>
    </row>
    <row r="599" spans="4:4" s="21" customFormat="1">
      <c r="D599" s="166"/>
    </row>
    <row r="600" spans="4:4" s="21" customFormat="1">
      <c r="D600" s="166"/>
    </row>
    <row r="601" spans="4:4" s="21" customFormat="1">
      <c r="D601" s="166"/>
    </row>
    <row r="602" spans="4:4" s="21" customFormat="1">
      <c r="D602" s="166"/>
    </row>
    <row r="603" spans="4:4" s="21" customFormat="1">
      <c r="D603" s="166"/>
    </row>
    <row r="604" spans="4:4" s="21" customFormat="1">
      <c r="D604" s="166"/>
    </row>
    <row r="605" spans="4:4" s="21" customFormat="1">
      <c r="D605" s="166"/>
    </row>
    <row r="606" spans="4:4" s="21" customFormat="1">
      <c r="D606" s="166"/>
    </row>
    <row r="607" spans="4:4" s="21" customFormat="1">
      <c r="D607" s="166"/>
    </row>
    <row r="608" spans="4:4" s="21" customFormat="1">
      <c r="D608" s="166"/>
    </row>
    <row r="609" spans="4:4" s="21" customFormat="1">
      <c r="D609" s="166"/>
    </row>
    <row r="610" spans="4:4" s="21" customFormat="1">
      <c r="D610" s="166"/>
    </row>
    <row r="611" spans="4:4" s="21" customFormat="1">
      <c r="D611" s="166"/>
    </row>
    <row r="612" spans="4:4" s="21" customFormat="1">
      <c r="D612" s="166"/>
    </row>
    <row r="613" spans="4:4" s="21" customFormat="1">
      <c r="D613" s="166"/>
    </row>
    <row r="614" spans="4:4" s="21" customFormat="1">
      <c r="D614" s="166"/>
    </row>
    <row r="615" spans="4:4" s="21" customFormat="1">
      <c r="D615" s="166"/>
    </row>
    <row r="616" spans="4:4" s="21" customFormat="1">
      <c r="D616" s="166"/>
    </row>
    <row r="617" spans="4:4" s="21" customFormat="1">
      <c r="D617" s="166"/>
    </row>
    <row r="618" spans="4:4" s="21" customFormat="1">
      <c r="D618" s="166"/>
    </row>
    <row r="619" spans="4:4" s="21" customFormat="1">
      <c r="D619" s="166"/>
    </row>
    <row r="620" spans="4:4" s="21" customFormat="1">
      <c r="D620" s="166"/>
    </row>
    <row r="621" spans="4:4" s="21" customFormat="1">
      <c r="D621" s="166"/>
    </row>
    <row r="622" spans="4:4" s="21" customFormat="1">
      <c r="D622" s="166"/>
    </row>
    <row r="623" spans="4:4" s="21" customFormat="1">
      <c r="D623" s="166"/>
    </row>
    <row r="624" spans="4:4" s="21" customFormat="1">
      <c r="D624" s="166"/>
    </row>
    <row r="625" spans="4:4" s="21" customFormat="1">
      <c r="D625" s="166"/>
    </row>
    <row r="626" spans="4:4" s="21" customFormat="1">
      <c r="D626" s="166"/>
    </row>
    <row r="627" spans="4:4" s="21" customFormat="1">
      <c r="D627" s="166"/>
    </row>
    <row r="628" spans="4:4" s="21" customFormat="1">
      <c r="D628" s="166"/>
    </row>
    <row r="629" spans="4:4" s="21" customFormat="1">
      <c r="D629" s="166"/>
    </row>
    <row r="630" spans="4:4" s="21" customFormat="1">
      <c r="D630" s="166"/>
    </row>
    <row r="631" spans="4:4" s="21" customFormat="1">
      <c r="D631" s="166"/>
    </row>
    <row r="632" spans="4:4" s="21" customFormat="1">
      <c r="D632" s="166"/>
    </row>
    <row r="633" spans="4:4" s="21" customFormat="1">
      <c r="D633" s="166"/>
    </row>
    <row r="634" spans="4:4" s="21" customFormat="1">
      <c r="D634" s="166"/>
    </row>
    <row r="635" spans="4:4" s="21" customFormat="1">
      <c r="D635" s="166"/>
    </row>
    <row r="636" spans="4:4" s="21" customFormat="1">
      <c r="D636" s="166"/>
    </row>
    <row r="637" spans="4:4" s="21" customFormat="1">
      <c r="D637" s="166"/>
    </row>
    <row r="638" spans="4:4" s="21" customFormat="1">
      <c r="D638" s="166"/>
    </row>
    <row r="639" spans="4:4" s="21" customFormat="1">
      <c r="D639" s="166"/>
    </row>
    <row r="640" spans="4:4" s="21" customFormat="1">
      <c r="D640" s="166"/>
    </row>
    <row r="641" spans="4:4" s="21" customFormat="1">
      <c r="D641" s="166"/>
    </row>
    <row r="642" spans="4:4" s="21" customFormat="1">
      <c r="D642" s="166"/>
    </row>
    <row r="643" spans="4:4" s="21" customFormat="1">
      <c r="D643" s="166"/>
    </row>
    <row r="644" spans="4:4" s="21" customFormat="1">
      <c r="D644" s="166"/>
    </row>
    <row r="645" spans="4:4" s="21" customFormat="1">
      <c r="D645" s="166"/>
    </row>
    <row r="646" spans="4:4" s="21" customFormat="1">
      <c r="D646" s="166"/>
    </row>
    <row r="647" spans="4:4" s="21" customFormat="1">
      <c r="D647" s="166"/>
    </row>
    <row r="648" spans="4:4" s="21" customFormat="1">
      <c r="D648" s="166"/>
    </row>
    <row r="649" spans="4:4" s="21" customFormat="1">
      <c r="D649" s="166"/>
    </row>
    <row r="650" spans="4:4" s="21" customFormat="1">
      <c r="D650" s="166"/>
    </row>
    <row r="651" spans="4:4" s="21" customFormat="1">
      <c r="D651" s="166"/>
    </row>
    <row r="652" spans="4:4" s="21" customFormat="1">
      <c r="D652" s="166"/>
    </row>
    <row r="653" spans="4:4" s="21" customFormat="1">
      <c r="D653" s="166"/>
    </row>
    <row r="654" spans="4:4" s="21" customFormat="1">
      <c r="D654" s="166"/>
    </row>
    <row r="655" spans="4:4" s="21" customFormat="1">
      <c r="D655" s="166"/>
    </row>
    <row r="656" spans="4:4" s="21" customFormat="1">
      <c r="D656" s="166"/>
    </row>
    <row r="657" spans="4:4" s="21" customFormat="1">
      <c r="D657" s="166"/>
    </row>
    <row r="658" spans="4:4" s="21" customFormat="1">
      <c r="D658" s="166"/>
    </row>
    <row r="659" spans="4:4" s="21" customFormat="1">
      <c r="D659" s="166"/>
    </row>
    <row r="660" spans="4:4" s="21" customFormat="1">
      <c r="D660" s="166"/>
    </row>
    <row r="661" spans="4:4" s="21" customFormat="1">
      <c r="D661" s="166"/>
    </row>
    <row r="662" spans="4:4" s="21" customFormat="1">
      <c r="D662" s="166"/>
    </row>
    <row r="663" spans="4:4" s="21" customFormat="1">
      <c r="D663" s="166"/>
    </row>
    <row r="664" spans="4:4" s="21" customFormat="1">
      <c r="D664" s="166"/>
    </row>
    <row r="665" spans="4:4" s="21" customFormat="1">
      <c r="D665" s="166"/>
    </row>
    <row r="666" spans="4:4" s="21" customFormat="1">
      <c r="D666" s="166"/>
    </row>
    <row r="667" spans="4:4" s="21" customFormat="1">
      <c r="D667" s="166"/>
    </row>
    <row r="668" spans="4:4" s="21" customFormat="1">
      <c r="D668" s="166"/>
    </row>
    <row r="669" spans="4:4" s="21" customFormat="1">
      <c r="D669" s="166"/>
    </row>
    <row r="670" spans="4:4" s="21" customFormat="1">
      <c r="D670" s="166"/>
    </row>
    <row r="671" spans="4:4" s="21" customFormat="1">
      <c r="D671" s="166"/>
    </row>
    <row r="672" spans="4:4" s="21" customFormat="1">
      <c r="D672" s="166"/>
    </row>
    <row r="673" spans="4:4" s="21" customFormat="1">
      <c r="D673" s="166"/>
    </row>
    <row r="674" spans="4:4" s="21" customFormat="1">
      <c r="D674" s="166"/>
    </row>
    <row r="675" spans="4:4" s="21" customFormat="1">
      <c r="D675" s="166"/>
    </row>
    <row r="676" spans="4:4" s="21" customFormat="1">
      <c r="D676" s="166"/>
    </row>
    <row r="677" spans="4:4" s="21" customFormat="1">
      <c r="D677" s="166"/>
    </row>
    <row r="678" spans="4:4" s="21" customFormat="1">
      <c r="D678" s="166"/>
    </row>
    <row r="679" spans="4:4" s="21" customFormat="1">
      <c r="D679" s="166"/>
    </row>
    <row r="680" spans="4:4" s="21" customFormat="1">
      <c r="D680" s="166"/>
    </row>
    <row r="681" spans="4:4" s="21" customFormat="1">
      <c r="D681" s="166"/>
    </row>
    <row r="682" spans="4:4" s="21" customFormat="1">
      <c r="D682" s="166"/>
    </row>
    <row r="683" spans="4:4" s="21" customFormat="1">
      <c r="D683" s="166"/>
    </row>
    <row r="684" spans="4:4" s="21" customFormat="1">
      <c r="D684" s="166"/>
    </row>
    <row r="685" spans="4:4" s="21" customFormat="1">
      <c r="D685" s="166"/>
    </row>
    <row r="686" spans="4:4" s="21" customFormat="1">
      <c r="D686" s="166"/>
    </row>
    <row r="687" spans="4:4" s="21" customFormat="1">
      <c r="D687" s="166"/>
    </row>
    <row r="688" spans="4:4" s="21" customFormat="1">
      <c r="D688" s="166"/>
    </row>
    <row r="689" spans="4:4" s="21" customFormat="1">
      <c r="D689" s="166"/>
    </row>
    <row r="690" spans="4:4" s="21" customFormat="1">
      <c r="D690" s="166"/>
    </row>
    <row r="691" spans="4:4" s="21" customFormat="1">
      <c r="D691" s="166"/>
    </row>
    <row r="692" spans="4:4" s="21" customFormat="1">
      <c r="D692" s="166"/>
    </row>
    <row r="693" spans="4:4" s="21" customFormat="1">
      <c r="D693" s="166"/>
    </row>
    <row r="694" spans="4:4" s="21" customFormat="1">
      <c r="D694" s="166"/>
    </row>
    <row r="695" spans="4:4" s="21" customFormat="1">
      <c r="D695" s="166"/>
    </row>
    <row r="696" spans="4:4" s="21" customFormat="1">
      <c r="D696" s="166"/>
    </row>
    <row r="697" spans="4:4" s="21" customFormat="1">
      <c r="D697" s="166"/>
    </row>
    <row r="698" spans="4:4" s="21" customFormat="1">
      <c r="D698" s="166"/>
    </row>
    <row r="699" spans="4:4" s="21" customFormat="1">
      <c r="D699" s="166"/>
    </row>
    <row r="700" spans="4:4" s="21" customFormat="1">
      <c r="D700" s="166"/>
    </row>
    <row r="701" spans="4:4" s="21" customFormat="1">
      <c r="D701" s="166"/>
    </row>
    <row r="702" spans="4:4" s="21" customFormat="1">
      <c r="D702" s="166"/>
    </row>
    <row r="703" spans="4:4" s="21" customFormat="1">
      <c r="D703" s="166"/>
    </row>
    <row r="704" spans="4:4" s="21" customFormat="1">
      <c r="D704" s="166"/>
    </row>
    <row r="705" spans="4:4" s="21" customFormat="1">
      <c r="D705" s="166"/>
    </row>
    <row r="706" spans="4:4" s="21" customFormat="1">
      <c r="D706" s="166"/>
    </row>
    <row r="707" spans="4:4" s="21" customFormat="1">
      <c r="D707" s="166"/>
    </row>
    <row r="708" spans="4:4" s="21" customFormat="1">
      <c r="D708" s="166"/>
    </row>
    <row r="709" spans="4:4" s="21" customFormat="1">
      <c r="D709" s="166"/>
    </row>
    <row r="710" spans="4:4" s="21" customFormat="1">
      <c r="D710" s="166"/>
    </row>
    <row r="711" spans="4:4" s="21" customFormat="1">
      <c r="D711" s="166"/>
    </row>
    <row r="712" spans="4:4" s="21" customFormat="1">
      <c r="D712" s="166"/>
    </row>
    <row r="713" spans="4:4" s="21" customFormat="1">
      <c r="D713" s="166"/>
    </row>
    <row r="714" spans="4:4" s="21" customFormat="1">
      <c r="D714" s="166"/>
    </row>
    <row r="715" spans="4:4" s="21" customFormat="1">
      <c r="D715" s="166"/>
    </row>
    <row r="716" spans="4:4" s="21" customFormat="1">
      <c r="D716" s="166"/>
    </row>
    <row r="717" spans="4:4" s="21" customFormat="1">
      <c r="D717" s="166"/>
    </row>
    <row r="718" spans="4:4" s="21" customFormat="1">
      <c r="D718" s="166"/>
    </row>
    <row r="719" spans="4:4" s="21" customFormat="1">
      <c r="D719" s="166"/>
    </row>
    <row r="720" spans="4:4" s="21" customFormat="1">
      <c r="D720" s="166"/>
    </row>
    <row r="721" spans="4:4" s="21" customFormat="1">
      <c r="D721" s="166"/>
    </row>
    <row r="722" spans="4:4" s="21" customFormat="1">
      <c r="D722" s="166"/>
    </row>
    <row r="723" spans="4:4" s="21" customFormat="1">
      <c r="D723" s="166"/>
    </row>
    <row r="724" spans="4:4" s="21" customFormat="1">
      <c r="D724" s="166"/>
    </row>
    <row r="725" spans="4:4" s="21" customFormat="1">
      <c r="D725" s="166"/>
    </row>
    <row r="726" spans="4:4" s="21" customFormat="1">
      <c r="D726" s="166"/>
    </row>
    <row r="727" spans="4:4" s="21" customFormat="1">
      <c r="D727" s="166"/>
    </row>
    <row r="728" spans="4:4" s="21" customFormat="1">
      <c r="D728" s="166"/>
    </row>
    <row r="729" spans="4:4" s="21" customFormat="1">
      <c r="D729" s="166"/>
    </row>
    <row r="730" spans="4:4" s="21" customFormat="1">
      <c r="D730" s="166"/>
    </row>
    <row r="731" spans="4:4" s="21" customFormat="1">
      <c r="D731" s="166"/>
    </row>
    <row r="732" spans="4:4" s="21" customFormat="1">
      <c r="D732" s="166"/>
    </row>
    <row r="733" spans="4:4" s="21" customFormat="1">
      <c r="D733" s="166"/>
    </row>
    <row r="734" spans="4:4" s="21" customFormat="1">
      <c r="D734" s="166"/>
    </row>
    <row r="735" spans="4:4" s="21" customFormat="1">
      <c r="D735" s="166"/>
    </row>
    <row r="736" spans="4:4" s="21" customFormat="1">
      <c r="D736" s="166"/>
    </row>
    <row r="737" spans="4:4" s="21" customFormat="1">
      <c r="D737" s="166"/>
    </row>
    <row r="738" spans="4:4" s="21" customFormat="1">
      <c r="D738" s="166"/>
    </row>
    <row r="739" spans="4:4" s="21" customFormat="1">
      <c r="D739" s="166"/>
    </row>
    <row r="740" spans="4:4" s="21" customFormat="1">
      <c r="D740" s="166"/>
    </row>
    <row r="741" spans="4:4" s="21" customFormat="1">
      <c r="D741" s="166"/>
    </row>
    <row r="742" spans="4:4" s="21" customFormat="1">
      <c r="D742" s="166"/>
    </row>
    <row r="743" spans="4:4" s="21" customFormat="1">
      <c r="D743" s="166"/>
    </row>
    <row r="744" spans="4:4" s="21" customFormat="1">
      <c r="D744" s="166"/>
    </row>
    <row r="745" spans="4:4" s="21" customFormat="1">
      <c r="D745" s="166"/>
    </row>
    <row r="746" spans="4:4" s="21" customFormat="1">
      <c r="D746" s="166"/>
    </row>
    <row r="747" spans="4:4" s="21" customFormat="1">
      <c r="D747" s="166"/>
    </row>
    <row r="748" spans="4:4" s="21" customFormat="1">
      <c r="D748" s="166"/>
    </row>
    <row r="749" spans="4:4" s="21" customFormat="1">
      <c r="D749" s="166"/>
    </row>
    <row r="750" spans="4:4" s="21" customFormat="1">
      <c r="D750" s="166"/>
    </row>
    <row r="751" spans="4:4" s="21" customFormat="1">
      <c r="D751" s="166"/>
    </row>
    <row r="752" spans="4:4" s="21" customFormat="1">
      <c r="D752" s="166"/>
    </row>
    <row r="753" spans="4:4" s="21" customFormat="1">
      <c r="D753" s="166"/>
    </row>
    <row r="754" spans="4:4" s="21" customFormat="1">
      <c r="D754" s="166"/>
    </row>
    <row r="755" spans="4:4" s="21" customFormat="1">
      <c r="D755" s="166"/>
    </row>
    <row r="756" spans="4:4" s="21" customFormat="1">
      <c r="D756" s="166"/>
    </row>
    <row r="757" spans="4:4" s="21" customFormat="1">
      <c r="D757" s="166"/>
    </row>
    <row r="758" spans="4:4" s="21" customFormat="1">
      <c r="D758" s="166"/>
    </row>
    <row r="759" spans="4:4" s="21" customFormat="1">
      <c r="D759" s="166"/>
    </row>
    <row r="760" spans="4:4" s="21" customFormat="1">
      <c r="D760" s="166"/>
    </row>
    <row r="761" spans="4:4" s="21" customFormat="1">
      <c r="D761" s="166"/>
    </row>
    <row r="762" spans="4:4" s="21" customFormat="1">
      <c r="D762" s="166"/>
    </row>
    <row r="763" spans="4:4" s="21" customFormat="1">
      <c r="D763" s="166"/>
    </row>
    <row r="764" spans="4:4" s="21" customFormat="1">
      <c r="D764" s="166"/>
    </row>
    <row r="765" spans="4:4" s="21" customFormat="1">
      <c r="D765" s="166"/>
    </row>
    <row r="766" spans="4:4" s="21" customFormat="1">
      <c r="D766" s="166"/>
    </row>
    <row r="767" spans="4:4" s="21" customFormat="1">
      <c r="D767" s="166"/>
    </row>
    <row r="768" spans="4:4" s="21" customFormat="1">
      <c r="D768" s="166"/>
    </row>
    <row r="769" spans="4:4" s="21" customFormat="1">
      <c r="D769" s="166"/>
    </row>
    <row r="770" spans="4:4" s="21" customFormat="1">
      <c r="D770" s="166"/>
    </row>
    <row r="771" spans="4:4" s="21" customFormat="1">
      <c r="D771" s="166"/>
    </row>
    <row r="772" spans="4:4" s="21" customFormat="1">
      <c r="D772" s="166"/>
    </row>
    <row r="773" spans="4:4" s="21" customFormat="1">
      <c r="D773" s="166"/>
    </row>
    <row r="774" spans="4:4" s="21" customFormat="1">
      <c r="D774" s="166"/>
    </row>
    <row r="775" spans="4:4" s="21" customFormat="1">
      <c r="D775" s="166"/>
    </row>
    <row r="776" spans="4:4" s="21" customFormat="1">
      <c r="D776" s="166"/>
    </row>
    <row r="777" spans="4:4" s="21" customFormat="1">
      <c r="D777" s="166"/>
    </row>
    <row r="778" spans="4:4" s="21" customFormat="1">
      <c r="D778" s="166"/>
    </row>
    <row r="779" spans="4:4" s="21" customFormat="1">
      <c r="D779" s="166"/>
    </row>
    <row r="780" spans="4:4" s="21" customFormat="1">
      <c r="D780" s="166"/>
    </row>
    <row r="781" spans="4:4" s="21" customFormat="1">
      <c r="D781" s="166"/>
    </row>
    <row r="782" spans="4:4" s="21" customFormat="1">
      <c r="D782" s="166"/>
    </row>
    <row r="783" spans="4:4" s="21" customFormat="1">
      <c r="D783" s="166"/>
    </row>
    <row r="784" spans="4:4" s="21" customFormat="1">
      <c r="D784" s="166"/>
    </row>
    <row r="785" spans="4:4" s="21" customFormat="1">
      <c r="D785" s="166"/>
    </row>
    <row r="786" spans="4:4" s="21" customFormat="1">
      <c r="D786" s="166"/>
    </row>
    <row r="787" spans="4:4" s="21" customFormat="1">
      <c r="D787" s="166"/>
    </row>
    <row r="788" spans="4:4" s="21" customFormat="1">
      <c r="D788" s="166"/>
    </row>
    <row r="789" spans="4:4" s="21" customFormat="1">
      <c r="D789" s="166"/>
    </row>
    <row r="790" spans="4:4" s="21" customFormat="1">
      <c r="D790" s="166"/>
    </row>
    <row r="791" spans="4:4" s="21" customFormat="1">
      <c r="D791" s="166"/>
    </row>
    <row r="792" spans="4:4" s="21" customFormat="1">
      <c r="D792" s="166"/>
    </row>
    <row r="793" spans="4:4" s="21" customFormat="1">
      <c r="D793" s="166"/>
    </row>
    <row r="794" spans="4:4" s="21" customFormat="1">
      <c r="D794" s="166"/>
    </row>
    <row r="795" spans="4:4" s="21" customFormat="1">
      <c r="D795" s="166"/>
    </row>
    <row r="796" spans="4:4" s="21" customFormat="1">
      <c r="D796" s="166"/>
    </row>
    <row r="797" spans="4:4" s="21" customFormat="1">
      <c r="D797" s="166"/>
    </row>
    <row r="798" spans="4:4" s="21" customFormat="1">
      <c r="D798" s="166"/>
    </row>
    <row r="799" spans="4:4" s="21" customFormat="1">
      <c r="D799" s="166"/>
    </row>
    <row r="800" spans="4:4" s="21" customFormat="1">
      <c r="D800" s="166"/>
    </row>
    <row r="801" spans="4:4" s="21" customFormat="1">
      <c r="D801" s="166"/>
    </row>
    <row r="802" spans="4:4" s="21" customFormat="1">
      <c r="D802" s="166"/>
    </row>
    <row r="803" spans="4:4" s="21" customFormat="1">
      <c r="D803" s="166"/>
    </row>
    <row r="804" spans="4:4" s="21" customFormat="1">
      <c r="D804" s="166"/>
    </row>
    <row r="805" spans="4:4" s="21" customFormat="1">
      <c r="D805" s="166"/>
    </row>
    <row r="806" spans="4:4" s="21" customFormat="1">
      <c r="D806" s="166"/>
    </row>
    <row r="807" spans="4:4" s="21" customFormat="1">
      <c r="D807" s="166"/>
    </row>
    <row r="808" spans="4:4" s="21" customFormat="1">
      <c r="D808" s="166"/>
    </row>
    <row r="809" spans="4:4" s="21" customFormat="1">
      <c r="D809" s="166"/>
    </row>
    <row r="810" spans="4:4" s="21" customFormat="1">
      <c r="D810" s="166"/>
    </row>
    <row r="811" spans="4:4" s="21" customFormat="1">
      <c r="D811" s="166"/>
    </row>
    <row r="812" spans="4:4" s="21" customFormat="1">
      <c r="D812" s="166"/>
    </row>
    <row r="813" spans="4:4" s="21" customFormat="1">
      <c r="D813" s="166"/>
    </row>
    <row r="814" spans="4:4" s="21" customFormat="1">
      <c r="D814" s="166"/>
    </row>
    <row r="815" spans="4:4" s="21" customFormat="1">
      <c r="D815" s="166"/>
    </row>
    <row r="816" spans="4:4" s="21" customFormat="1">
      <c r="D816" s="166"/>
    </row>
    <row r="817" spans="4:4" s="21" customFormat="1">
      <c r="D817" s="166"/>
    </row>
    <row r="818" spans="4:4" s="21" customFormat="1">
      <c r="D818" s="166"/>
    </row>
    <row r="819" spans="4:4" s="21" customFormat="1">
      <c r="D819" s="166"/>
    </row>
    <row r="820" spans="4:4" s="21" customFormat="1">
      <c r="D820" s="166"/>
    </row>
    <row r="821" spans="4:4" s="21" customFormat="1">
      <c r="D821" s="166"/>
    </row>
    <row r="822" spans="4:4" s="21" customFormat="1">
      <c r="D822" s="166"/>
    </row>
    <row r="823" spans="4:4" s="21" customFormat="1">
      <c r="D823" s="166"/>
    </row>
    <row r="824" spans="4:4" s="21" customFormat="1">
      <c r="D824" s="166"/>
    </row>
    <row r="825" spans="4:4" s="21" customFormat="1">
      <c r="D825" s="166"/>
    </row>
    <row r="826" spans="4:4" s="21" customFormat="1">
      <c r="D826" s="166"/>
    </row>
    <row r="827" spans="4:4" s="21" customFormat="1">
      <c r="D827" s="166"/>
    </row>
    <row r="828" spans="4:4" s="21" customFormat="1">
      <c r="D828" s="166"/>
    </row>
    <row r="829" spans="4:4" s="21" customFormat="1">
      <c r="D829" s="166"/>
    </row>
    <row r="830" spans="4:4" s="21" customFormat="1">
      <c r="D830" s="166"/>
    </row>
    <row r="831" spans="4:4" s="21" customFormat="1">
      <c r="D831" s="166"/>
    </row>
    <row r="832" spans="4:4" s="21" customFormat="1">
      <c r="D832" s="166"/>
    </row>
    <row r="833" spans="4:4" s="21" customFormat="1">
      <c r="D833" s="166"/>
    </row>
    <row r="834" spans="4:4" s="21" customFormat="1">
      <c r="D834" s="166"/>
    </row>
    <row r="835" spans="4:4" s="21" customFormat="1">
      <c r="D835" s="166"/>
    </row>
    <row r="836" spans="4:4" s="21" customFormat="1">
      <c r="D836" s="166"/>
    </row>
    <row r="837" spans="4:4" s="21" customFormat="1">
      <c r="D837" s="166"/>
    </row>
    <row r="838" spans="4:4" s="21" customFormat="1">
      <c r="D838" s="166"/>
    </row>
    <row r="839" spans="4:4" s="21" customFormat="1">
      <c r="D839" s="166"/>
    </row>
    <row r="840" spans="4:4" s="21" customFormat="1">
      <c r="D840" s="166"/>
    </row>
    <row r="841" spans="4:4" s="21" customFormat="1">
      <c r="D841" s="166"/>
    </row>
    <row r="842" spans="4:4" s="21" customFormat="1">
      <c r="D842" s="166"/>
    </row>
    <row r="843" spans="4:4" s="21" customFormat="1">
      <c r="D843" s="166"/>
    </row>
    <row r="844" spans="4:4" s="21" customFormat="1">
      <c r="D844" s="166"/>
    </row>
    <row r="845" spans="4:4" s="21" customFormat="1">
      <c r="D845" s="166"/>
    </row>
    <row r="846" spans="4:4" s="21" customFormat="1">
      <c r="D846" s="166"/>
    </row>
    <row r="847" spans="4:4" s="21" customFormat="1">
      <c r="D847" s="166"/>
    </row>
    <row r="848" spans="4:4" s="21" customFormat="1">
      <c r="D848" s="166"/>
    </row>
    <row r="849" spans="4:4" s="21" customFormat="1">
      <c r="D849" s="166"/>
    </row>
    <row r="850" spans="4:4" s="21" customFormat="1">
      <c r="D850" s="166"/>
    </row>
    <row r="851" spans="4:4" s="21" customFormat="1">
      <c r="D851" s="166"/>
    </row>
    <row r="852" spans="4:4" s="21" customFormat="1">
      <c r="D852" s="166"/>
    </row>
    <row r="853" spans="4:4" s="21" customFormat="1">
      <c r="D853" s="166"/>
    </row>
    <row r="854" spans="4:4" s="21" customFormat="1">
      <c r="D854" s="166"/>
    </row>
    <row r="855" spans="4:4" s="21" customFormat="1">
      <c r="D855" s="166"/>
    </row>
    <row r="856" spans="4:4" s="21" customFormat="1">
      <c r="D856" s="166"/>
    </row>
    <row r="857" spans="4:4" s="21" customFormat="1">
      <c r="D857" s="166"/>
    </row>
    <row r="858" spans="4:4" s="21" customFormat="1">
      <c r="D858" s="166"/>
    </row>
    <row r="859" spans="4:4" s="21" customFormat="1">
      <c r="D859" s="166"/>
    </row>
    <row r="860" spans="4:4" s="21" customFormat="1">
      <c r="D860" s="166"/>
    </row>
    <row r="861" spans="4:4" s="21" customFormat="1">
      <c r="D861" s="166"/>
    </row>
    <row r="862" spans="4:4" s="21" customFormat="1">
      <c r="D862" s="166"/>
    </row>
    <row r="863" spans="4:4" s="21" customFormat="1">
      <c r="D863" s="166"/>
    </row>
    <row r="864" spans="4:4" s="21" customFormat="1">
      <c r="D864" s="166"/>
    </row>
    <row r="865" spans="4:4" s="21" customFormat="1">
      <c r="D865" s="166"/>
    </row>
    <row r="866" spans="4:4" s="21" customFormat="1">
      <c r="D866" s="166"/>
    </row>
    <row r="867" spans="4:4" s="21" customFormat="1">
      <c r="D867" s="166"/>
    </row>
    <row r="868" spans="4:4" s="21" customFormat="1">
      <c r="D868" s="166"/>
    </row>
    <row r="869" spans="4:4" s="21" customFormat="1">
      <c r="D869" s="166"/>
    </row>
    <row r="870" spans="4:4" s="21" customFormat="1">
      <c r="D870" s="166"/>
    </row>
    <row r="871" spans="4:4" s="21" customFormat="1">
      <c r="D871" s="166"/>
    </row>
    <row r="872" spans="4:4" s="21" customFormat="1">
      <c r="D872" s="166"/>
    </row>
    <row r="873" spans="4:4" s="21" customFormat="1">
      <c r="D873" s="166"/>
    </row>
    <row r="874" spans="4:4" s="21" customFormat="1">
      <c r="D874" s="166"/>
    </row>
    <row r="875" spans="4:4" s="21" customFormat="1">
      <c r="D875" s="166"/>
    </row>
    <row r="876" spans="4:4" s="21" customFormat="1">
      <c r="D876" s="166"/>
    </row>
    <row r="877" spans="4:4" s="21" customFormat="1">
      <c r="D877" s="166"/>
    </row>
    <row r="878" spans="4:4" s="21" customFormat="1">
      <c r="D878" s="166"/>
    </row>
    <row r="879" spans="4:4" s="21" customFormat="1">
      <c r="D879" s="166"/>
    </row>
    <row r="880" spans="4:4" s="21" customFormat="1">
      <c r="D880" s="166"/>
    </row>
    <row r="881" spans="4:4" s="21" customFormat="1">
      <c r="D881" s="166"/>
    </row>
    <row r="882" spans="4:4" s="21" customFormat="1">
      <c r="D882" s="166"/>
    </row>
    <row r="883" spans="4:4" s="21" customFormat="1">
      <c r="D883" s="166"/>
    </row>
    <row r="884" spans="4:4" s="21" customFormat="1">
      <c r="D884" s="166"/>
    </row>
    <row r="885" spans="4:4" s="21" customFormat="1">
      <c r="D885" s="166"/>
    </row>
    <row r="886" spans="4:4" s="21" customFormat="1">
      <c r="D886" s="166"/>
    </row>
    <row r="887" spans="4:4" s="21" customFormat="1">
      <c r="D887" s="166"/>
    </row>
    <row r="888" spans="4:4" s="21" customFormat="1">
      <c r="D888" s="166"/>
    </row>
    <row r="889" spans="4:4" s="21" customFormat="1">
      <c r="D889" s="166"/>
    </row>
    <row r="890" spans="4:4" s="21" customFormat="1">
      <c r="D890" s="166"/>
    </row>
    <row r="891" spans="4:4" s="21" customFormat="1">
      <c r="D891" s="166"/>
    </row>
    <row r="892" spans="4:4" s="21" customFormat="1">
      <c r="D892" s="166"/>
    </row>
    <row r="893" spans="4:4" s="21" customFormat="1">
      <c r="D893" s="166"/>
    </row>
    <row r="894" spans="4:4" s="21" customFormat="1">
      <c r="D894" s="166"/>
    </row>
    <row r="895" spans="4:4" s="21" customFormat="1">
      <c r="D895" s="166"/>
    </row>
    <row r="896" spans="4:4" s="21" customFormat="1">
      <c r="D896" s="166"/>
    </row>
    <row r="897" spans="4:4" s="21" customFormat="1">
      <c r="D897" s="166"/>
    </row>
    <row r="898" spans="4:4" s="21" customFormat="1">
      <c r="D898" s="166"/>
    </row>
    <row r="899" spans="4:4" s="21" customFormat="1">
      <c r="D899" s="166"/>
    </row>
    <row r="900" spans="4:4" s="21" customFormat="1">
      <c r="D900" s="166"/>
    </row>
    <row r="901" spans="4:4" s="21" customFormat="1">
      <c r="D901" s="166"/>
    </row>
    <row r="902" spans="4:4" s="21" customFormat="1">
      <c r="D902" s="166"/>
    </row>
    <row r="903" spans="4:4" s="21" customFormat="1">
      <c r="D903" s="166"/>
    </row>
    <row r="904" spans="4:4" s="21" customFormat="1">
      <c r="D904" s="166"/>
    </row>
    <row r="905" spans="4:4" s="21" customFormat="1">
      <c r="D905" s="166"/>
    </row>
    <row r="906" spans="4:4" s="21" customFormat="1">
      <c r="D906" s="166"/>
    </row>
    <row r="907" spans="4:4" s="21" customFormat="1">
      <c r="D907" s="166"/>
    </row>
    <row r="908" spans="4:4" s="21" customFormat="1">
      <c r="D908" s="166"/>
    </row>
    <row r="909" spans="4:4" s="21" customFormat="1">
      <c r="D909" s="166"/>
    </row>
    <row r="910" spans="4:4" s="21" customFormat="1">
      <c r="D910" s="166"/>
    </row>
    <row r="911" spans="4:4" s="21" customFormat="1">
      <c r="D911" s="166"/>
    </row>
    <row r="912" spans="4:4" s="21" customFormat="1">
      <c r="D912" s="166"/>
    </row>
    <row r="913" spans="4:4" s="21" customFormat="1">
      <c r="D913" s="166"/>
    </row>
    <row r="914" spans="4:4" s="21" customFormat="1">
      <c r="D914" s="166"/>
    </row>
    <row r="915" spans="4:4" s="21" customFormat="1">
      <c r="D915" s="166"/>
    </row>
    <row r="916" spans="4:4" s="21" customFormat="1">
      <c r="D916" s="166"/>
    </row>
    <row r="917" spans="4:4" s="21" customFormat="1">
      <c r="D917" s="166"/>
    </row>
    <row r="918" spans="4:4" s="21" customFormat="1">
      <c r="D918" s="166"/>
    </row>
    <row r="919" spans="4:4" s="21" customFormat="1">
      <c r="D919" s="166"/>
    </row>
    <row r="920" spans="4:4" s="21" customFormat="1">
      <c r="D920" s="166"/>
    </row>
    <row r="921" spans="4:4" s="21" customFormat="1">
      <c r="D921" s="166"/>
    </row>
    <row r="922" spans="4:4" s="21" customFormat="1">
      <c r="D922" s="166"/>
    </row>
    <row r="923" spans="4:4" s="21" customFormat="1">
      <c r="D923" s="166"/>
    </row>
    <row r="924" spans="4:4" s="21" customFormat="1">
      <c r="D924" s="166"/>
    </row>
    <row r="925" spans="4:4" s="21" customFormat="1">
      <c r="D925" s="166"/>
    </row>
    <row r="926" spans="4:4" s="21" customFormat="1">
      <c r="D926" s="166"/>
    </row>
    <row r="927" spans="4:4" s="21" customFormat="1">
      <c r="D927" s="166"/>
    </row>
    <row r="928" spans="4:4" s="21" customFormat="1">
      <c r="D928" s="166"/>
    </row>
    <row r="929" spans="4:4" s="21" customFormat="1">
      <c r="D929" s="166"/>
    </row>
    <row r="930" spans="4:4" s="21" customFormat="1">
      <c r="D930" s="166"/>
    </row>
    <row r="931" spans="4:4" s="21" customFormat="1">
      <c r="D931" s="166"/>
    </row>
    <row r="932" spans="4:4" s="21" customFormat="1">
      <c r="D932" s="166"/>
    </row>
    <row r="933" spans="4:4" s="21" customFormat="1">
      <c r="D933" s="166"/>
    </row>
    <row r="934" spans="4:4" s="21" customFormat="1">
      <c r="D934" s="166"/>
    </row>
    <row r="935" spans="4:4" s="21" customFormat="1">
      <c r="D935" s="166"/>
    </row>
    <row r="936" spans="4:4" s="21" customFormat="1">
      <c r="D936" s="166"/>
    </row>
    <row r="937" spans="4:4" s="21" customFormat="1">
      <c r="D937" s="166"/>
    </row>
    <row r="938" spans="4:4" s="21" customFormat="1">
      <c r="D938" s="166"/>
    </row>
    <row r="939" spans="4:4" s="21" customFormat="1">
      <c r="D939" s="166"/>
    </row>
    <row r="940" spans="4:4" s="21" customFormat="1">
      <c r="D940" s="166"/>
    </row>
    <row r="941" spans="4:4" s="21" customFormat="1">
      <c r="D941" s="166"/>
    </row>
    <row r="942" spans="4:4" s="21" customFormat="1">
      <c r="D942" s="166"/>
    </row>
    <row r="943" spans="4:4" s="21" customFormat="1">
      <c r="D943" s="166"/>
    </row>
    <row r="944" spans="4:4" s="21" customFormat="1">
      <c r="D944" s="166"/>
    </row>
    <row r="945" spans="4:4" s="21" customFormat="1">
      <c r="D945" s="166"/>
    </row>
    <row r="946" spans="4:4" s="21" customFormat="1">
      <c r="D946" s="166"/>
    </row>
    <row r="947" spans="4:4" s="21" customFormat="1">
      <c r="D947" s="166"/>
    </row>
    <row r="948" spans="4:4" s="21" customFormat="1">
      <c r="D948" s="166"/>
    </row>
    <row r="949" spans="4:4" s="21" customFormat="1">
      <c r="D949" s="166"/>
    </row>
    <row r="950" spans="4:4" s="21" customFormat="1">
      <c r="D950" s="166"/>
    </row>
    <row r="951" spans="4:4" s="21" customFormat="1">
      <c r="D951" s="166"/>
    </row>
    <row r="952" spans="4:4" s="21" customFormat="1">
      <c r="D952" s="166"/>
    </row>
    <row r="953" spans="4:4" s="21" customFormat="1">
      <c r="D953" s="166"/>
    </row>
    <row r="954" spans="4:4" s="21" customFormat="1">
      <c r="D954" s="166"/>
    </row>
    <row r="955" spans="4:4" s="21" customFormat="1">
      <c r="D955" s="166"/>
    </row>
    <row r="956" spans="4:4" s="21" customFormat="1">
      <c r="D956" s="166"/>
    </row>
    <row r="957" spans="4:4" s="21" customFormat="1">
      <c r="D957" s="166"/>
    </row>
    <row r="958" spans="4:4" s="21" customFormat="1">
      <c r="D958" s="166"/>
    </row>
    <row r="959" spans="4:4" s="21" customFormat="1">
      <c r="D959" s="166"/>
    </row>
    <row r="960" spans="4:4" s="21" customFormat="1">
      <c r="D960" s="166"/>
    </row>
    <row r="961" spans="4:4" s="21" customFormat="1">
      <c r="D961" s="166"/>
    </row>
    <row r="962" spans="4:4" s="21" customFormat="1">
      <c r="D962" s="166"/>
    </row>
    <row r="963" spans="4:4" s="21" customFormat="1">
      <c r="D963" s="166"/>
    </row>
    <row r="964" spans="4:4" s="21" customFormat="1">
      <c r="D964" s="166"/>
    </row>
    <row r="965" spans="4:4" s="21" customFormat="1">
      <c r="D965" s="166"/>
    </row>
    <row r="966" spans="4:4" s="21" customFormat="1">
      <c r="D966" s="166"/>
    </row>
    <row r="967" spans="4:4" s="21" customFormat="1">
      <c r="D967" s="166"/>
    </row>
    <row r="968" spans="4:4" s="21" customFormat="1">
      <c r="D968" s="166"/>
    </row>
    <row r="969" spans="4:4" s="21" customFormat="1">
      <c r="D969" s="166"/>
    </row>
    <row r="970" spans="4:4" s="21" customFormat="1">
      <c r="D970" s="166"/>
    </row>
    <row r="971" spans="4:4" s="21" customFormat="1">
      <c r="D971" s="166"/>
    </row>
    <row r="972" spans="4:4" s="21" customFormat="1">
      <c r="D972" s="166"/>
    </row>
    <row r="973" spans="4:4" s="21" customFormat="1">
      <c r="D973" s="166"/>
    </row>
    <row r="974" spans="4:4" s="21" customFormat="1">
      <c r="D974" s="166"/>
    </row>
    <row r="975" spans="4:4" s="21" customFormat="1">
      <c r="D975" s="166"/>
    </row>
    <row r="976" spans="4:4" s="21" customFormat="1">
      <c r="D976" s="166"/>
    </row>
    <row r="977" spans="4:4" s="21" customFormat="1">
      <c r="D977" s="166"/>
    </row>
    <row r="978" spans="4:4" s="21" customFormat="1">
      <c r="D978" s="166"/>
    </row>
    <row r="979" spans="4:4" s="21" customFormat="1">
      <c r="D979" s="166"/>
    </row>
    <row r="980" spans="4:4" s="21" customFormat="1">
      <c r="D980" s="166"/>
    </row>
    <row r="981" spans="4:4" s="21" customFormat="1">
      <c r="D981" s="166"/>
    </row>
    <row r="982" spans="4:4" s="21" customFormat="1">
      <c r="D982" s="166"/>
    </row>
    <row r="983" spans="4:4" s="21" customFormat="1">
      <c r="D983" s="166"/>
    </row>
    <row r="984" spans="4:4" s="21" customFormat="1">
      <c r="D984" s="166"/>
    </row>
    <row r="985" spans="4:4" s="21" customFormat="1">
      <c r="D985" s="166"/>
    </row>
    <row r="986" spans="4:4" s="21" customFormat="1">
      <c r="D986" s="166"/>
    </row>
    <row r="987" spans="4:4" s="21" customFormat="1">
      <c r="D987" s="166"/>
    </row>
    <row r="988" spans="4:4" s="21" customFormat="1">
      <c r="D988" s="166"/>
    </row>
    <row r="989" spans="4:4" s="21" customFormat="1">
      <c r="D989" s="166"/>
    </row>
    <row r="990" spans="4:4" s="21" customFormat="1">
      <c r="D990" s="166"/>
    </row>
    <row r="991" spans="4:4" s="21" customFormat="1">
      <c r="D991" s="166"/>
    </row>
    <row r="992" spans="4:4" s="21" customFormat="1">
      <c r="D992" s="166"/>
    </row>
    <row r="993" spans="4:4" s="21" customFormat="1">
      <c r="D993" s="166"/>
    </row>
    <row r="994" spans="4:4" s="21" customFormat="1">
      <c r="D994" s="166"/>
    </row>
    <row r="995" spans="4:4" s="21" customFormat="1">
      <c r="D995" s="166"/>
    </row>
    <row r="996" spans="4:4" s="21" customFormat="1">
      <c r="D996" s="166"/>
    </row>
    <row r="997" spans="4:4" s="21" customFormat="1">
      <c r="D997" s="166"/>
    </row>
    <row r="998" spans="4:4" s="21" customFormat="1">
      <c r="D998" s="166"/>
    </row>
    <row r="999" spans="4:4" s="21" customFormat="1">
      <c r="D999" s="166"/>
    </row>
    <row r="1000" spans="4:4" s="21" customFormat="1">
      <c r="D1000" s="166"/>
    </row>
    <row r="1001" spans="4:4" s="21" customFormat="1">
      <c r="D1001" s="166"/>
    </row>
    <row r="1002" spans="4:4" s="21" customFormat="1">
      <c r="D1002" s="166"/>
    </row>
    <row r="1003" spans="4:4" s="21" customFormat="1">
      <c r="D1003" s="166"/>
    </row>
    <row r="1004" spans="4:4" s="21" customFormat="1">
      <c r="D1004" s="166"/>
    </row>
    <row r="1005" spans="4:4" s="21" customFormat="1">
      <c r="D1005" s="166"/>
    </row>
    <row r="1006" spans="4:4" s="21" customFormat="1">
      <c r="D1006" s="166"/>
    </row>
    <row r="1007" spans="4:4" s="21" customFormat="1">
      <c r="D1007" s="166"/>
    </row>
    <row r="1008" spans="4:4" s="21" customFormat="1">
      <c r="D1008" s="166"/>
    </row>
    <row r="1009" spans="4:4" s="21" customFormat="1">
      <c r="D1009" s="166"/>
    </row>
    <row r="1010" spans="4:4" s="21" customFormat="1">
      <c r="D1010" s="166"/>
    </row>
    <row r="1011" spans="4:4" s="21" customFormat="1">
      <c r="D1011" s="166"/>
    </row>
    <row r="1012" spans="4:4" s="21" customFormat="1">
      <c r="D1012" s="166"/>
    </row>
    <row r="1013" spans="4:4" s="21" customFormat="1">
      <c r="D1013" s="166"/>
    </row>
    <row r="1014" spans="4:4" s="21" customFormat="1">
      <c r="D1014" s="166"/>
    </row>
    <row r="1015" spans="4:4" s="21" customFormat="1">
      <c r="D1015" s="166"/>
    </row>
    <row r="1016" spans="4:4" s="21" customFormat="1">
      <c r="D1016" s="166"/>
    </row>
    <row r="1017" spans="4:4" s="21" customFormat="1">
      <c r="D1017" s="166"/>
    </row>
    <row r="1018" spans="4:4" s="21" customFormat="1">
      <c r="D1018" s="166"/>
    </row>
    <row r="1019" spans="4:4" s="21" customFormat="1">
      <c r="D1019" s="166"/>
    </row>
    <row r="1020" spans="4:4" s="21" customFormat="1">
      <c r="D1020" s="166"/>
    </row>
    <row r="1021" spans="4:4" s="21" customFormat="1">
      <c r="D1021" s="166"/>
    </row>
    <row r="1022" spans="4:4" s="21" customFormat="1">
      <c r="D1022" s="166"/>
    </row>
    <row r="1023" spans="4:4" s="21" customFormat="1">
      <c r="D1023" s="166"/>
    </row>
    <row r="1024" spans="4:4" s="21" customFormat="1">
      <c r="D1024" s="166"/>
    </row>
    <row r="1025" spans="4:4" s="21" customFormat="1">
      <c r="D1025" s="166"/>
    </row>
    <row r="1026" spans="4:4" s="21" customFormat="1">
      <c r="D1026" s="166"/>
    </row>
    <row r="1027" spans="4:4" s="21" customFormat="1">
      <c r="D1027" s="166"/>
    </row>
    <row r="1028" spans="4:4" s="21" customFormat="1">
      <c r="D1028" s="166"/>
    </row>
    <row r="1029" spans="4:4" s="21" customFormat="1">
      <c r="D1029" s="166"/>
    </row>
    <row r="1030" spans="4:4" s="21" customFormat="1">
      <c r="D1030" s="166"/>
    </row>
    <row r="1031" spans="4:4" s="21" customFormat="1">
      <c r="D1031" s="166"/>
    </row>
    <row r="1032" spans="4:4" s="21" customFormat="1">
      <c r="D1032" s="166"/>
    </row>
    <row r="1033" spans="4:4" s="21" customFormat="1">
      <c r="D1033" s="166"/>
    </row>
    <row r="1034" spans="4:4" s="21" customFormat="1">
      <c r="D1034" s="166"/>
    </row>
    <row r="1035" spans="4:4" s="21" customFormat="1">
      <c r="D1035" s="166"/>
    </row>
    <row r="1036" spans="4:4" s="21" customFormat="1">
      <c r="D1036" s="166"/>
    </row>
    <row r="1037" spans="4:4" s="21" customFormat="1">
      <c r="D1037" s="166"/>
    </row>
    <row r="1038" spans="4:4" s="21" customFormat="1">
      <c r="D1038" s="166"/>
    </row>
    <row r="1039" spans="4:4" s="21" customFormat="1">
      <c r="D1039" s="166"/>
    </row>
    <row r="1040" spans="4:4" s="21" customFormat="1">
      <c r="D1040" s="166"/>
    </row>
    <row r="1041" spans="4:4" s="21" customFormat="1">
      <c r="D1041" s="166"/>
    </row>
    <row r="1042" spans="4:4" s="21" customFormat="1">
      <c r="D1042" s="166"/>
    </row>
    <row r="1043" spans="4:4" s="21" customFormat="1">
      <c r="D1043" s="166"/>
    </row>
    <row r="1044" spans="4:4" s="21" customFormat="1">
      <c r="D1044" s="166"/>
    </row>
    <row r="1045" spans="4:4" s="21" customFormat="1">
      <c r="D1045" s="166"/>
    </row>
    <row r="1046" spans="4:4" s="21" customFormat="1">
      <c r="D1046" s="166"/>
    </row>
    <row r="1047" spans="4:4" s="21" customFormat="1">
      <c r="D1047" s="166"/>
    </row>
    <row r="1048" spans="4:4" s="21" customFormat="1">
      <c r="D1048" s="166"/>
    </row>
    <row r="1049" spans="4:4" s="21" customFormat="1">
      <c r="D1049" s="166"/>
    </row>
    <row r="1050" spans="4:4" s="21" customFormat="1">
      <c r="D1050" s="166"/>
    </row>
    <row r="1051" spans="4:4" s="21" customFormat="1">
      <c r="D1051" s="166"/>
    </row>
    <row r="1052" spans="4:4" s="21" customFormat="1">
      <c r="D1052" s="166"/>
    </row>
    <row r="1053" spans="4:4" s="21" customFormat="1">
      <c r="D1053" s="166"/>
    </row>
    <row r="1054" spans="4:4" s="21" customFormat="1">
      <c r="D1054" s="166"/>
    </row>
    <row r="1055" spans="4:4" s="21" customFormat="1">
      <c r="D1055" s="166"/>
    </row>
    <row r="1056" spans="4:4" s="21" customFormat="1">
      <c r="D1056" s="166"/>
    </row>
    <row r="1057" spans="4:4" s="21" customFormat="1">
      <c r="D1057" s="166"/>
    </row>
    <row r="1058" spans="4:4" s="21" customFormat="1">
      <c r="D1058" s="166"/>
    </row>
    <row r="1059" spans="4:4" s="21" customFormat="1">
      <c r="D1059" s="166"/>
    </row>
    <row r="1060" spans="4:4" s="21" customFormat="1">
      <c r="D1060" s="166"/>
    </row>
    <row r="1061" spans="4:4" s="21" customFormat="1">
      <c r="D1061" s="166"/>
    </row>
    <row r="1062" spans="4:4" s="21" customFormat="1">
      <c r="D1062" s="166"/>
    </row>
    <row r="1063" spans="4:4" s="21" customFormat="1">
      <c r="D1063" s="166"/>
    </row>
    <row r="1064" spans="4:4" s="21" customFormat="1">
      <c r="D1064" s="166"/>
    </row>
    <row r="1065" spans="4:4" s="21" customFormat="1">
      <c r="D1065" s="166"/>
    </row>
    <row r="1066" spans="4:4" s="21" customFormat="1">
      <c r="D1066" s="166"/>
    </row>
    <row r="1067" spans="4:4" s="21" customFormat="1">
      <c r="D1067" s="166"/>
    </row>
    <row r="1068" spans="4:4" s="21" customFormat="1">
      <c r="D1068" s="166"/>
    </row>
    <row r="1069" spans="4:4" s="21" customFormat="1">
      <c r="D1069" s="166"/>
    </row>
    <row r="1070" spans="4:4" s="21" customFormat="1">
      <c r="D1070" s="166"/>
    </row>
    <row r="1071" spans="4:4" s="21" customFormat="1">
      <c r="D1071" s="166"/>
    </row>
    <row r="1072" spans="4:4" s="21" customFormat="1">
      <c r="D1072" s="166"/>
    </row>
    <row r="1073" spans="4:4" s="21" customFormat="1">
      <c r="D1073" s="166"/>
    </row>
    <row r="1074" spans="4:4" s="21" customFormat="1">
      <c r="D1074" s="166"/>
    </row>
    <row r="1075" spans="4:4" s="21" customFormat="1">
      <c r="D1075" s="166"/>
    </row>
    <row r="1076" spans="4:4" s="21" customFormat="1">
      <c r="D1076" s="166"/>
    </row>
    <row r="1077" spans="4:4" s="21" customFormat="1">
      <c r="D1077" s="166"/>
    </row>
    <row r="1078" spans="4:4" s="21" customFormat="1">
      <c r="D1078" s="166"/>
    </row>
    <row r="1079" spans="4:4" s="21" customFormat="1">
      <c r="D1079" s="166"/>
    </row>
    <row r="1080" spans="4:4" s="21" customFormat="1">
      <c r="D1080" s="166"/>
    </row>
    <row r="1081" spans="4:4" s="21" customFormat="1">
      <c r="D1081" s="166"/>
    </row>
    <row r="1082" spans="4:4" s="21" customFormat="1">
      <c r="D1082" s="166"/>
    </row>
    <row r="1083" spans="4:4" s="21" customFormat="1">
      <c r="D1083" s="166"/>
    </row>
    <row r="1084" spans="4:4" s="21" customFormat="1">
      <c r="D1084" s="166"/>
    </row>
    <row r="1085" spans="4:4" s="21" customFormat="1">
      <c r="D1085" s="166"/>
    </row>
    <row r="1086" spans="4:4" s="21" customFormat="1">
      <c r="D1086" s="166"/>
    </row>
    <row r="1087" spans="4:4" s="21" customFormat="1">
      <c r="D1087" s="166"/>
    </row>
    <row r="1088" spans="4:4" s="21" customFormat="1">
      <c r="D1088" s="166"/>
    </row>
    <row r="1089" spans="4:4" s="21" customFormat="1">
      <c r="D1089" s="166"/>
    </row>
    <row r="1090" spans="4:4" s="21" customFormat="1">
      <c r="D1090" s="166"/>
    </row>
    <row r="1091" spans="4:4" s="21" customFormat="1">
      <c r="D1091" s="166"/>
    </row>
    <row r="1092" spans="4:4" s="21" customFormat="1">
      <c r="D1092" s="166"/>
    </row>
    <row r="1093" spans="4:4" s="21" customFormat="1">
      <c r="D1093" s="166"/>
    </row>
    <row r="1094" spans="4:4" s="21" customFormat="1">
      <c r="D1094" s="166"/>
    </row>
    <row r="1095" spans="4:4" s="21" customFormat="1">
      <c r="D1095" s="166"/>
    </row>
    <row r="1096" spans="4:4" s="21" customFormat="1">
      <c r="D1096" s="166"/>
    </row>
    <row r="1097" spans="4:4" s="21" customFormat="1">
      <c r="D1097" s="166"/>
    </row>
    <row r="1098" spans="4:4" s="21" customFormat="1">
      <c r="D1098" s="166"/>
    </row>
    <row r="1099" spans="4:4" s="21" customFormat="1">
      <c r="D1099" s="166"/>
    </row>
    <row r="1100" spans="4:4" s="21" customFormat="1">
      <c r="D1100" s="166"/>
    </row>
    <row r="1101" spans="4:4" s="21" customFormat="1">
      <c r="D1101" s="166"/>
    </row>
    <row r="1102" spans="4:4" s="21" customFormat="1">
      <c r="D1102" s="166"/>
    </row>
    <row r="1103" spans="4:4" s="21" customFormat="1">
      <c r="D1103" s="166"/>
    </row>
    <row r="1104" spans="4:4" s="21" customFormat="1">
      <c r="D1104" s="166"/>
    </row>
    <row r="1105" spans="4:4" s="21" customFormat="1">
      <c r="D1105" s="166"/>
    </row>
    <row r="1106" spans="4:4" s="21" customFormat="1">
      <c r="D1106" s="166"/>
    </row>
    <row r="1107" spans="4:4" s="21" customFormat="1">
      <c r="D1107" s="166"/>
    </row>
    <row r="1108" spans="4:4" s="21" customFormat="1">
      <c r="D1108" s="166"/>
    </row>
    <row r="1109" spans="4:4" s="21" customFormat="1">
      <c r="D1109" s="166"/>
    </row>
    <row r="1110" spans="4:4" s="21" customFormat="1">
      <c r="D1110" s="166"/>
    </row>
    <row r="1111" spans="4:4" s="21" customFormat="1">
      <c r="D1111" s="166"/>
    </row>
    <row r="1112" spans="4:4" s="21" customFormat="1">
      <c r="D1112" s="166"/>
    </row>
    <row r="1113" spans="4:4" s="21" customFormat="1">
      <c r="D1113" s="166"/>
    </row>
    <row r="1114" spans="4:4" s="21" customFormat="1">
      <c r="D1114" s="166"/>
    </row>
    <row r="1115" spans="4:4" s="21" customFormat="1">
      <c r="D1115" s="166"/>
    </row>
    <row r="1116" spans="4:4" s="21" customFormat="1">
      <c r="D1116" s="166"/>
    </row>
    <row r="1117" spans="4:4" s="21" customFormat="1">
      <c r="D1117" s="166"/>
    </row>
    <row r="1118" spans="4:4" s="21" customFormat="1">
      <c r="D1118" s="166"/>
    </row>
    <row r="1119" spans="4:4" s="21" customFormat="1">
      <c r="D1119" s="166"/>
    </row>
    <row r="1120" spans="4:4" s="21" customFormat="1">
      <c r="D1120" s="166"/>
    </row>
    <row r="1121" spans="4:4" s="21" customFormat="1">
      <c r="D1121" s="166"/>
    </row>
    <row r="1122" spans="4:4" s="21" customFormat="1">
      <c r="D1122" s="166"/>
    </row>
    <row r="1123" spans="4:4" s="21" customFormat="1">
      <c r="D1123" s="166"/>
    </row>
    <row r="1124" spans="4:4" s="21" customFormat="1">
      <c r="D1124" s="166"/>
    </row>
    <row r="1125" spans="4:4" s="21" customFormat="1">
      <c r="D1125" s="166"/>
    </row>
    <row r="1126" spans="4:4" s="21" customFormat="1">
      <c r="D1126" s="166"/>
    </row>
    <row r="1127" spans="4:4" s="21" customFormat="1">
      <c r="D1127" s="166"/>
    </row>
    <row r="1128" spans="4:4" s="21" customFormat="1">
      <c r="D1128" s="166"/>
    </row>
    <row r="1129" spans="4:4" s="21" customFormat="1">
      <c r="D1129" s="166"/>
    </row>
    <row r="1130" spans="4:4" s="21" customFormat="1">
      <c r="D1130" s="166"/>
    </row>
    <row r="1131" spans="4:4" s="21" customFormat="1">
      <c r="D1131" s="166"/>
    </row>
    <row r="1132" spans="4:4" s="21" customFormat="1">
      <c r="D1132" s="166"/>
    </row>
    <row r="1133" spans="4:4" s="21" customFormat="1">
      <c r="D1133" s="166"/>
    </row>
    <row r="1134" spans="4:4" s="21" customFormat="1">
      <c r="D1134" s="166"/>
    </row>
    <row r="1135" spans="4:4" s="21" customFormat="1">
      <c r="D1135" s="166"/>
    </row>
    <row r="1136" spans="4:4" s="21" customFormat="1">
      <c r="D1136" s="166"/>
    </row>
    <row r="1137" spans="4:4" s="21" customFormat="1">
      <c r="D1137" s="166"/>
    </row>
    <row r="1138" spans="4:4" s="21" customFormat="1">
      <c r="D1138" s="166"/>
    </row>
    <row r="1139" spans="4:4" s="21" customFormat="1">
      <c r="D1139" s="166"/>
    </row>
    <row r="1140" spans="4:4" s="21" customFormat="1">
      <c r="D1140" s="166"/>
    </row>
    <row r="1141" spans="4:4" s="21" customFormat="1">
      <c r="D1141" s="166"/>
    </row>
    <row r="1142" spans="4:4" s="21" customFormat="1">
      <c r="D1142" s="166"/>
    </row>
    <row r="1143" spans="4:4" s="21" customFormat="1">
      <c r="D1143" s="166"/>
    </row>
    <row r="1144" spans="4:4" s="21" customFormat="1">
      <c r="D1144" s="166"/>
    </row>
    <row r="1145" spans="4:4" s="21" customFormat="1">
      <c r="D1145" s="166"/>
    </row>
    <row r="1146" spans="4:4" s="21" customFormat="1">
      <c r="D1146" s="166"/>
    </row>
    <row r="1147" spans="4:4" s="21" customFormat="1">
      <c r="D1147" s="166"/>
    </row>
    <row r="1148" spans="4:4" s="21" customFormat="1">
      <c r="D1148" s="166"/>
    </row>
    <row r="1149" spans="4:4" s="21" customFormat="1">
      <c r="D1149" s="166"/>
    </row>
    <row r="1150" spans="4:4" s="21" customFormat="1">
      <c r="D1150" s="166"/>
    </row>
    <row r="1151" spans="4:4" s="21" customFormat="1">
      <c r="D1151" s="166"/>
    </row>
    <row r="1152" spans="4:4" s="21" customFormat="1">
      <c r="D1152" s="166"/>
    </row>
    <row r="1153" spans="4:4" s="21" customFormat="1">
      <c r="D1153" s="166"/>
    </row>
    <row r="1154" spans="4:4" s="21" customFormat="1">
      <c r="D1154" s="166"/>
    </row>
    <row r="1155" spans="4:4" s="21" customFormat="1">
      <c r="D1155" s="166"/>
    </row>
    <row r="1156" spans="4:4" s="21" customFormat="1">
      <c r="D1156" s="166"/>
    </row>
    <row r="1157" spans="4:4" s="21" customFormat="1">
      <c r="D1157" s="166"/>
    </row>
    <row r="1158" spans="4:4" s="21" customFormat="1">
      <c r="D1158" s="166"/>
    </row>
    <row r="1159" spans="4:4" s="21" customFormat="1">
      <c r="D1159" s="166"/>
    </row>
    <row r="1160" spans="4:4" s="21" customFormat="1">
      <c r="D1160" s="166"/>
    </row>
    <row r="1161" spans="4:4" s="21" customFormat="1">
      <c r="D1161" s="166"/>
    </row>
    <row r="1162" spans="4:4" s="21" customFormat="1">
      <c r="D1162" s="166"/>
    </row>
    <row r="1163" spans="4:4" s="21" customFormat="1">
      <c r="D1163" s="166"/>
    </row>
    <row r="1164" spans="4:4" s="21" customFormat="1">
      <c r="D1164" s="166"/>
    </row>
    <row r="1165" spans="4:4" s="21" customFormat="1">
      <c r="D1165" s="166"/>
    </row>
    <row r="1166" spans="4:4" s="21" customFormat="1">
      <c r="D1166" s="166"/>
    </row>
    <row r="1167" spans="4:4" s="21" customFormat="1">
      <c r="D1167" s="166"/>
    </row>
    <row r="1168" spans="4:4" s="21" customFormat="1">
      <c r="D1168" s="166"/>
    </row>
    <row r="1169" spans="4:4" s="21" customFormat="1">
      <c r="D1169" s="166"/>
    </row>
    <row r="1170" spans="4:4" s="21" customFormat="1">
      <c r="D1170" s="166"/>
    </row>
    <row r="1171" spans="4:4" s="21" customFormat="1">
      <c r="D1171" s="166"/>
    </row>
    <row r="1172" spans="4:4" s="21" customFormat="1">
      <c r="D1172" s="166"/>
    </row>
    <row r="1173" spans="4:4" s="21" customFormat="1">
      <c r="D1173" s="166"/>
    </row>
    <row r="1174" spans="4:4" s="21" customFormat="1">
      <c r="D1174" s="166"/>
    </row>
    <row r="1175" spans="4:4" s="21" customFormat="1">
      <c r="D1175" s="166"/>
    </row>
    <row r="1176" spans="4:4" s="21" customFormat="1">
      <c r="D1176" s="166"/>
    </row>
    <row r="1177" spans="4:4" s="21" customFormat="1">
      <c r="D1177" s="166"/>
    </row>
    <row r="1178" spans="4:4" s="21" customFormat="1">
      <c r="D1178" s="166"/>
    </row>
    <row r="1179" spans="4:4" s="21" customFormat="1">
      <c r="D1179" s="166"/>
    </row>
    <row r="1180" spans="4:4" s="21" customFormat="1">
      <c r="D1180" s="166"/>
    </row>
    <row r="1181" spans="4:4" s="21" customFormat="1">
      <c r="D1181" s="166"/>
    </row>
    <row r="1182" spans="4:4" s="21" customFormat="1">
      <c r="D1182" s="166"/>
    </row>
    <row r="1183" spans="4:4" s="21" customFormat="1">
      <c r="D1183" s="166"/>
    </row>
    <row r="1184" spans="4:4" s="21" customFormat="1">
      <c r="D1184" s="166"/>
    </row>
    <row r="1185" spans="4:4" s="21" customFormat="1">
      <c r="D1185" s="166"/>
    </row>
    <row r="1186" spans="4:4" s="21" customFormat="1">
      <c r="D1186" s="166"/>
    </row>
    <row r="1187" spans="4:4" s="21" customFormat="1">
      <c r="D1187" s="166"/>
    </row>
    <row r="1188" spans="4:4" s="21" customFormat="1">
      <c r="D1188" s="166"/>
    </row>
    <row r="1189" spans="4:4" s="21" customFormat="1">
      <c r="D1189" s="166"/>
    </row>
    <row r="1190" spans="4:4" s="21" customFormat="1">
      <c r="D1190" s="166"/>
    </row>
    <row r="1191" spans="4:4" s="21" customFormat="1">
      <c r="D1191" s="166"/>
    </row>
    <row r="1192" spans="4:4" s="21" customFormat="1">
      <c r="D1192" s="166"/>
    </row>
    <row r="1193" spans="4:4" s="21" customFormat="1">
      <c r="D1193" s="166"/>
    </row>
    <row r="1194" spans="4:4" s="21" customFormat="1">
      <c r="D1194" s="166"/>
    </row>
    <row r="1195" spans="4:4" s="21" customFormat="1">
      <c r="D1195" s="166"/>
    </row>
    <row r="1196" spans="4:4" s="21" customFormat="1">
      <c r="D1196" s="166"/>
    </row>
    <row r="1197" spans="4:4" s="21" customFormat="1">
      <c r="D1197" s="166"/>
    </row>
    <row r="1198" spans="4:4" s="21" customFormat="1">
      <c r="D1198" s="166"/>
    </row>
    <row r="1199" spans="4:4" s="21" customFormat="1">
      <c r="D1199" s="166"/>
    </row>
    <row r="1200" spans="4:4" s="21" customFormat="1">
      <c r="D1200" s="166"/>
    </row>
    <row r="1201" spans="4:4" s="21" customFormat="1">
      <c r="D1201" s="166"/>
    </row>
    <row r="1202" spans="4:4" s="21" customFormat="1">
      <c r="D1202" s="166"/>
    </row>
    <row r="1203" spans="4:4" s="21" customFormat="1">
      <c r="D1203" s="166"/>
    </row>
    <row r="1204" spans="4:4" s="21" customFormat="1">
      <c r="D1204" s="166"/>
    </row>
    <row r="1205" spans="4:4" s="21" customFormat="1">
      <c r="D1205" s="166"/>
    </row>
    <row r="1206" spans="4:4" s="21" customFormat="1">
      <c r="D1206" s="166"/>
    </row>
    <row r="1207" spans="4:4" s="21" customFormat="1">
      <c r="D1207" s="166"/>
    </row>
    <row r="1208" spans="4:4" s="21" customFormat="1">
      <c r="D1208" s="166"/>
    </row>
    <row r="1209" spans="4:4" s="21" customFormat="1">
      <c r="D1209" s="166"/>
    </row>
    <row r="1210" spans="4:4" s="21" customFormat="1">
      <c r="D1210" s="166"/>
    </row>
    <row r="1211" spans="4:4" s="21" customFormat="1">
      <c r="D1211" s="166"/>
    </row>
    <row r="1212" spans="4:4" s="21" customFormat="1">
      <c r="D1212" s="166"/>
    </row>
    <row r="1213" spans="4:4" s="21" customFormat="1">
      <c r="D1213" s="166"/>
    </row>
    <row r="1214" spans="4:4" s="21" customFormat="1">
      <c r="D1214" s="166"/>
    </row>
    <row r="1215" spans="4:4" s="21" customFormat="1">
      <c r="D1215" s="166"/>
    </row>
    <row r="1216" spans="4:4" s="21" customFormat="1">
      <c r="D1216" s="166"/>
    </row>
    <row r="1217" spans="4:4" s="21" customFormat="1">
      <c r="D1217" s="166"/>
    </row>
    <row r="1218" spans="4:4" s="21" customFormat="1">
      <c r="D1218" s="166"/>
    </row>
    <row r="1219" spans="4:4" s="21" customFormat="1">
      <c r="D1219" s="166"/>
    </row>
    <row r="1220" spans="4:4" s="21" customFormat="1">
      <c r="D1220" s="166"/>
    </row>
    <row r="1221" spans="4:4" s="21" customFormat="1">
      <c r="D1221" s="166"/>
    </row>
    <row r="1222" spans="4:4" s="21" customFormat="1">
      <c r="D1222" s="166"/>
    </row>
    <row r="1223" spans="4:4" s="21" customFormat="1">
      <c r="D1223" s="166"/>
    </row>
    <row r="1224" spans="4:4" s="21" customFormat="1">
      <c r="D1224" s="166"/>
    </row>
    <row r="1225" spans="4:4" s="21" customFormat="1">
      <c r="D1225" s="166"/>
    </row>
    <row r="1226" spans="4:4" s="21" customFormat="1">
      <c r="D1226" s="166"/>
    </row>
    <row r="1227" spans="4:4" s="21" customFormat="1">
      <c r="D1227" s="166"/>
    </row>
    <row r="1228" spans="4:4" s="21" customFormat="1">
      <c r="D1228" s="166"/>
    </row>
    <row r="1229" spans="4:4" s="21" customFormat="1">
      <c r="D1229" s="166"/>
    </row>
    <row r="1230" spans="4:4" s="21" customFormat="1">
      <c r="D1230" s="166"/>
    </row>
    <row r="1231" spans="4:4" s="21" customFormat="1">
      <c r="D1231" s="166"/>
    </row>
    <row r="1232" spans="4:4" s="21" customFormat="1">
      <c r="D1232" s="166"/>
    </row>
    <row r="1233" spans="4:4" s="21" customFormat="1">
      <c r="D1233" s="166"/>
    </row>
    <row r="1234" spans="4:4" s="21" customFormat="1">
      <c r="D1234" s="166"/>
    </row>
    <row r="1235" spans="4:4" s="21" customFormat="1">
      <c r="D1235" s="166"/>
    </row>
    <row r="1236" spans="4:4" s="21" customFormat="1">
      <c r="D1236" s="166"/>
    </row>
    <row r="1237" spans="4:4" s="21" customFormat="1">
      <c r="D1237" s="166"/>
    </row>
    <row r="1238" spans="4:4" s="21" customFormat="1">
      <c r="D1238" s="166"/>
    </row>
    <row r="1239" spans="4:4" s="21" customFormat="1">
      <c r="D1239" s="166"/>
    </row>
    <row r="1240" spans="4:4" s="21" customFormat="1">
      <c r="D1240" s="166"/>
    </row>
    <row r="1241" spans="4:4" s="21" customFormat="1">
      <c r="D1241" s="166"/>
    </row>
    <row r="1242" spans="4:4" s="21" customFormat="1">
      <c r="D1242" s="166"/>
    </row>
    <row r="1243" spans="4:4" s="21" customFormat="1">
      <c r="D1243" s="166"/>
    </row>
    <row r="1244" spans="4:4" s="21" customFormat="1">
      <c r="D1244" s="166"/>
    </row>
    <row r="1245" spans="4:4" s="21" customFormat="1">
      <c r="D1245" s="166"/>
    </row>
    <row r="1246" spans="4:4" s="21" customFormat="1">
      <c r="D1246" s="166"/>
    </row>
    <row r="1247" spans="4:4" s="21" customFormat="1">
      <c r="D1247" s="166"/>
    </row>
    <row r="1248" spans="4:4" s="21" customFormat="1">
      <c r="D1248" s="166"/>
    </row>
    <row r="1249" spans="4:4" s="21" customFormat="1">
      <c r="D1249" s="166"/>
    </row>
    <row r="1250" spans="4:4" s="21" customFormat="1">
      <c r="D1250" s="166"/>
    </row>
    <row r="1251" spans="4:4" s="21" customFormat="1">
      <c r="D1251" s="166"/>
    </row>
    <row r="1252" spans="4:4" s="21" customFormat="1">
      <c r="D1252" s="166"/>
    </row>
    <row r="1253" spans="4:4" s="21" customFormat="1">
      <c r="D1253" s="166"/>
    </row>
    <row r="1254" spans="4:4" s="21" customFormat="1">
      <c r="D1254" s="166"/>
    </row>
    <row r="1255" spans="4:4" s="21" customFormat="1">
      <c r="D1255" s="166"/>
    </row>
    <row r="1256" spans="4:4" s="21" customFormat="1">
      <c r="D1256" s="166"/>
    </row>
    <row r="1257" spans="4:4" s="21" customFormat="1">
      <c r="D1257" s="166"/>
    </row>
    <row r="1258" spans="4:4" s="21" customFormat="1">
      <c r="D1258" s="166"/>
    </row>
    <row r="1259" spans="4:4" s="21" customFormat="1">
      <c r="D1259" s="166"/>
    </row>
    <row r="1260" spans="4:4" s="21" customFormat="1">
      <c r="D1260" s="166"/>
    </row>
    <row r="1261" spans="4:4" s="21" customFormat="1">
      <c r="D1261" s="166"/>
    </row>
    <row r="1262" spans="4:4" s="21" customFormat="1">
      <c r="D1262" s="166"/>
    </row>
    <row r="1263" spans="4:4" s="21" customFormat="1">
      <c r="D1263" s="166"/>
    </row>
    <row r="1264" spans="4:4" s="21" customFormat="1">
      <c r="D1264" s="166"/>
    </row>
    <row r="1265" spans="4:4" s="21" customFormat="1">
      <c r="D1265" s="166"/>
    </row>
    <row r="1266" spans="4:4" s="21" customFormat="1">
      <c r="D1266" s="166"/>
    </row>
    <row r="1267" spans="4:4" s="21" customFormat="1">
      <c r="D1267" s="166"/>
    </row>
    <row r="1268" spans="4:4" s="21" customFormat="1">
      <c r="D1268" s="166"/>
    </row>
    <row r="1269" spans="4:4" s="21" customFormat="1">
      <c r="D1269" s="166"/>
    </row>
    <row r="1270" spans="4:4" s="21" customFormat="1">
      <c r="D1270" s="166"/>
    </row>
    <row r="1271" spans="4:4" s="21" customFormat="1">
      <c r="D1271" s="166"/>
    </row>
    <row r="1272" spans="4:4" s="21" customFormat="1">
      <c r="D1272" s="166"/>
    </row>
    <row r="1273" spans="4:4" s="21" customFormat="1">
      <c r="D1273" s="166"/>
    </row>
    <row r="1274" spans="4:4" s="21" customFormat="1">
      <c r="D1274" s="166"/>
    </row>
    <row r="1275" spans="4:4" s="21" customFormat="1">
      <c r="D1275" s="166"/>
    </row>
    <row r="1276" spans="4:4" s="21" customFormat="1">
      <c r="D1276" s="166"/>
    </row>
    <row r="1277" spans="4:4" s="21" customFormat="1">
      <c r="D1277" s="166"/>
    </row>
    <row r="1278" spans="4:4" s="21" customFormat="1">
      <c r="D1278" s="166"/>
    </row>
    <row r="1279" spans="4:4" s="21" customFormat="1">
      <c r="D1279" s="166"/>
    </row>
    <row r="1280" spans="4:4" s="21" customFormat="1">
      <c r="D1280" s="166"/>
    </row>
    <row r="1281" spans="4:4" s="21" customFormat="1">
      <c r="D1281" s="166"/>
    </row>
    <row r="1282" spans="4:4" s="21" customFormat="1">
      <c r="D1282" s="166"/>
    </row>
    <row r="1283" spans="4:4" s="21" customFormat="1">
      <c r="D1283" s="166"/>
    </row>
    <row r="1284" spans="4:4" s="21" customFormat="1">
      <c r="D1284" s="166"/>
    </row>
    <row r="1285" spans="4:4" s="21" customFormat="1">
      <c r="D1285" s="166"/>
    </row>
    <row r="1286" spans="4:4" s="21" customFormat="1">
      <c r="D1286" s="166"/>
    </row>
    <row r="1287" spans="4:4" s="21" customFormat="1">
      <c r="D1287" s="166"/>
    </row>
    <row r="1288" spans="4:4" s="21" customFormat="1">
      <c r="D1288" s="166"/>
    </row>
    <row r="1289" spans="4:4" s="21" customFormat="1">
      <c r="D1289" s="166"/>
    </row>
    <row r="1290" spans="4:4" s="21" customFormat="1">
      <c r="D1290" s="166"/>
    </row>
    <row r="1291" spans="4:4" s="21" customFormat="1">
      <c r="D1291" s="166"/>
    </row>
    <row r="1292" spans="4:4" s="21" customFormat="1">
      <c r="D1292" s="166"/>
    </row>
    <row r="1293" spans="4:4" s="21" customFormat="1">
      <c r="D1293" s="166"/>
    </row>
    <row r="1294" spans="4:4" s="21" customFormat="1">
      <c r="D1294" s="166"/>
    </row>
    <row r="1295" spans="4:4" s="21" customFormat="1">
      <c r="D1295" s="166"/>
    </row>
    <row r="1296" spans="4:4" s="21" customFormat="1">
      <c r="D1296" s="166"/>
    </row>
    <row r="1297" spans="4:4" s="21" customFormat="1">
      <c r="D1297" s="166"/>
    </row>
    <row r="1298" spans="4:4" s="21" customFormat="1">
      <c r="D1298" s="166"/>
    </row>
    <row r="1299" spans="4:4" s="21" customFormat="1">
      <c r="D1299" s="166"/>
    </row>
    <row r="1300" spans="4:4" s="21" customFormat="1">
      <c r="D1300" s="166"/>
    </row>
    <row r="1301" spans="4:4" s="21" customFormat="1">
      <c r="D1301" s="166"/>
    </row>
    <row r="1302" spans="4:4" s="21" customFormat="1">
      <c r="D1302" s="166"/>
    </row>
    <row r="1303" spans="4:4" s="21" customFormat="1">
      <c r="D1303" s="166"/>
    </row>
    <row r="1304" spans="4:4" s="21" customFormat="1">
      <c r="D1304" s="166"/>
    </row>
    <row r="1305" spans="4:4" s="21" customFormat="1">
      <c r="D1305" s="166"/>
    </row>
    <row r="1306" spans="4:4" s="21" customFormat="1">
      <c r="D1306" s="166"/>
    </row>
    <row r="1307" spans="4:4" s="21" customFormat="1">
      <c r="D1307" s="166"/>
    </row>
    <row r="1308" spans="4:4" s="21" customFormat="1">
      <c r="D1308" s="166"/>
    </row>
    <row r="1309" spans="4:4" s="21" customFormat="1">
      <c r="D1309" s="166"/>
    </row>
    <row r="1310" spans="4:4" s="21" customFormat="1">
      <c r="D1310" s="166"/>
    </row>
    <row r="1311" spans="4:4" s="21" customFormat="1">
      <c r="D1311" s="166"/>
    </row>
    <row r="1312" spans="4:4" s="21" customFormat="1">
      <c r="D1312" s="166"/>
    </row>
    <row r="1313" spans="4:4" s="21" customFormat="1">
      <c r="D1313" s="166"/>
    </row>
    <row r="1314" spans="4:4" s="21" customFormat="1">
      <c r="D1314" s="166"/>
    </row>
    <row r="1315" spans="4:4" s="21" customFormat="1">
      <c r="D1315" s="166"/>
    </row>
    <row r="1316" spans="4:4" s="21" customFormat="1">
      <c r="D1316" s="166"/>
    </row>
    <row r="1317" spans="4:4" s="21" customFormat="1">
      <c r="D1317" s="166"/>
    </row>
    <row r="1318" spans="4:4" s="21" customFormat="1">
      <c r="D1318" s="166"/>
    </row>
    <row r="1319" spans="4:4" s="21" customFormat="1">
      <c r="D1319" s="166"/>
    </row>
    <row r="1320" spans="4:4" s="21" customFormat="1">
      <c r="D1320" s="166"/>
    </row>
    <row r="1321" spans="4:4" s="21" customFormat="1">
      <c r="D1321" s="166"/>
    </row>
    <row r="1322" spans="4:4" s="21" customFormat="1">
      <c r="D1322" s="166"/>
    </row>
    <row r="1323" spans="4:4" s="21" customFormat="1">
      <c r="D1323" s="166"/>
    </row>
    <row r="1324" spans="4:4" s="21" customFormat="1">
      <c r="D1324" s="166"/>
    </row>
    <row r="1325" spans="4:4" s="21" customFormat="1">
      <c r="D1325" s="166"/>
    </row>
    <row r="1326" spans="4:4" s="21" customFormat="1">
      <c r="D1326" s="166"/>
    </row>
    <row r="1327" spans="4:4" s="21" customFormat="1">
      <c r="D1327" s="166"/>
    </row>
    <row r="1328" spans="4:4" s="21" customFormat="1">
      <c r="D1328" s="166"/>
    </row>
    <row r="1329" spans="4:4" s="21" customFormat="1">
      <c r="D1329" s="166"/>
    </row>
    <row r="1330" spans="4:4" s="21" customFormat="1">
      <c r="D1330" s="166"/>
    </row>
    <row r="1331" spans="4:4" s="21" customFormat="1">
      <c r="D1331" s="166"/>
    </row>
    <row r="1332" spans="4:4" s="21" customFormat="1">
      <c r="D1332" s="166"/>
    </row>
    <row r="1333" spans="4:4" s="21" customFormat="1">
      <c r="D1333" s="166"/>
    </row>
    <row r="1334" spans="4:4" s="21" customFormat="1">
      <c r="D1334" s="166"/>
    </row>
    <row r="1335" spans="4:4" s="21" customFormat="1">
      <c r="D1335" s="166"/>
    </row>
    <row r="1336" spans="4:4" s="21" customFormat="1">
      <c r="D1336" s="166"/>
    </row>
    <row r="1337" spans="4:4" s="21" customFormat="1">
      <c r="D1337" s="166"/>
    </row>
    <row r="1338" spans="4:4" s="21" customFormat="1">
      <c r="D1338" s="166"/>
    </row>
    <row r="1339" spans="4:4" s="21" customFormat="1">
      <c r="D1339" s="166"/>
    </row>
    <row r="1340" spans="4:4" s="21" customFormat="1">
      <c r="D1340" s="166"/>
    </row>
    <row r="1341" spans="4:4" s="21" customFormat="1">
      <c r="D1341" s="166"/>
    </row>
    <row r="1342" spans="4:4" s="21" customFormat="1">
      <c r="D1342" s="166"/>
    </row>
    <row r="1343" spans="4:4" s="21" customFormat="1">
      <c r="D1343" s="166"/>
    </row>
    <row r="1344" spans="4:4" s="21" customFormat="1">
      <c r="D1344" s="166"/>
    </row>
    <row r="1345" spans="4:4" s="21" customFormat="1">
      <c r="D1345" s="166"/>
    </row>
    <row r="1346" spans="4:4" s="21" customFormat="1">
      <c r="D1346" s="166"/>
    </row>
    <row r="1347" spans="4:4" s="21" customFormat="1">
      <c r="D1347" s="166"/>
    </row>
    <row r="1348" spans="4:4" s="21" customFormat="1">
      <c r="D1348" s="166"/>
    </row>
    <row r="1349" spans="4:4" s="21" customFormat="1">
      <c r="D1349" s="166"/>
    </row>
    <row r="1350" spans="4:4" s="21" customFormat="1">
      <c r="D1350" s="166"/>
    </row>
    <row r="1351" spans="4:4" s="21" customFormat="1">
      <c r="D1351" s="166"/>
    </row>
    <row r="1352" spans="4:4" s="21" customFormat="1">
      <c r="D1352" s="166"/>
    </row>
    <row r="1353" spans="4:4" s="21" customFormat="1">
      <c r="D1353" s="166"/>
    </row>
    <row r="1354" spans="4:4" s="21" customFormat="1">
      <c r="D1354" s="166"/>
    </row>
    <row r="1355" spans="4:4" s="21" customFormat="1">
      <c r="D1355" s="166"/>
    </row>
    <row r="1356" spans="4:4" s="21" customFormat="1">
      <c r="D1356" s="166"/>
    </row>
    <row r="1357" spans="4:4" s="21" customFormat="1">
      <c r="D1357" s="166"/>
    </row>
    <row r="1358" spans="4:4" s="21" customFormat="1">
      <c r="D1358" s="166"/>
    </row>
    <row r="1359" spans="4:4" s="21" customFormat="1">
      <c r="D1359" s="166"/>
    </row>
    <row r="1360" spans="4:4" s="21" customFormat="1">
      <c r="D1360" s="166"/>
    </row>
    <row r="1361" spans="4:4" s="21" customFormat="1">
      <c r="D1361" s="166"/>
    </row>
    <row r="1362" spans="4:4" s="21" customFormat="1">
      <c r="D1362" s="166"/>
    </row>
    <row r="1363" spans="4:4" s="21" customFormat="1">
      <c r="D1363" s="166"/>
    </row>
    <row r="1364" spans="4:4" s="21" customFormat="1">
      <c r="D1364" s="166"/>
    </row>
    <row r="1365" spans="4:4" s="21" customFormat="1">
      <c r="D1365" s="166"/>
    </row>
    <row r="1366" spans="4:4" s="21" customFormat="1">
      <c r="D1366" s="166"/>
    </row>
    <row r="1367" spans="4:4" s="21" customFormat="1">
      <c r="D1367" s="166"/>
    </row>
    <row r="1368" spans="4:4" s="21" customFormat="1">
      <c r="D1368" s="166"/>
    </row>
    <row r="1369" spans="4:4" s="21" customFormat="1">
      <c r="D1369" s="166"/>
    </row>
    <row r="1370" spans="4:4" s="21" customFormat="1">
      <c r="D1370" s="166"/>
    </row>
    <row r="1371" spans="4:4" s="21" customFormat="1">
      <c r="D1371" s="166"/>
    </row>
    <row r="1372" spans="4:4" s="21" customFormat="1">
      <c r="D1372" s="166"/>
    </row>
    <row r="1373" spans="4:4" s="21" customFormat="1">
      <c r="D1373" s="166"/>
    </row>
    <row r="1374" spans="4:4" s="21" customFormat="1">
      <c r="D1374" s="166"/>
    </row>
    <row r="1375" spans="4:4" s="21" customFormat="1">
      <c r="D1375" s="166"/>
    </row>
    <row r="1376" spans="4:4" s="21" customFormat="1">
      <c r="D1376" s="166"/>
    </row>
    <row r="1377" spans="4:4" s="21" customFormat="1">
      <c r="D1377" s="166"/>
    </row>
    <row r="1378" spans="4:4" s="21" customFormat="1">
      <c r="D1378" s="166"/>
    </row>
    <row r="1379" spans="4:4" s="21" customFormat="1">
      <c r="D1379" s="166"/>
    </row>
    <row r="1380" spans="4:4" s="21" customFormat="1">
      <c r="D1380" s="166"/>
    </row>
    <row r="1381" spans="4:4" s="21" customFormat="1">
      <c r="D1381" s="166"/>
    </row>
    <row r="1382" spans="4:4" s="21" customFormat="1">
      <c r="D1382" s="166"/>
    </row>
    <row r="1383" spans="4:4" s="21" customFormat="1">
      <c r="D1383" s="166"/>
    </row>
    <row r="1384" spans="4:4" s="21" customFormat="1">
      <c r="D1384" s="166"/>
    </row>
    <row r="1385" spans="4:4" s="21" customFormat="1">
      <c r="D1385" s="166"/>
    </row>
    <row r="1386" spans="4:4" s="21" customFormat="1">
      <c r="D1386" s="166"/>
    </row>
    <row r="1387" spans="4:4" s="21" customFormat="1">
      <c r="D1387" s="166"/>
    </row>
    <row r="1388" spans="4:4" s="21" customFormat="1">
      <c r="D1388" s="166"/>
    </row>
    <row r="1389" spans="4:4" s="21" customFormat="1">
      <c r="D1389" s="166"/>
    </row>
    <row r="1390" spans="4:4" s="21" customFormat="1">
      <c r="D1390" s="166"/>
    </row>
    <row r="1391" spans="4:4" s="21" customFormat="1">
      <c r="D1391" s="166"/>
    </row>
    <row r="1392" spans="4:4" s="21" customFormat="1">
      <c r="D1392" s="166"/>
    </row>
    <row r="1393" spans="4:4" s="21" customFormat="1">
      <c r="D1393" s="166"/>
    </row>
    <row r="1394" spans="4:4" s="21" customFormat="1">
      <c r="D1394" s="166"/>
    </row>
    <row r="1395" spans="4:4" s="21" customFormat="1">
      <c r="D1395" s="166"/>
    </row>
    <row r="1396" spans="4:4" s="21" customFormat="1">
      <c r="D1396" s="166"/>
    </row>
    <row r="1397" spans="4:4" s="21" customFormat="1">
      <c r="D1397" s="166"/>
    </row>
    <row r="1398" spans="4:4" s="21" customFormat="1">
      <c r="D1398" s="166"/>
    </row>
    <row r="1399" spans="4:4" s="21" customFormat="1">
      <c r="D1399" s="166"/>
    </row>
    <row r="1400" spans="4:4" s="21" customFormat="1">
      <c r="D1400" s="166"/>
    </row>
    <row r="1401" spans="4:4" s="21" customFormat="1">
      <c r="D1401" s="166"/>
    </row>
    <row r="1402" spans="4:4" s="21" customFormat="1">
      <c r="D1402" s="166"/>
    </row>
    <row r="1403" spans="4:4" s="21" customFormat="1">
      <c r="D1403" s="166"/>
    </row>
    <row r="1404" spans="4:4" s="21" customFormat="1">
      <c r="D1404" s="166"/>
    </row>
    <row r="1405" spans="4:4" s="21" customFormat="1">
      <c r="D1405" s="166"/>
    </row>
    <row r="1406" spans="4:4" s="21" customFormat="1">
      <c r="D1406" s="166"/>
    </row>
    <row r="1407" spans="4:4" s="21" customFormat="1">
      <c r="D1407" s="166"/>
    </row>
    <row r="1408" spans="4:4" s="21" customFormat="1">
      <c r="D1408" s="166"/>
    </row>
    <row r="1409" spans="4:4" s="21" customFormat="1">
      <c r="D1409" s="166"/>
    </row>
    <row r="1410" spans="4:4" s="21" customFormat="1">
      <c r="D1410" s="166"/>
    </row>
    <row r="1411" spans="4:4" s="21" customFormat="1">
      <c r="D1411" s="166"/>
    </row>
    <row r="1412" spans="4:4" s="21" customFormat="1">
      <c r="D1412" s="166"/>
    </row>
    <row r="1413" spans="4:4" s="21" customFormat="1">
      <c r="D1413" s="166"/>
    </row>
    <row r="1414" spans="4:4" s="21" customFormat="1">
      <c r="D1414" s="166"/>
    </row>
    <row r="1415" spans="4:4" s="21" customFormat="1">
      <c r="D1415" s="166"/>
    </row>
    <row r="1416" spans="4:4" s="21" customFormat="1">
      <c r="D1416" s="166"/>
    </row>
    <row r="1417" spans="4:4" s="21" customFormat="1">
      <c r="D1417" s="166"/>
    </row>
    <row r="1418" spans="4:4" s="21" customFormat="1">
      <c r="D1418" s="166"/>
    </row>
    <row r="1419" spans="4:4" s="21" customFormat="1">
      <c r="D1419" s="166"/>
    </row>
    <row r="1420" spans="4:4" s="21" customFormat="1">
      <c r="D1420" s="166"/>
    </row>
    <row r="1421" spans="4:4" s="21" customFormat="1">
      <c r="D1421" s="166"/>
    </row>
    <row r="1422" spans="4:4" s="21" customFormat="1">
      <c r="D1422" s="166"/>
    </row>
    <row r="1423" spans="4:4" s="21" customFormat="1">
      <c r="D1423" s="166"/>
    </row>
    <row r="1424" spans="4:4" s="21" customFormat="1">
      <c r="D1424" s="166"/>
    </row>
    <row r="1425" spans="4:4" s="21" customFormat="1">
      <c r="D1425" s="166"/>
    </row>
    <row r="1426" spans="4:4" s="21" customFormat="1">
      <c r="D1426" s="166"/>
    </row>
    <row r="1427" spans="4:4" s="21" customFormat="1">
      <c r="D1427" s="166"/>
    </row>
    <row r="1428" spans="4:4" s="21" customFormat="1">
      <c r="D1428" s="166"/>
    </row>
    <row r="1429" spans="4:4" s="21" customFormat="1">
      <c r="D1429" s="166"/>
    </row>
    <row r="1430" spans="4:4" s="21" customFormat="1">
      <c r="D1430" s="166"/>
    </row>
    <row r="1431" spans="4:4" s="21" customFormat="1">
      <c r="D1431" s="166"/>
    </row>
    <row r="1432" spans="4:4" s="21" customFormat="1">
      <c r="D1432" s="166"/>
    </row>
    <row r="1433" spans="4:4" s="21" customFormat="1">
      <c r="D1433" s="166"/>
    </row>
    <row r="1434" spans="4:4" s="21" customFormat="1">
      <c r="D1434" s="166"/>
    </row>
    <row r="1435" spans="4:4" s="21" customFormat="1">
      <c r="D1435" s="166"/>
    </row>
    <row r="1436" spans="4:4" s="21" customFormat="1">
      <c r="D1436" s="166"/>
    </row>
    <row r="1437" spans="4:4" s="21" customFormat="1">
      <c r="D1437" s="166"/>
    </row>
    <row r="1438" spans="4:4" s="21" customFormat="1">
      <c r="D1438" s="166"/>
    </row>
    <row r="1439" spans="4:4" s="21" customFormat="1">
      <c r="D1439" s="166"/>
    </row>
    <row r="1440" spans="4:4" s="21" customFormat="1">
      <c r="D1440" s="166"/>
    </row>
    <row r="1441" spans="4:4" s="21" customFormat="1">
      <c r="D1441" s="166"/>
    </row>
    <row r="1442" spans="4:4" s="21" customFormat="1">
      <c r="D1442" s="166"/>
    </row>
    <row r="1443" spans="4:4" s="21" customFormat="1">
      <c r="D1443" s="166"/>
    </row>
    <row r="1444" spans="4:4" s="21" customFormat="1">
      <c r="D1444" s="166"/>
    </row>
    <row r="1445" spans="4:4" s="21" customFormat="1">
      <c r="D1445" s="166"/>
    </row>
    <row r="1446" spans="4:4" s="21" customFormat="1">
      <c r="D1446" s="166"/>
    </row>
    <row r="1447" spans="4:4" s="21" customFormat="1">
      <c r="D1447" s="166"/>
    </row>
    <row r="1448" spans="4:4" s="21" customFormat="1">
      <c r="D1448" s="166"/>
    </row>
    <row r="1449" spans="4:4" s="21" customFormat="1">
      <c r="D1449" s="166"/>
    </row>
    <row r="1450" spans="4:4" s="21" customFormat="1">
      <c r="D1450" s="166"/>
    </row>
    <row r="1451" spans="4:4" s="21" customFormat="1">
      <c r="D1451" s="166"/>
    </row>
    <row r="1452" spans="4:4" s="21" customFormat="1">
      <c r="D1452" s="166"/>
    </row>
    <row r="1453" spans="4:4" s="21" customFormat="1">
      <c r="D1453" s="166"/>
    </row>
    <row r="1454" spans="4:4" s="21" customFormat="1">
      <c r="D1454" s="166"/>
    </row>
    <row r="1455" spans="4:4" s="21" customFormat="1">
      <c r="D1455" s="166"/>
    </row>
    <row r="1456" spans="4:4" s="21" customFormat="1">
      <c r="D1456" s="166"/>
    </row>
    <row r="1457" spans="4:4" s="21" customFormat="1">
      <c r="D1457" s="166"/>
    </row>
    <row r="1458" spans="4:4" s="21" customFormat="1">
      <c r="D1458" s="166"/>
    </row>
    <row r="1459" spans="4:4" s="21" customFormat="1">
      <c r="D1459" s="166"/>
    </row>
    <row r="1460" spans="4:4" s="21" customFormat="1">
      <c r="D1460" s="166"/>
    </row>
    <row r="1461" spans="4:4" s="21" customFormat="1">
      <c r="D1461" s="166"/>
    </row>
    <row r="1462" spans="4:4" s="21" customFormat="1">
      <c r="D1462" s="166"/>
    </row>
    <row r="1463" spans="4:4" s="21" customFormat="1">
      <c r="D1463" s="166"/>
    </row>
    <row r="1464" spans="4:4" s="21" customFormat="1">
      <c r="D1464" s="166"/>
    </row>
    <row r="1465" spans="4:4" s="21" customFormat="1">
      <c r="D1465" s="166"/>
    </row>
    <row r="1466" spans="4:4" s="21" customFormat="1">
      <c r="D1466" s="166"/>
    </row>
    <row r="1467" spans="4:4" s="21" customFormat="1">
      <c r="D1467" s="166"/>
    </row>
    <row r="1468" spans="4:4" s="21" customFormat="1">
      <c r="D1468" s="166"/>
    </row>
    <row r="1469" spans="4:4" s="21" customFormat="1">
      <c r="D1469" s="166"/>
    </row>
    <row r="1470" spans="4:4" s="21" customFormat="1">
      <c r="D1470" s="166"/>
    </row>
    <row r="1471" spans="4:4" s="21" customFormat="1">
      <c r="D1471" s="166"/>
    </row>
    <row r="1472" spans="4:4" s="21" customFormat="1">
      <c r="D1472" s="166"/>
    </row>
    <row r="1473" spans="4:4" s="21" customFormat="1">
      <c r="D1473" s="166"/>
    </row>
    <row r="1474" spans="4:4" s="21" customFormat="1">
      <c r="D1474" s="166"/>
    </row>
    <row r="1475" spans="4:4" s="21" customFormat="1">
      <c r="D1475" s="166"/>
    </row>
    <row r="1476" spans="4:4" s="21" customFormat="1">
      <c r="D1476" s="166"/>
    </row>
    <row r="1477" spans="4:4" s="21" customFormat="1">
      <c r="D1477" s="166"/>
    </row>
    <row r="1478" spans="4:4" s="21" customFormat="1">
      <c r="D1478" s="166"/>
    </row>
    <row r="1479" spans="4:4" s="21" customFormat="1">
      <c r="D1479" s="166"/>
    </row>
    <row r="1480" spans="4:4" s="21" customFormat="1">
      <c r="D1480" s="166"/>
    </row>
    <row r="1481" spans="4:4" s="21" customFormat="1">
      <c r="D1481" s="166"/>
    </row>
    <row r="1482" spans="4:4" s="21" customFormat="1">
      <c r="D1482" s="166"/>
    </row>
    <row r="1483" spans="4:4" s="21" customFormat="1">
      <c r="D1483" s="166"/>
    </row>
    <row r="1484" spans="4:4" s="21" customFormat="1">
      <c r="D1484" s="166"/>
    </row>
    <row r="1485" spans="4:4" s="21" customFormat="1">
      <c r="D1485" s="166"/>
    </row>
    <row r="1486" spans="4:4" s="21" customFormat="1">
      <c r="D1486" s="166"/>
    </row>
    <row r="1487" spans="4:4" s="21" customFormat="1">
      <c r="D1487" s="166"/>
    </row>
    <row r="1488" spans="4:4" s="21" customFormat="1">
      <c r="D1488" s="166"/>
    </row>
    <row r="1489" spans="4:4" s="21" customFormat="1">
      <c r="D1489" s="166"/>
    </row>
    <row r="1490" spans="4:4" s="21" customFormat="1">
      <c r="D1490" s="166"/>
    </row>
    <row r="1491" spans="4:4" s="21" customFormat="1">
      <c r="D1491" s="166"/>
    </row>
    <row r="1492" spans="4:4" s="21" customFormat="1">
      <c r="D1492" s="166"/>
    </row>
    <row r="1493" spans="4:4" s="21" customFormat="1">
      <c r="D1493" s="166"/>
    </row>
    <row r="1494" spans="4:4" s="21" customFormat="1">
      <c r="D1494" s="166"/>
    </row>
    <row r="1495" spans="4:4" s="21" customFormat="1">
      <c r="D1495" s="166"/>
    </row>
    <row r="1496" spans="4:4" s="21" customFormat="1">
      <c r="D1496" s="166"/>
    </row>
    <row r="1497" spans="4:4" s="21" customFormat="1">
      <c r="D1497" s="166"/>
    </row>
    <row r="1498" spans="4:4" s="21" customFormat="1">
      <c r="D1498" s="166"/>
    </row>
    <row r="1499" spans="4:4" s="21" customFormat="1">
      <c r="D1499" s="166"/>
    </row>
    <row r="1500" spans="4:4" s="21" customFormat="1">
      <c r="D1500" s="166"/>
    </row>
    <row r="1501" spans="4:4" s="21" customFormat="1">
      <c r="D1501" s="166"/>
    </row>
    <row r="1502" spans="4:4" s="21" customFormat="1">
      <c r="D1502" s="166"/>
    </row>
    <row r="1503" spans="4:4" s="21" customFormat="1">
      <c r="D1503" s="166"/>
    </row>
    <row r="1504" spans="4:4" s="21" customFormat="1">
      <c r="D1504" s="166"/>
    </row>
    <row r="1505" spans="4:4" s="21" customFormat="1">
      <c r="D1505" s="166"/>
    </row>
    <row r="1506" spans="4:4" s="21" customFormat="1">
      <c r="D1506" s="166"/>
    </row>
    <row r="1507" spans="4:4" s="21" customFormat="1">
      <c r="D1507" s="166"/>
    </row>
    <row r="1508" spans="4:4" s="21" customFormat="1">
      <c r="D1508" s="166"/>
    </row>
    <row r="1509" spans="4:4" s="21" customFormat="1">
      <c r="D1509" s="166"/>
    </row>
    <row r="1510" spans="4:4" s="21" customFormat="1">
      <c r="D1510" s="166"/>
    </row>
    <row r="1511" spans="4:4" s="21" customFormat="1">
      <c r="D1511" s="166"/>
    </row>
    <row r="1512" spans="4:4" s="21" customFormat="1">
      <c r="D1512" s="166"/>
    </row>
    <row r="1513" spans="4:4" s="21" customFormat="1">
      <c r="D1513" s="166"/>
    </row>
    <row r="1514" spans="4:4" s="21" customFormat="1">
      <c r="D1514" s="166"/>
    </row>
    <row r="1515" spans="4:4" s="21" customFormat="1">
      <c r="D1515" s="166"/>
    </row>
    <row r="1516" spans="4:4" s="21" customFormat="1">
      <c r="D1516" s="166"/>
    </row>
    <row r="1517" spans="4:4" s="21" customFormat="1">
      <c r="D1517" s="166"/>
    </row>
    <row r="1518" spans="4:4" s="21" customFormat="1">
      <c r="D1518" s="166"/>
    </row>
    <row r="1519" spans="4:4" s="21" customFormat="1">
      <c r="D1519" s="166"/>
    </row>
    <row r="1520" spans="4:4" s="21" customFormat="1">
      <c r="D1520" s="166"/>
    </row>
    <row r="1521" spans="4:4" s="21" customFormat="1">
      <c r="D1521" s="166"/>
    </row>
    <row r="1522" spans="4:4" s="21" customFormat="1">
      <c r="D1522" s="166"/>
    </row>
    <row r="1523" spans="4:4" s="21" customFormat="1">
      <c r="D1523" s="166"/>
    </row>
    <row r="1524" spans="4:4" s="21" customFormat="1">
      <c r="D1524" s="166"/>
    </row>
    <row r="1525" spans="4:4" s="21" customFormat="1">
      <c r="D1525" s="166"/>
    </row>
    <row r="1526" spans="4:4" s="21" customFormat="1">
      <c r="D1526" s="166"/>
    </row>
    <row r="1527" spans="4:4" s="21" customFormat="1">
      <c r="D1527" s="166"/>
    </row>
    <row r="1528" spans="4:4" s="21" customFormat="1">
      <c r="D1528" s="166"/>
    </row>
    <row r="1529" spans="4:4" s="21" customFormat="1">
      <c r="D1529" s="166"/>
    </row>
    <row r="1530" spans="4:4" s="21" customFormat="1">
      <c r="D1530" s="166"/>
    </row>
    <row r="1531" spans="4:4" s="21" customFormat="1">
      <c r="D1531" s="166"/>
    </row>
    <row r="1532" spans="4:4" s="21" customFormat="1">
      <c r="D1532" s="166"/>
    </row>
    <row r="1533" spans="4:4" s="21" customFormat="1">
      <c r="D1533" s="166"/>
    </row>
    <row r="1534" spans="4:4" s="21" customFormat="1">
      <c r="D1534" s="166"/>
    </row>
    <row r="1535" spans="4:4" s="21" customFormat="1">
      <c r="D1535" s="166"/>
    </row>
    <row r="1536" spans="4:4" s="21" customFormat="1">
      <c r="D1536" s="166"/>
    </row>
    <row r="1537" spans="4:4" s="21" customFormat="1">
      <c r="D1537" s="166"/>
    </row>
    <row r="1538" spans="4:4" s="21" customFormat="1">
      <c r="D1538" s="166"/>
    </row>
    <row r="1539" spans="4:4" s="21" customFormat="1">
      <c r="D1539" s="166"/>
    </row>
    <row r="1540" spans="4:4" s="21" customFormat="1">
      <c r="D1540" s="166"/>
    </row>
    <row r="1541" spans="4:4" s="21" customFormat="1">
      <c r="D1541" s="166"/>
    </row>
    <row r="1542" spans="4:4" s="21" customFormat="1">
      <c r="D1542" s="166"/>
    </row>
    <row r="1543" spans="4:4" s="21" customFormat="1">
      <c r="D1543" s="166"/>
    </row>
    <row r="1544" spans="4:4" s="21" customFormat="1">
      <c r="D1544" s="166"/>
    </row>
    <row r="1545" spans="4:4" s="21" customFormat="1">
      <c r="D1545" s="166"/>
    </row>
    <row r="1546" spans="4:4" s="21" customFormat="1">
      <c r="D1546" s="166"/>
    </row>
    <row r="1547" spans="4:4" s="21" customFormat="1">
      <c r="D1547" s="166"/>
    </row>
    <row r="1548" spans="4:4" s="21" customFormat="1">
      <c r="D1548" s="166"/>
    </row>
    <row r="1549" spans="4:4" s="21" customFormat="1">
      <c r="D1549" s="166"/>
    </row>
    <row r="1550" spans="4:4" s="21" customFormat="1">
      <c r="D1550" s="166"/>
    </row>
    <row r="1551" spans="4:4" s="21" customFormat="1">
      <c r="D1551" s="166"/>
    </row>
    <row r="1552" spans="4:4" s="21" customFormat="1">
      <c r="D1552" s="166"/>
    </row>
    <row r="1553" spans="4:4" s="21" customFormat="1">
      <c r="D1553" s="166"/>
    </row>
    <row r="1554" spans="4:4" s="21" customFormat="1">
      <c r="D1554" s="166"/>
    </row>
    <row r="1555" spans="4:4" s="21" customFormat="1">
      <c r="D1555" s="166"/>
    </row>
    <row r="1556" spans="4:4" s="21" customFormat="1">
      <c r="D1556" s="166"/>
    </row>
    <row r="1557" spans="4:4" s="21" customFormat="1">
      <c r="D1557" s="166"/>
    </row>
    <row r="1558" spans="4:4" s="21" customFormat="1">
      <c r="D1558" s="166"/>
    </row>
    <row r="1559" spans="4:4" s="21" customFormat="1">
      <c r="D1559" s="166"/>
    </row>
    <row r="1560" spans="4:4" s="21" customFormat="1">
      <c r="D1560" s="166"/>
    </row>
    <row r="1561" spans="4:4" s="21" customFormat="1">
      <c r="D1561" s="166"/>
    </row>
    <row r="1562" spans="4:4" s="21" customFormat="1">
      <c r="D1562" s="166"/>
    </row>
    <row r="1563" spans="4:4" s="21" customFormat="1">
      <c r="D1563" s="166"/>
    </row>
    <row r="1564" spans="4:4" s="21" customFormat="1">
      <c r="D1564" s="166"/>
    </row>
    <row r="1565" spans="4:4" s="21" customFormat="1">
      <c r="D1565" s="166"/>
    </row>
    <row r="1566" spans="4:4" s="21" customFormat="1">
      <c r="D1566" s="166"/>
    </row>
    <row r="1567" spans="4:4" s="21" customFormat="1">
      <c r="D1567" s="166"/>
    </row>
    <row r="1568" spans="4:4" s="21" customFormat="1">
      <c r="D1568" s="166"/>
    </row>
    <row r="1569" spans="4:4" s="21" customFormat="1">
      <c r="D1569" s="166"/>
    </row>
    <row r="1570" spans="4:4" s="21" customFormat="1">
      <c r="D1570" s="166"/>
    </row>
    <row r="1571" spans="4:4" s="21" customFormat="1">
      <c r="D1571" s="166"/>
    </row>
    <row r="1572" spans="4:4" s="21" customFormat="1">
      <c r="D1572" s="166"/>
    </row>
    <row r="1573" spans="4:4" s="21" customFormat="1">
      <c r="D1573" s="166"/>
    </row>
    <row r="1574" spans="4:4" s="21" customFormat="1">
      <c r="D1574" s="166"/>
    </row>
    <row r="1575" spans="4:4" s="21" customFormat="1">
      <c r="D1575" s="166"/>
    </row>
    <row r="1576" spans="4:4" s="21" customFormat="1">
      <c r="D1576" s="166"/>
    </row>
    <row r="1577" spans="4:4" s="21" customFormat="1">
      <c r="D1577" s="166"/>
    </row>
    <row r="1578" spans="4:4" s="21" customFormat="1">
      <c r="D1578" s="166"/>
    </row>
    <row r="1579" spans="4:4" s="21" customFormat="1">
      <c r="D1579" s="166"/>
    </row>
    <row r="1580" spans="4:4" s="21" customFormat="1">
      <c r="D1580" s="166"/>
    </row>
    <row r="1581" spans="4:4" s="21" customFormat="1">
      <c r="D1581" s="166"/>
    </row>
    <row r="1582" spans="4:4" s="21" customFormat="1">
      <c r="D1582" s="166"/>
    </row>
    <row r="1583" spans="4:4" s="21" customFormat="1">
      <c r="D1583" s="166"/>
    </row>
    <row r="1584" spans="4:4" s="21" customFormat="1">
      <c r="D1584" s="166"/>
    </row>
    <row r="1585" spans="4:4" s="21" customFormat="1">
      <c r="D1585" s="166"/>
    </row>
    <row r="1586" spans="4:4" s="21" customFormat="1">
      <c r="D1586" s="166"/>
    </row>
    <row r="1587" spans="4:4" s="21" customFormat="1">
      <c r="D1587" s="166"/>
    </row>
    <row r="1588" spans="4:4" s="21" customFormat="1">
      <c r="D1588" s="166"/>
    </row>
    <row r="1589" spans="4:4" s="21" customFormat="1">
      <c r="D1589" s="166"/>
    </row>
    <row r="1590" spans="4:4" s="21" customFormat="1">
      <c r="D1590" s="166"/>
    </row>
    <row r="1591" spans="4:4" s="21" customFormat="1">
      <c r="D1591" s="166"/>
    </row>
    <row r="1592" spans="4:4" s="21" customFormat="1">
      <c r="D1592" s="166"/>
    </row>
    <row r="1593" spans="4:4" s="21" customFormat="1">
      <c r="D1593" s="166"/>
    </row>
    <row r="1594" spans="4:4" s="21" customFormat="1">
      <c r="D1594" s="166"/>
    </row>
    <row r="1595" spans="4:4" s="21" customFormat="1">
      <c r="D1595" s="166"/>
    </row>
    <row r="1596" spans="4:4" s="21" customFormat="1">
      <c r="D1596" s="166"/>
    </row>
    <row r="1597" spans="4:4" s="21" customFormat="1">
      <c r="D1597" s="166"/>
    </row>
    <row r="1598" spans="4:4" s="21" customFormat="1">
      <c r="D1598" s="166"/>
    </row>
    <row r="1599" spans="4:4" s="21" customFormat="1">
      <c r="D1599" s="166"/>
    </row>
    <row r="1600" spans="4:4" s="21" customFormat="1">
      <c r="D1600" s="166"/>
    </row>
    <row r="1601" spans="4:4" s="21" customFormat="1">
      <c r="D1601" s="166"/>
    </row>
    <row r="1602" spans="4:4" s="21" customFormat="1">
      <c r="D1602" s="166"/>
    </row>
    <row r="1603" spans="4:4" s="21" customFormat="1">
      <c r="D1603" s="166"/>
    </row>
    <row r="1604" spans="4:4" s="21" customFormat="1">
      <c r="D1604" s="166"/>
    </row>
    <row r="1605" spans="4:4" s="21" customFormat="1">
      <c r="D1605" s="166"/>
    </row>
    <row r="1606" spans="4:4" s="21" customFormat="1">
      <c r="D1606" s="166"/>
    </row>
    <row r="1607" spans="4:4" s="21" customFormat="1">
      <c r="D1607" s="166"/>
    </row>
    <row r="1608" spans="4:4" s="21" customFormat="1">
      <c r="D1608" s="166"/>
    </row>
    <row r="1609" spans="4:4" s="21" customFormat="1">
      <c r="D1609" s="166"/>
    </row>
    <row r="1610" spans="4:4" s="21" customFormat="1">
      <c r="D1610" s="166"/>
    </row>
    <row r="1611" spans="4:4" s="21" customFormat="1">
      <c r="D1611" s="166"/>
    </row>
    <row r="1612" spans="4:4" s="21" customFormat="1">
      <c r="D1612" s="166"/>
    </row>
    <row r="1613" spans="4:4" s="21" customFormat="1">
      <c r="D1613" s="166"/>
    </row>
    <row r="1614" spans="4:4" s="21" customFormat="1">
      <c r="D1614" s="166"/>
    </row>
    <row r="1615" spans="4:4" s="21" customFormat="1">
      <c r="D1615" s="166"/>
    </row>
    <row r="1616" spans="4:4" s="21" customFormat="1">
      <c r="D1616" s="166"/>
    </row>
    <row r="1617" spans="4:4" s="21" customFormat="1">
      <c r="D1617" s="166"/>
    </row>
    <row r="1618" spans="4:4" s="21" customFormat="1">
      <c r="D1618" s="166"/>
    </row>
    <row r="1619" spans="4:4" s="21" customFormat="1">
      <c r="D1619" s="166"/>
    </row>
    <row r="1620" spans="4:4" s="21" customFormat="1">
      <c r="D1620" s="166"/>
    </row>
    <row r="1621" spans="4:4" s="21" customFormat="1">
      <c r="D1621" s="166"/>
    </row>
    <row r="1622" spans="4:4" s="21" customFormat="1">
      <c r="D1622" s="166"/>
    </row>
    <row r="1623" spans="4:4" s="21" customFormat="1">
      <c r="D1623" s="166"/>
    </row>
    <row r="1624" spans="4:4" s="21" customFormat="1">
      <c r="D1624" s="166"/>
    </row>
    <row r="1625" spans="4:4" s="21" customFormat="1">
      <c r="D1625" s="166"/>
    </row>
    <row r="1626" spans="4:4" s="21" customFormat="1">
      <c r="D1626" s="166"/>
    </row>
    <row r="1627" spans="4:4" s="21" customFormat="1">
      <c r="D1627" s="166"/>
    </row>
    <row r="1628" spans="4:4" s="21" customFormat="1">
      <c r="D1628" s="166"/>
    </row>
    <row r="1629" spans="4:4" s="21" customFormat="1">
      <c r="D1629" s="166"/>
    </row>
    <row r="1630" spans="4:4" s="21" customFormat="1">
      <c r="D1630" s="166"/>
    </row>
    <row r="1631" spans="4:4" s="21" customFormat="1">
      <c r="D1631" s="166"/>
    </row>
    <row r="1632" spans="4:4" s="21" customFormat="1">
      <c r="D1632" s="166"/>
    </row>
    <row r="1633" spans="4:4" s="21" customFormat="1">
      <c r="D1633" s="166"/>
    </row>
    <row r="1634" spans="4:4" s="21" customFormat="1">
      <c r="D1634" s="166"/>
    </row>
    <row r="1635" spans="4:4" s="21" customFormat="1">
      <c r="D1635" s="166"/>
    </row>
    <row r="1636" spans="4:4" s="21" customFormat="1">
      <c r="D1636" s="166"/>
    </row>
    <row r="1637" spans="4:4" s="21" customFormat="1">
      <c r="D1637" s="166"/>
    </row>
    <row r="1638" spans="4:4" s="21" customFormat="1">
      <c r="D1638" s="166"/>
    </row>
    <row r="1639" spans="4:4" s="21" customFormat="1">
      <c r="D1639" s="166"/>
    </row>
    <row r="1640" spans="4:4" s="21" customFormat="1">
      <c r="D1640" s="166"/>
    </row>
    <row r="1641" spans="4:4" s="21" customFormat="1">
      <c r="D1641" s="166"/>
    </row>
    <row r="1642" spans="4:4" s="21" customFormat="1">
      <c r="D1642" s="166"/>
    </row>
    <row r="1643" spans="4:4" s="21" customFormat="1">
      <c r="D1643" s="166"/>
    </row>
    <row r="1644" spans="4:4" s="21" customFormat="1">
      <c r="D1644" s="166"/>
    </row>
    <row r="1645" spans="4:4" s="21" customFormat="1">
      <c r="D1645" s="166"/>
    </row>
    <row r="1646" spans="4:4" s="21" customFormat="1">
      <c r="D1646" s="166"/>
    </row>
    <row r="1647" spans="4:4" s="21" customFormat="1">
      <c r="D1647" s="166"/>
    </row>
    <row r="1648" spans="4:4" s="21" customFormat="1">
      <c r="D1648" s="166"/>
    </row>
    <row r="1649" spans="4:4" s="21" customFormat="1">
      <c r="D1649" s="166"/>
    </row>
    <row r="1650" spans="4:4" s="21" customFormat="1">
      <c r="D1650" s="166"/>
    </row>
    <row r="1651" spans="4:4" s="21" customFormat="1">
      <c r="D1651" s="166"/>
    </row>
    <row r="1652" spans="4:4" s="21" customFormat="1">
      <c r="D1652" s="166"/>
    </row>
    <row r="1653" spans="4:4" s="21" customFormat="1">
      <c r="D1653" s="166"/>
    </row>
    <row r="1654" spans="4:4" s="21" customFormat="1">
      <c r="D1654" s="166"/>
    </row>
    <row r="1655" spans="4:4" s="21" customFormat="1">
      <c r="D1655" s="166"/>
    </row>
    <row r="1656" spans="4:4" s="21" customFormat="1">
      <c r="D1656" s="166"/>
    </row>
    <row r="1657" spans="4:4" s="21" customFormat="1">
      <c r="D1657" s="166"/>
    </row>
    <row r="1658" spans="4:4" s="21" customFormat="1">
      <c r="D1658" s="166"/>
    </row>
    <row r="1659" spans="4:4" s="21" customFormat="1">
      <c r="D1659" s="166"/>
    </row>
    <row r="1660" spans="4:4" s="21" customFormat="1">
      <c r="D1660" s="166"/>
    </row>
    <row r="1661" spans="4:4" s="21" customFormat="1">
      <c r="D1661" s="166"/>
    </row>
    <row r="1662" spans="4:4" s="21" customFormat="1">
      <c r="D1662" s="166"/>
    </row>
    <row r="1663" spans="4:4" s="21" customFormat="1">
      <c r="D1663" s="166"/>
    </row>
    <row r="1664" spans="4:4" s="21" customFormat="1">
      <c r="D1664" s="166"/>
    </row>
    <row r="1665" spans="4:4" s="21" customFormat="1">
      <c r="D1665" s="166"/>
    </row>
    <row r="1666" spans="4:4" s="21" customFormat="1">
      <c r="D1666" s="166"/>
    </row>
    <row r="1667" spans="4:4" s="21" customFormat="1">
      <c r="D1667" s="166"/>
    </row>
    <row r="1668" spans="4:4" s="21" customFormat="1">
      <c r="D1668" s="166"/>
    </row>
    <row r="1669" spans="4:4" s="21" customFormat="1">
      <c r="D1669" s="166"/>
    </row>
    <row r="1670" spans="4:4" s="21" customFormat="1">
      <c r="D1670" s="166"/>
    </row>
    <row r="1671" spans="4:4" s="21" customFormat="1">
      <c r="D1671" s="166"/>
    </row>
    <row r="1672" spans="4:4" s="21" customFormat="1">
      <c r="D1672" s="166"/>
    </row>
    <row r="1673" spans="4:4" s="21" customFormat="1">
      <c r="D1673" s="166"/>
    </row>
    <row r="1674" spans="4:4" s="21" customFormat="1">
      <c r="D1674" s="166"/>
    </row>
    <row r="1675" spans="4:4" s="21" customFormat="1">
      <c r="D1675" s="166"/>
    </row>
    <row r="1676" spans="4:4" s="21" customFormat="1">
      <c r="D1676" s="166"/>
    </row>
    <row r="1677" spans="4:4" s="21" customFormat="1">
      <c r="D1677" s="166"/>
    </row>
    <row r="1678" spans="4:4" s="21" customFormat="1">
      <c r="D1678" s="166"/>
    </row>
    <row r="1679" spans="4:4" s="21" customFormat="1">
      <c r="D1679" s="166"/>
    </row>
    <row r="1680" spans="4:4" s="21" customFormat="1">
      <c r="D1680" s="166"/>
    </row>
    <row r="1681" spans="4:4" s="21" customFormat="1">
      <c r="D1681" s="166"/>
    </row>
    <row r="1682" spans="4:4" s="21" customFormat="1">
      <c r="D1682" s="166"/>
    </row>
    <row r="1683" spans="4:4" s="21" customFormat="1">
      <c r="D1683" s="166"/>
    </row>
    <row r="1684" spans="4:4" s="21" customFormat="1">
      <c r="D1684" s="166"/>
    </row>
    <row r="1685" spans="4:4" s="21" customFormat="1">
      <c r="D1685" s="166"/>
    </row>
    <row r="1686" spans="4:4" s="21" customFormat="1">
      <c r="D1686" s="166"/>
    </row>
    <row r="1687" spans="4:4" s="21" customFormat="1">
      <c r="D1687" s="166"/>
    </row>
    <row r="1688" spans="4:4" s="21" customFormat="1">
      <c r="D1688" s="166"/>
    </row>
    <row r="1689" spans="4:4" s="21" customFormat="1">
      <c r="D1689" s="166"/>
    </row>
    <row r="1690" spans="4:4" s="21" customFormat="1">
      <c r="D1690" s="166"/>
    </row>
    <row r="1691" spans="4:4" s="21" customFormat="1">
      <c r="D1691" s="166"/>
    </row>
    <row r="1692" spans="4:4" s="21" customFormat="1">
      <c r="D1692" s="166"/>
    </row>
    <row r="1693" spans="4:4" s="21" customFormat="1">
      <c r="D1693" s="166"/>
    </row>
    <row r="1694" spans="4:4" s="21" customFormat="1">
      <c r="D1694" s="166"/>
    </row>
    <row r="1695" spans="4:4" s="21" customFormat="1">
      <c r="D1695" s="166"/>
    </row>
    <row r="1696" spans="4:4" s="21" customFormat="1">
      <c r="D1696" s="166"/>
    </row>
    <row r="1697" spans="4:4" s="21" customFormat="1">
      <c r="D1697" s="166"/>
    </row>
    <row r="1698" spans="4:4" s="21" customFormat="1">
      <c r="D1698" s="166"/>
    </row>
    <row r="1699" spans="4:4" s="21" customFormat="1">
      <c r="D1699" s="166"/>
    </row>
    <row r="1700" spans="4:4" s="21" customFormat="1">
      <c r="D1700" s="166"/>
    </row>
    <row r="1701" spans="4:4" s="21" customFormat="1">
      <c r="D1701" s="166"/>
    </row>
    <row r="1702" spans="4:4" s="21" customFormat="1">
      <c r="D1702" s="166"/>
    </row>
    <row r="1703" spans="4:4" s="21" customFormat="1">
      <c r="D1703" s="166"/>
    </row>
    <row r="1704" spans="4:4" s="21" customFormat="1">
      <c r="D1704" s="166"/>
    </row>
    <row r="1705" spans="4:4" s="21" customFormat="1">
      <c r="D1705" s="166"/>
    </row>
    <row r="1706" spans="4:4" s="21" customFormat="1">
      <c r="D1706" s="166"/>
    </row>
    <row r="1707" spans="4:4" s="21" customFormat="1">
      <c r="D1707" s="166"/>
    </row>
    <row r="1708" spans="4:4" s="21" customFormat="1">
      <c r="D1708" s="166"/>
    </row>
    <row r="1709" spans="4:4" s="21" customFormat="1">
      <c r="D1709" s="166"/>
    </row>
    <row r="1710" spans="4:4" s="21" customFormat="1">
      <c r="D1710" s="166"/>
    </row>
    <row r="1711" spans="4:4" s="21" customFormat="1">
      <c r="D1711" s="166"/>
    </row>
    <row r="1712" spans="4:4" s="21" customFormat="1">
      <c r="D1712" s="166"/>
    </row>
    <row r="1713" spans="4:4" s="21" customFormat="1">
      <c r="D1713" s="166"/>
    </row>
    <row r="1714" spans="4:4" s="21" customFormat="1">
      <c r="D1714" s="166"/>
    </row>
    <row r="1715" spans="4:4" s="21" customFormat="1">
      <c r="D1715" s="166"/>
    </row>
    <row r="1716" spans="4:4" s="21" customFormat="1">
      <c r="D1716" s="166"/>
    </row>
    <row r="1717" spans="4:4" s="21" customFormat="1">
      <c r="D1717" s="166"/>
    </row>
    <row r="1718" spans="4:4" s="21" customFormat="1">
      <c r="D1718" s="166"/>
    </row>
    <row r="1719" spans="4:4" s="21" customFormat="1">
      <c r="D1719" s="166"/>
    </row>
    <row r="1720" spans="4:4" s="21" customFormat="1">
      <c r="D1720" s="166"/>
    </row>
    <row r="1721" spans="4:4" s="21" customFormat="1">
      <c r="D1721" s="166"/>
    </row>
    <row r="1722" spans="4:4" s="21" customFormat="1">
      <c r="D1722" s="166"/>
    </row>
    <row r="1723" spans="4:4" s="21" customFormat="1">
      <c r="D1723" s="166"/>
    </row>
    <row r="1724" spans="4:4" s="21" customFormat="1">
      <c r="D1724" s="166"/>
    </row>
    <row r="1725" spans="4:4" s="21" customFormat="1">
      <c r="D1725" s="166"/>
    </row>
    <row r="1726" spans="4:4" s="21" customFormat="1">
      <c r="D1726" s="166"/>
    </row>
    <row r="1727" spans="4:4" s="21" customFormat="1">
      <c r="D1727" s="166"/>
    </row>
    <row r="1728" spans="4:4" s="21" customFormat="1">
      <c r="D1728" s="166"/>
    </row>
    <row r="1729" spans="4:4" s="21" customFormat="1">
      <c r="D1729" s="166"/>
    </row>
    <row r="1730" spans="4:4" s="21" customFormat="1">
      <c r="D1730" s="166"/>
    </row>
    <row r="1731" spans="4:4" s="21" customFormat="1">
      <c r="D1731" s="166"/>
    </row>
    <row r="1732" spans="4:4" s="21" customFormat="1">
      <c r="D1732" s="166"/>
    </row>
    <row r="1733" spans="4:4" s="21" customFormat="1">
      <c r="D1733" s="166"/>
    </row>
    <row r="1734" spans="4:4" s="21" customFormat="1">
      <c r="D1734" s="166"/>
    </row>
    <row r="1735" spans="4:4" s="21" customFormat="1">
      <c r="D1735" s="166"/>
    </row>
    <row r="1736" spans="4:4" s="21" customFormat="1">
      <c r="D1736" s="166"/>
    </row>
    <row r="1737" spans="4:4" s="21" customFormat="1">
      <c r="D1737" s="166"/>
    </row>
    <row r="1738" spans="4:4" s="21" customFormat="1">
      <c r="D1738" s="166"/>
    </row>
    <row r="1739" spans="4:4" s="21" customFormat="1">
      <c r="D1739" s="166"/>
    </row>
    <row r="1740" spans="4:4" s="21" customFormat="1">
      <c r="D1740" s="166"/>
    </row>
    <row r="1741" spans="4:4" s="21" customFormat="1">
      <c r="D1741" s="166"/>
    </row>
    <row r="1742" spans="4:4" s="21" customFormat="1">
      <c r="D1742" s="166"/>
    </row>
    <row r="1743" spans="4:4" s="21" customFormat="1">
      <c r="D1743" s="166"/>
    </row>
    <row r="1744" spans="4:4" s="21" customFormat="1">
      <c r="D1744" s="166"/>
    </row>
    <row r="1745" spans="4:4" s="21" customFormat="1">
      <c r="D1745" s="166"/>
    </row>
    <row r="1746" spans="4:4" s="21" customFormat="1">
      <c r="D1746" s="166"/>
    </row>
    <row r="1747" spans="4:4" s="21" customFormat="1">
      <c r="D1747" s="166"/>
    </row>
    <row r="1748" spans="4:4" s="21" customFormat="1">
      <c r="D1748" s="166"/>
    </row>
    <row r="1749" spans="4:4" s="21" customFormat="1">
      <c r="D1749" s="166"/>
    </row>
    <row r="1750" spans="4:4" s="21" customFormat="1">
      <c r="D1750" s="166"/>
    </row>
    <row r="1751" spans="4:4" s="21" customFormat="1">
      <c r="D1751" s="166"/>
    </row>
    <row r="1752" spans="4:4" s="21" customFormat="1">
      <c r="D1752" s="166"/>
    </row>
    <row r="1753" spans="4:4" s="21" customFormat="1">
      <c r="D1753" s="166"/>
    </row>
    <row r="1754" spans="4:4" s="21" customFormat="1">
      <c r="D1754" s="166"/>
    </row>
    <row r="1755" spans="4:4" s="21" customFormat="1">
      <c r="D1755" s="166"/>
    </row>
    <row r="1756" spans="4:4" s="21" customFormat="1">
      <c r="D1756" s="166"/>
    </row>
    <row r="1757" spans="4:4" s="21" customFormat="1">
      <c r="D1757" s="166"/>
    </row>
    <row r="1758" spans="4:4" s="21" customFormat="1">
      <c r="D1758" s="166"/>
    </row>
    <row r="1759" spans="4:4" s="21" customFormat="1">
      <c r="D1759" s="166"/>
    </row>
    <row r="1760" spans="4:4" s="21" customFormat="1">
      <c r="D1760" s="166"/>
    </row>
    <row r="1761" spans="4:4" s="21" customFormat="1">
      <c r="D1761" s="166"/>
    </row>
    <row r="1762" spans="4:4" s="21" customFormat="1">
      <c r="D1762" s="166"/>
    </row>
    <row r="1763" spans="4:4" s="21" customFormat="1">
      <c r="D1763" s="166"/>
    </row>
    <row r="1764" spans="4:4" s="21" customFormat="1">
      <c r="D1764" s="166"/>
    </row>
    <row r="1765" spans="4:4" s="21" customFormat="1">
      <c r="D1765" s="166"/>
    </row>
    <row r="1766" spans="4:4" s="21" customFormat="1">
      <c r="D1766" s="166"/>
    </row>
    <row r="1767" spans="4:4" s="21" customFormat="1">
      <c r="D1767" s="166"/>
    </row>
    <row r="1768" spans="4:4" s="21" customFormat="1">
      <c r="D1768" s="166"/>
    </row>
    <row r="1769" spans="4:4" s="21" customFormat="1">
      <c r="D1769" s="166"/>
    </row>
    <row r="1770" spans="4:4" s="21" customFormat="1">
      <c r="D1770" s="166"/>
    </row>
    <row r="1771" spans="4:4" s="21" customFormat="1">
      <c r="D1771" s="166"/>
    </row>
    <row r="1772" spans="4:4" s="21" customFormat="1">
      <c r="D1772" s="166"/>
    </row>
    <row r="1773" spans="4:4" s="21" customFormat="1">
      <c r="D1773" s="166"/>
    </row>
    <row r="1774" spans="4:4" s="21" customFormat="1">
      <c r="D1774" s="166"/>
    </row>
    <row r="1775" spans="4:4" s="21" customFormat="1">
      <c r="D1775" s="166"/>
    </row>
    <row r="1776" spans="4:4" s="21" customFormat="1">
      <c r="D1776" s="166"/>
    </row>
    <row r="1777" spans="4:4" s="21" customFormat="1">
      <c r="D1777" s="166"/>
    </row>
    <row r="1778" spans="4:4" s="21" customFormat="1">
      <c r="D1778" s="166"/>
    </row>
    <row r="1779" spans="4:4" s="21" customFormat="1">
      <c r="D1779" s="166"/>
    </row>
    <row r="1780" spans="4:4" s="21" customFormat="1">
      <c r="D1780" s="166"/>
    </row>
    <row r="1781" spans="4:4" s="21" customFormat="1">
      <c r="D1781" s="166"/>
    </row>
    <row r="1782" spans="4:4" s="21" customFormat="1">
      <c r="D1782" s="166"/>
    </row>
    <row r="1783" spans="4:4" s="21" customFormat="1">
      <c r="D1783" s="166"/>
    </row>
    <row r="1784" spans="4:4" s="21" customFormat="1">
      <c r="D1784" s="166"/>
    </row>
    <row r="1785" spans="4:4" s="21" customFormat="1">
      <c r="D1785" s="166"/>
    </row>
    <row r="1786" spans="4:4" s="21" customFormat="1">
      <c r="D1786" s="166"/>
    </row>
    <row r="1787" spans="4:4" s="21" customFormat="1">
      <c r="D1787" s="166"/>
    </row>
    <row r="1788" spans="4:4" s="21" customFormat="1">
      <c r="D1788" s="166"/>
    </row>
    <row r="1789" spans="4:4" s="21" customFormat="1">
      <c r="D1789" s="166"/>
    </row>
    <row r="1790" spans="4:4" s="21" customFormat="1">
      <c r="D1790" s="166"/>
    </row>
    <row r="1791" spans="4:4" s="21" customFormat="1">
      <c r="D1791" s="166"/>
    </row>
    <row r="1792" spans="4:4" s="21" customFormat="1">
      <c r="D1792" s="166"/>
    </row>
    <row r="1793" spans="4:4" s="21" customFormat="1">
      <c r="D1793" s="166"/>
    </row>
    <row r="1794" spans="4:4" s="21" customFormat="1">
      <c r="D1794" s="166"/>
    </row>
    <row r="1795" spans="4:4" s="21" customFormat="1">
      <c r="D1795" s="166"/>
    </row>
    <row r="1796" spans="4:4" s="21" customFormat="1">
      <c r="D1796" s="166"/>
    </row>
    <row r="1797" spans="4:4" s="21" customFormat="1">
      <c r="D1797" s="166"/>
    </row>
    <row r="1798" spans="4:4" s="21" customFormat="1">
      <c r="D1798" s="166"/>
    </row>
    <row r="1799" spans="4:4" s="21" customFormat="1">
      <c r="D1799" s="166"/>
    </row>
    <row r="1800" spans="4:4" s="21" customFormat="1">
      <c r="D1800" s="166"/>
    </row>
    <row r="1801" spans="4:4" s="21" customFormat="1">
      <c r="D1801" s="166"/>
    </row>
    <row r="1802" spans="4:4" s="21" customFormat="1">
      <c r="D1802" s="166"/>
    </row>
    <row r="1803" spans="4:4" s="21" customFormat="1">
      <c r="D1803" s="166"/>
    </row>
    <row r="1804" spans="4:4" s="21" customFormat="1">
      <c r="D1804" s="166"/>
    </row>
    <row r="1805" spans="4:4" s="21" customFormat="1">
      <c r="D1805" s="166"/>
    </row>
    <row r="1806" spans="4:4" s="21" customFormat="1">
      <c r="D1806" s="166"/>
    </row>
    <row r="1807" spans="4:4" s="21" customFormat="1">
      <c r="D1807" s="166"/>
    </row>
    <row r="1808" spans="4:4" s="21" customFormat="1">
      <c r="D1808" s="166"/>
    </row>
    <row r="1809" spans="4:4" s="21" customFormat="1">
      <c r="D1809" s="166"/>
    </row>
    <row r="1810" spans="4:4" s="21" customFormat="1">
      <c r="D1810" s="166"/>
    </row>
    <row r="1811" spans="4:4" s="21" customFormat="1">
      <c r="D1811" s="166"/>
    </row>
    <row r="1812" spans="4:4" s="21" customFormat="1">
      <c r="D1812" s="166"/>
    </row>
    <row r="1813" spans="4:4" s="21" customFormat="1">
      <c r="D1813" s="166"/>
    </row>
    <row r="1814" spans="4:4" s="21" customFormat="1">
      <c r="D1814" s="166"/>
    </row>
    <row r="1815" spans="4:4" s="21" customFormat="1">
      <c r="D1815" s="166"/>
    </row>
    <row r="1816" spans="4:4" s="21" customFormat="1">
      <c r="D1816" s="166"/>
    </row>
    <row r="1817" spans="4:4" s="21" customFormat="1">
      <c r="D1817" s="166"/>
    </row>
    <row r="1818" spans="4:4" s="21" customFormat="1">
      <c r="D1818" s="166"/>
    </row>
    <row r="1819" spans="4:4" s="21" customFormat="1">
      <c r="D1819" s="166"/>
    </row>
    <row r="1820" spans="4:4" s="21" customFormat="1">
      <c r="D1820" s="166"/>
    </row>
    <row r="1821" spans="4:4" s="21" customFormat="1">
      <c r="D1821" s="166"/>
    </row>
    <row r="1822" spans="4:4" s="21" customFormat="1">
      <c r="D1822" s="166"/>
    </row>
    <row r="1823" spans="4:4" s="21" customFormat="1">
      <c r="D1823" s="166"/>
    </row>
    <row r="1824" spans="4:4" s="21" customFormat="1">
      <c r="D1824" s="166"/>
    </row>
    <row r="1825" spans="4:4" s="21" customFormat="1">
      <c r="D1825" s="166"/>
    </row>
    <row r="1826" spans="4:4" s="21" customFormat="1">
      <c r="D1826" s="166"/>
    </row>
    <row r="1827" spans="4:4" s="21" customFormat="1">
      <c r="D1827" s="166"/>
    </row>
    <row r="1828" spans="4:4" s="21" customFormat="1">
      <c r="D1828" s="166"/>
    </row>
    <row r="1829" spans="4:4" s="21" customFormat="1">
      <c r="D1829" s="166"/>
    </row>
    <row r="1830" spans="4:4" s="21" customFormat="1">
      <c r="D1830" s="166"/>
    </row>
    <row r="1831" spans="4:4" s="21" customFormat="1">
      <c r="D1831" s="166"/>
    </row>
    <row r="1832" spans="4:4" s="21" customFormat="1">
      <c r="D1832" s="166"/>
    </row>
    <row r="1833" spans="4:4" s="21" customFormat="1">
      <c r="D1833" s="166"/>
    </row>
    <row r="1834" spans="4:4" s="21" customFormat="1">
      <c r="D1834" s="166"/>
    </row>
    <row r="1835" spans="4:4" s="21" customFormat="1">
      <c r="D1835" s="166"/>
    </row>
    <row r="1836" spans="4:4" s="21" customFormat="1">
      <c r="D1836" s="166"/>
    </row>
    <row r="1837" spans="4:4" s="21" customFormat="1">
      <c r="D1837" s="166"/>
    </row>
    <row r="1838" spans="4:4" s="21" customFormat="1">
      <c r="D1838" s="166"/>
    </row>
    <row r="1839" spans="4:4" s="21" customFormat="1">
      <c r="D1839" s="166"/>
    </row>
    <row r="1840" spans="4:4" s="21" customFormat="1">
      <c r="D1840" s="166"/>
    </row>
    <row r="1841" spans="4:4" s="21" customFormat="1">
      <c r="D1841" s="166"/>
    </row>
    <row r="1842" spans="4:4" s="21" customFormat="1">
      <c r="D1842" s="166"/>
    </row>
    <row r="1843" spans="4:4" s="21" customFormat="1">
      <c r="D1843" s="166"/>
    </row>
    <row r="1844" spans="4:4" s="21" customFormat="1">
      <c r="D1844" s="166"/>
    </row>
    <row r="1845" spans="4:4" s="21" customFormat="1">
      <c r="D1845" s="166"/>
    </row>
    <row r="1846" spans="4:4" s="21" customFormat="1">
      <c r="D1846" s="166"/>
    </row>
    <row r="1847" spans="4:4" s="21" customFormat="1">
      <c r="D1847" s="166"/>
    </row>
    <row r="1848" spans="4:4" s="21" customFormat="1">
      <c r="D1848" s="166"/>
    </row>
    <row r="1849" spans="4:4" s="21" customFormat="1">
      <c r="D1849" s="166"/>
    </row>
    <row r="1850" spans="4:4" s="21" customFormat="1">
      <c r="D1850" s="166"/>
    </row>
    <row r="1851" spans="4:4" s="21" customFormat="1">
      <c r="D1851" s="166"/>
    </row>
    <row r="1852" spans="4:4" s="21" customFormat="1">
      <c r="D1852" s="166"/>
    </row>
    <row r="1853" spans="4:4" s="21" customFormat="1">
      <c r="D1853" s="166"/>
    </row>
    <row r="1854" spans="4:4" s="21" customFormat="1">
      <c r="D1854" s="166"/>
    </row>
    <row r="1855" spans="4:4" s="21" customFormat="1">
      <c r="D1855" s="166"/>
    </row>
    <row r="1856" spans="4:4" s="21" customFormat="1">
      <c r="D1856" s="166"/>
    </row>
    <row r="1857" spans="4:4" s="21" customFormat="1">
      <c r="D1857" s="166"/>
    </row>
    <row r="1858" spans="4:4" s="21" customFormat="1">
      <c r="D1858" s="166"/>
    </row>
    <row r="1859" spans="4:4" s="21" customFormat="1">
      <c r="D1859" s="166"/>
    </row>
    <row r="1860" spans="4:4" s="21" customFormat="1">
      <c r="D1860" s="166"/>
    </row>
    <row r="1861" spans="4:4" s="21" customFormat="1">
      <c r="D1861" s="166"/>
    </row>
    <row r="1862" spans="4:4" s="21" customFormat="1">
      <c r="D1862" s="166"/>
    </row>
    <row r="1863" spans="4:4" s="21" customFormat="1">
      <c r="D1863" s="166"/>
    </row>
    <row r="1864" spans="4:4" s="21" customFormat="1">
      <c r="D1864" s="166"/>
    </row>
    <row r="1865" spans="4:4" s="21" customFormat="1">
      <c r="D1865" s="166"/>
    </row>
    <row r="1866" spans="4:4" s="21" customFormat="1">
      <c r="D1866" s="166"/>
    </row>
    <row r="1867" spans="4:4" s="21" customFormat="1">
      <c r="D1867" s="166"/>
    </row>
    <row r="1868" spans="4:4" s="21" customFormat="1">
      <c r="D1868" s="166"/>
    </row>
    <row r="1869" spans="4:4" s="21" customFormat="1">
      <c r="D1869" s="166"/>
    </row>
    <row r="1870" spans="4:4" s="21" customFormat="1">
      <c r="D1870" s="166"/>
    </row>
    <row r="1871" spans="4:4" s="21" customFormat="1">
      <c r="D1871" s="166"/>
    </row>
    <row r="1872" spans="4:4" s="21" customFormat="1">
      <c r="D1872" s="166"/>
    </row>
    <row r="1873" spans="4:4" s="21" customFormat="1">
      <c r="D1873" s="166"/>
    </row>
    <row r="1874" spans="4:4" s="21" customFormat="1">
      <c r="D1874" s="166"/>
    </row>
    <row r="1875" spans="4:4" s="21" customFormat="1">
      <c r="D1875" s="166"/>
    </row>
    <row r="1876" spans="4:4" s="21" customFormat="1">
      <c r="D1876" s="166"/>
    </row>
    <row r="1877" spans="4:4" s="21" customFormat="1">
      <c r="D1877" s="166"/>
    </row>
    <row r="1878" spans="4:4" s="21" customFormat="1">
      <c r="D1878" s="166"/>
    </row>
    <row r="1879" spans="4:4" s="21" customFormat="1">
      <c r="D1879" s="166"/>
    </row>
    <row r="1880" spans="4:4" s="21" customFormat="1">
      <c r="D1880" s="166"/>
    </row>
    <row r="1881" spans="4:4" s="21" customFormat="1">
      <c r="D1881" s="166"/>
    </row>
    <row r="1882" spans="4:4" s="21" customFormat="1">
      <c r="D1882" s="166"/>
    </row>
    <row r="1883" spans="4:4" s="21" customFormat="1">
      <c r="D1883" s="166"/>
    </row>
    <row r="1884" spans="4:4" s="21" customFormat="1">
      <c r="D1884" s="166"/>
    </row>
    <row r="1885" spans="4:4" s="21" customFormat="1">
      <c r="D1885" s="166"/>
    </row>
    <row r="1886" spans="4:4" s="21" customFormat="1">
      <c r="D1886" s="166"/>
    </row>
    <row r="1887" spans="4:4" s="21" customFormat="1">
      <c r="D1887" s="166"/>
    </row>
    <row r="1888" spans="4:4" s="21" customFormat="1">
      <c r="D1888" s="166"/>
    </row>
    <row r="1889" spans="4:4" s="21" customFormat="1">
      <c r="D1889" s="166"/>
    </row>
    <row r="1890" spans="4:4" s="21" customFormat="1">
      <c r="D1890" s="166"/>
    </row>
    <row r="1891" spans="4:4" s="21" customFormat="1">
      <c r="D1891" s="166"/>
    </row>
    <row r="1892" spans="4:4" s="21" customFormat="1">
      <c r="D1892" s="166"/>
    </row>
    <row r="1893" spans="4:4" s="21" customFormat="1">
      <c r="D1893" s="166"/>
    </row>
    <row r="1894" spans="4:4" s="21" customFormat="1">
      <c r="D1894" s="166"/>
    </row>
    <row r="1895" spans="4:4" s="21" customFormat="1">
      <c r="D1895" s="166"/>
    </row>
    <row r="1896" spans="4:4" s="21" customFormat="1">
      <c r="D1896" s="166"/>
    </row>
    <row r="1897" spans="4:4" s="21" customFormat="1">
      <c r="D1897" s="166"/>
    </row>
    <row r="1898" spans="4:4" s="21" customFormat="1">
      <c r="D1898" s="166"/>
    </row>
    <row r="1899" spans="4:4" s="21" customFormat="1">
      <c r="D1899" s="166"/>
    </row>
    <row r="1900" spans="4:4" s="21" customFormat="1">
      <c r="D1900" s="166"/>
    </row>
    <row r="1901" spans="4:4" s="21" customFormat="1">
      <c r="D1901" s="166"/>
    </row>
    <row r="1902" spans="4:4" s="21" customFormat="1">
      <c r="D1902" s="166"/>
    </row>
    <row r="1903" spans="4:4" s="21" customFormat="1">
      <c r="D1903" s="166"/>
    </row>
    <row r="1904" spans="4:4" s="21" customFormat="1">
      <c r="D1904" s="166"/>
    </row>
    <row r="1905" spans="4:4" s="21" customFormat="1">
      <c r="D1905" s="166"/>
    </row>
    <row r="1906" spans="4:4" s="21" customFormat="1">
      <c r="D1906" s="166"/>
    </row>
    <row r="1907" spans="4:4" s="21" customFormat="1">
      <c r="D1907" s="166"/>
    </row>
    <row r="1908" spans="4:4" s="21" customFormat="1">
      <c r="D1908" s="166"/>
    </row>
    <row r="1909" spans="4:4" s="21" customFormat="1">
      <c r="D1909" s="166"/>
    </row>
    <row r="1910" spans="4:4" s="21" customFormat="1">
      <c r="D1910" s="166"/>
    </row>
    <row r="1911" spans="4:4" s="21" customFormat="1">
      <c r="D1911" s="166"/>
    </row>
    <row r="1912" spans="4:4" s="21" customFormat="1">
      <c r="D1912" s="166"/>
    </row>
    <row r="1913" spans="4:4" s="21" customFormat="1">
      <c r="D1913" s="166"/>
    </row>
    <row r="1914" spans="4:4" s="21" customFormat="1">
      <c r="D1914" s="166"/>
    </row>
    <row r="1915" spans="4:4" s="21" customFormat="1">
      <c r="D1915" s="166"/>
    </row>
    <row r="1916" spans="4:4" s="21" customFormat="1">
      <c r="D1916" s="166"/>
    </row>
    <row r="1917" spans="4:4" s="21" customFormat="1">
      <c r="D1917" s="166"/>
    </row>
    <row r="1918" spans="4:4" s="21" customFormat="1">
      <c r="D1918" s="166"/>
    </row>
    <row r="1919" spans="4:4" s="21" customFormat="1">
      <c r="D1919" s="166"/>
    </row>
    <row r="1920" spans="4:4" s="21" customFormat="1">
      <c r="D1920" s="166"/>
    </row>
    <row r="1921" spans="4:4" s="21" customFormat="1">
      <c r="D1921" s="166"/>
    </row>
    <row r="1922" spans="4:4" s="21" customFormat="1">
      <c r="D1922" s="166"/>
    </row>
    <row r="1923" spans="4:4" s="21" customFormat="1">
      <c r="D1923" s="166"/>
    </row>
    <row r="1924" spans="4:4" s="21" customFormat="1">
      <c r="D1924" s="166"/>
    </row>
    <row r="1925" spans="4:4" s="21" customFormat="1">
      <c r="D1925" s="166"/>
    </row>
    <row r="1926" spans="4:4" s="21" customFormat="1">
      <c r="D1926" s="166"/>
    </row>
    <row r="1927" spans="4:4" s="21" customFormat="1">
      <c r="D1927" s="166"/>
    </row>
    <row r="1928" spans="4:4" s="21" customFormat="1">
      <c r="D1928" s="166"/>
    </row>
    <row r="1929" spans="4:4" s="21" customFormat="1">
      <c r="D1929" s="166"/>
    </row>
    <row r="1930" spans="4:4" s="21" customFormat="1">
      <c r="D1930" s="166"/>
    </row>
    <row r="1931" spans="4:4" s="21" customFormat="1">
      <c r="D1931" s="166"/>
    </row>
    <row r="1932" spans="4:4" s="21" customFormat="1">
      <c r="D1932" s="166"/>
    </row>
    <row r="1933" spans="4:4" s="21" customFormat="1">
      <c r="D1933" s="166"/>
    </row>
    <row r="1934" spans="4:4" s="21" customFormat="1">
      <c r="D1934" s="166"/>
    </row>
    <row r="1935" spans="4:4" s="21" customFormat="1">
      <c r="D1935" s="166"/>
    </row>
    <row r="1936" spans="4:4" s="21" customFormat="1">
      <c r="D1936" s="166"/>
    </row>
    <row r="1937" spans="4:4" s="21" customFormat="1">
      <c r="D1937" s="166"/>
    </row>
    <row r="1938" spans="4:4" s="21" customFormat="1">
      <c r="D1938" s="166"/>
    </row>
    <row r="1939" spans="4:4" s="21" customFormat="1">
      <c r="D1939" s="166"/>
    </row>
    <row r="1940" spans="4:4" s="21" customFormat="1">
      <c r="D1940" s="166"/>
    </row>
    <row r="1941" spans="4:4" s="21" customFormat="1">
      <c r="D1941" s="166"/>
    </row>
    <row r="1942" spans="4:4" s="21" customFormat="1">
      <c r="D1942" s="166"/>
    </row>
    <row r="1943" spans="4:4" s="21" customFormat="1">
      <c r="D1943" s="166"/>
    </row>
    <row r="1944" spans="4:4" s="21" customFormat="1">
      <c r="D1944" s="166"/>
    </row>
    <row r="1945" spans="4:4" s="21" customFormat="1">
      <c r="D1945" s="166"/>
    </row>
    <row r="1946" spans="4:4" s="21" customFormat="1">
      <c r="D1946" s="166"/>
    </row>
    <row r="1947" spans="4:4" s="21" customFormat="1">
      <c r="D1947" s="166"/>
    </row>
    <row r="1948" spans="4:4" s="21" customFormat="1">
      <c r="D1948" s="166"/>
    </row>
    <row r="1949" spans="4:4" s="21" customFormat="1">
      <c r="D1949" s="166"/>
    </row>
    <row r="1950" spans="4:4" s="21" customFormat="1">
      <c r="D1950" s="166"/>
    </row>
    <row r="1951" spans="4:4" s="21" customFormat="1">
      <c r="D1951" s="166"/>
    </row>
    <row r="1952" spans="4:4" s="21" customFormat="1">
      <c r="D1952" s="166"/>
    </row>
    <row r="1953" spans="4:4" s="21" customFormat="1">
      <c r="D1953" s="166"/>
    </row>
    <row r="1954" spans="4:4" s="21" customFormat="1">
      <c r="D1954" s="166"/>
    </row>
    <row r="1955" spans="4:4" s="21" customFormat="1">
      <c r="D1955" s="166"/>
    </row>
    <row r="1956" spans="4:4" s="21" customFormat="1">
      <c r="D1956" s="166"/>
    </row>
    <row r="1957" spans="4:4" s="21" customFormat="1">
      <c r="D1957" s="166"/>
    </row>
    <row r="1958" spans="4:4" s="21" customFormat="1">
      <c r="D1958" s="166"/>
    </row>
    <row r="1959" spans="4:4" s="21" customFormat="1">
      <c r="D1959" s="166"/>
    </row>
    <row r="1960" spans="4:4" s="21" customFormat="1">
      <c r="D1960" s="166"/>
    </row>
    <row r="1961" spans="4:4" s="21" customFormat="1">
      <c r="D1961" s="166"/>
    </row>
    <row r="1962" spans="4:4" s="21" customFormat="1">
      <c r="D1962" s="166"/>
    </row>
    <row r="1963" spans="4:4" s="21" customFormat="1">
      <c r="D1963" s="166"/>
    </row>
    <row r="1964" spans="4:4" s="21" customFormat="1">
      <c r="D1964" s="166"/>
    </row>
    <row r="1965" spans="4:4" s="21" customFormat="1">
      <c r="D1965" s="166"/>
    </row>
    <row r="1966" spans="4:4" s="21" customFormat="1">
      <c r="D1966" s="166"/>
    </row>
    <row r="1967" spans="4:4" s="21" customFormat="1">
      <c r="D1967" s="166"/>
    </row>
    <row r="1968" spans="4:4" s="21" customFormat="1">
      <c r="D1968" s="166"/>
    </row>
    <row r="1969" spans="4:4" s="21" customFormat="1">
      <c r="D1969" s="166"/>
    </row>
    <row r="1970" spans="4:4" s="21" customFormat="1">
      <c r="D1970" s="166"/>
    </row>
    <row r="1971" spans="4:4" s="21" customFormat="1">
      <c r="D1971" s="166"/>
    </row>
    <row r="1972" spans="4:4" s="21" customFormat="1">
      <c r="D1972" s="166"/>
    </row>
    <row r="1973" spans="4:4" s="21" customFormat="1">
      <c r="D1973" s="166"/>
    </row>
    <row r="1974" spans="4:4" s="21" customFormat="1">
      <c r="D1974" s="166"/>
    </row>
    <row r="1975" spans="4:4" s="21" customFormat="1">
      <c r="D1975" s="166"/>
    </row>
    <row r="1976" spans="4:4" s="21" customFormat="1">
      <c r="D1976" s="166"/>
    </row>
    <row r="1977" spans="4:4" s="21" customFormat="1">
      <c r="D1977" s="166"/>
    </row>
    <row r="1978" spans="4:4" s="21" customFormat="1">
      <c r="D1978" s="166"/>
    </row>
    <row r="1979" spans="4:4" s="21" customFormat="1">
      <c r="D1979" s="166"/>
    </row>
    <row r="1980" spans="4:4" s="21" customFormat="1">
      <c r="D1980" s="166"/>
    </row>
    <row r="1981" spans="4:4" s="21" customFormat="1">
      <c r="D1981" s="166"/>
    </row>
    <row r="1982" spans="4:4" s="21" customFormat="1">
      <c r="D1982" s="166"/>
    </row>
    <row r="1983" spans="4:4" s="21" customFormat="1">
      <c r="D1983" s="166"/>
    </row>
    <row r="1984" spans="4:4" s="21" customFormat="1">
      <c r="D1984" s="166"/>
    </row>
    <row r="1985" spans="4:4" s="21" customFormat="1">
      <c r="D1985" s="166"/>
    </row>
    <row r="1986" spans="4:4" s="21" customFormat="1">
      <c r="D1986" s="166"/>
    </row>
    <row r="1987" spans="4:4" s="21" customFormat="1">
      <c r="D1987" s="166"/>
    </row>
    <row r="1988" spans="4:4" s="21" customFormat="1">
      <c r="D1988" s="166"/>
    </row>
    <row r="1989" spans="4:4" s="21" customFormat="1">
      <c r="D1989" s="166"/>
    </row>
    <row r="1990" spans="4:4" s="21" customFormat="1">
      <c r="D1990" s="166"/>
    </row>
    <row r="1991" spans="4:4" s="21" customFormat="1">
      <c r="D1991" s="166"/>
    </row>
    <row r="1992" spans="4:4" s="21" customFormat="1">
      <c r="D1992" s="166"/>
    </row>
    <row r="1993" spans="4:4" s="21" customFormat="1">
      <c r="D1993" s="166"/>
    </row>
    <row r="1994" spans="4:4" s="21" customFormat="1">
      <c r="D1994" s="166"/>
    </row>
    <row r="1995" spans="4:4" s="21" customFormat="1">
      <c r="D1995" s="166"/>
    </row>
    <row r="1996" spans="4:4" s="21" customFormat="1">
      <c r="D1996" s="166"/>
    </row>
    <row r="1997" spans="4:4" s="21" customFormat="1">
      <c r="D1997" s="166"/>
    </row>
    <row r="1998" spans="4:4" s="21" customFormat="1">
      <c r="D1998" s="166"/>
    </row>
    <row r="1999" spans="4:4" s="21" customFormat="1">
      <c r="D1999" s="166"/>
    </row>
    <row r="2000" spans="4:4" s="21" customFormat="1">
      <c r="D2000" s="166"/>
    </row>
    <row r="2001" spans="4:4" s="21" customFormat="1">
      <c r="D2001" s="166"/>
    </row>
    <row r="2002" spans="4:4" s="21" customFormat="1">
      <c r="D2002" s="166"/>
    </row>
    <row r="2003" spans="4:4" s="21" customFormat="1">
      <c r="D2003" s="166"/>
    </row>
    <row r="2004" spans="4:4" s="21" customFormat="1">
      <c r="D2004" s="166"/>
    </row>
    <row r="2005" spans="4:4" s="21" customFormat="1">
      <c r="D2005" s="166"/>
    </row>
    <row r="2006" spans="4:4" s="21" customFormat="1">
      <c r="D2006" s="166"/>
    </row>
    <row r="2007" spans="4:4" s="21" customFormat="1">
      <c r="D2007" s="166"/>
    </row>
    <row r="2008" spans="4:4" s="21" customFormat="1">
      <c r="D2008" s="166"/>
    </row>
    <row r="2009" spans="4:4" s="21" customFormat="1">
      <c r="D2009" s="166"/>
    </row>
    <row r="2010" spans="4:4" s="21" customFormat="1">
      <c r="D2010" s="166"/>
    </row>
    <row r="2011" spans="4:4" s="21" customFormat="1">
      <c r="D2011" s="166"/>
    </row>
    <row r="2012" spans="4:4" s="21" customFormat="1">
      <c r="D2012" s="166"/>
    </row>
    <row r="2013" spans="4:4" s="21" customFormat="1">
      <c r="D2013" s="166"/>
    </row>
    <row r="2014" spans="4:4" s="21" customFormat="1">
      <c r="D2014" s="166"/>
    </row>
    <row r="2015" spans="4:4" s="21" customFormat="1">
      <c r="D2015" s="166"/>
    </row>
    <row r="2016" spans="4:4" s="21" customFormat="1">
      <c r="D2016" s="166"/>
    </row>
    <row r="2017" spans="4:4" s="21" customFormat="1">
      <c r="D2017" s="166"/>
    </row>
    <row r="2018" spans="4:4" s="21" customFormat="1">
      <c r="D2018" s="166"/>
    </row>
    <row r="2019" spans="4:4" s="21" customFormat="1">
      <c r="D2019" s="166"/>
    </row>
    <row r="2020" spans="4:4" s="21" customFormat="1">
      <c r="D2020" s="166"/>
    </row>
    <row r="2021" spans="4:4" s="21" customFormat="1">
      <c r="D2021" s="166"/>
    </row>
    <row r="2022" spans="4:4" s="21" customFormat="1">
      <c r="D2022" s="166"/>
    </row>
    <row r="2023" spans="4:4" s="21" customFormat="1">
      <c r="D2023" s="166"/>
    </row>
    <row r="2024" spans="4:4" s="21" customFormat="1">
      <c r="D2024" s="166"/>
    </row>
    <row r="2025" spans="4:4" s="21" customFormat="1">
      <c r="D2025" s="166"/>
    </row>
    <row r="2026" spans="4:4" s="21" customFormat="1">
      <c r="D2026" s="166"/>
    </row>
    <row r="2027" spans="4:4" s="21" customFormat="1">
      <c r="D2027" s="166"/>
    </row>
    <row r="2028" spans="4:4" s="21" customFormat="1">
      <c r="D2028" s="166"/>
    </row>
    <row r="2029" spans="4:4" s="21" customFormat="1">
      <c r="D2029" s="166"/>
    </row>
    <row r="2030" spans="4:4" s="21" customFormat="1">
      <c r="D2030" s="166"/>
    </row>
    <row r="2031" spans="4:4" s="21" customFormat="1">
      <c r="D2031" s="166"/>
    </row>
    <row r="2032" spans="4:4" s="21" customFormat="1">
      <c r="D2032" s="166"/>
    </row>
    <row r="2033" spans="4:4" s="21" customFormat="1">
      <c r="D2033" s="166"/>
    </row>
    <row r="2034" spans="4:4" s="21" customFormat="1">
      <c r="D2034" s="166"/>
    </row>
    <row r="2035" spans="4:4" s="21" customFormat="1">
      <c r="D2035" s="166"/>
    </row>
    <row r="2036" spans="4:4" s="21" customFormat="1">
      <c r="D2036" s="166"/>
    </row>
    <row r="2037" spans="4:4" s="21" customFormat="1">
      <c r="D2037" s="166"/>
    </row>
    <row r="2038" spans="4:4" s="21" customFormat="1">
      <c r="D2038" s="166"/>
    </row>
    <row r="2039" spans="4:4" s="21" customFormat="1">
      <c r="D2039" s="166"/>
    </row>
    <row r="2040" spans="4:4" s="21" customFormat="1">
      <c r="D2040" s="166"/>
    </row>
    <row r="2041" spans="4:4" s="21" customFormat="1">
      <c r="D2041" s="166"/>
    </row>
    <row r="2042" spans="4:4" s="21" customFormat="1">
      <c r="D2042" s="166"/>
    </row>
    <row r="2043" spans="4:4" s="21" customFormat="1">
      <c r="D2043" s="166"/>
    </row>
    <row r="2044" spans="4:4" s="21" customFormat="1">
      <c r="D2044" s="166"/>
    </row>
    <row r="2045" spans="4:4" s="21" customFormat="1">
      <c r="D2045" s="166"/>
    </row>
    <row r="2046" spans="4:4" s="21" customFormat="1">
      <c r="D2046" s="166"/>
    </row>
    <row r="2047" spans="4:4" s="21" customFormat="1">
      <c r="D2047" s="166"/>
    </row>
    <row r="2048" spans="4:4" s="21" customFormat="1">
      <c r="D2048" s="166"/>
    </row>
    <row r="2049" spans="4:4" s="21" customFormat="1">
      <c r="D2049" s="166"/>
    </row>
    <row r="2050" spans="4:4" s="21" customFormat="1">
      <c r="D2050" s="166"/>
    </row>
    <row r="2051" spans="4:4" s="21" customFormat="1">
      <c r="D2051" s="166"/>
    </row>
    <row r="2052" spans="4:4" s="21" customFormat="1">
      <c r="D2052" s="166"/>
    </row>
    <row r="2053" spans="4:4" s="21" customFormat="1">
      <c r="D2053" s="166"/>
    </row>
    <row r="2054" spans="4:4" s="21" customFormat="1">
      <c r="D2054" s="166"/>
    </row>
    <row r="2055" spans="4:4" s="21" customFormat="1">
      <c r="D2055" s="166"/>
    </row>
    <row r="2056" spans="4:4" s="21" customFormat="1">
      <c r="D2056" s="166"/>
    </row>
    <row r="2057" spans="4:4" s="21" customFormat="1">
      <c r="D2057" s="166"/>
    </row>
    <row r="2058" spans="4:4" s="21" customFormat="1">
      <c r="D2058" s="166"/>
    </row>
    <row r="2059" spans="4:4" s="21" customFormat="1">
      <c r="D2059" s="166"/>
    </row>
    <row r="2060" spans="4:4" s="21" customFormat="1">
      <c r="D2060" s="166"/>
    </row>
    <row r="2061" spans="4:4" s="21" customFormat="1">
      <c r="D2061" s="166"/>
    </row>
    <row r="2062" spans="4:4" s="21" customFormat="1">
      <c r="D2062" s="166"/>
    </row>
    <row r="2063" spans="4:4" s="21" customFormat="1">
      <c r="D2063" s="166"/>
    </row>
    <row r="2064" spans="4:4" s="21" customFormat="1">
      <c r="D2064" s="166"/>
    </row>
    <row r="2065" spans="4:4" s="21" customFormat="1">
      <c r="D2065" s="166"/>
    </row>
    <row r="2066" spans="4:4" s="21" customFormat="1">
      <c r="D2066" s="166"/>
    </row>
    <row r="2067" spans="4:4" s="21" customFormat="1">
      <c r="D2067" s="166"/>
    </row>
    <row r="2068" spans="4:4" s="21" customFormat="1">
      <c r="D2068" s="166"/>
    </row>
    <row r="2069" spans="4:4" s="21" customFormat="1">
      <c r="D2069" s="166"/>
    </row>
    <row r="2070" spans="4:4" s="21" customFormat="1">
      <c r="D2070" s="166"/>
    </row>
    <row r="2071" spans="4:4" s="21" customFormat="1">
      <c r="D2071" s="166"/>
    </row>
    <row r="2072" spans="4:4" s="21" customFormat="1">
      <c r="D2072" s="166"/>
    </row>
    <row r="2073" spans="4:4" s="21" customFormat="1">
      <c r="D2073" s="166"/>
    </row>
    <row r="2074" spans="4:4" s="21" customFormat="1">
      <c r="D2074" s="166"/>
    </row>
    <row r="2075" spans="4:4" s="21" customFormat="1">
      <c r="D2075" s="166"/>
    </row>
    <row r="2076" spans="4:4" s="21" customFormat="1">
      <c r="D2076" s="166"/>
    </row>
    <row r="2077" spans="4:4" s="21" customFormat="1">
      <c r="D2077" s="166"/>
    </row>
    <row r="2078" spans="4:4" s="21" customFormat="1">
      <c r="D2078" s="166"/>
    </row>
    <row r="2079" spans="4:4" s="21" customFormat="1">
      <c r="D2079" s="166"/>
    </row>
    <row r="2080" spans="4:4" s="21" customFormat="1">
      <c r="D2080" s="166"/>
    </row>
    <row r="2081" spans="4:4" s="21" customFormat="1">
      <c r="D2081" s="166"/>
    </row>
    <row r="2082" spans="4:4" s="21" customFormat="1">
      <c r="D2082" s="166"/>
    </row>
    <row r="2083" spans="4:4" s="21" customFormat="1">
      <c r="D2083" s="166"/>
    </row>
    <row r="2084" spans="4:4" s="21" customFormat="1">
      <c r="D2084" s="166"/>
    </row>
    <row r="2085" spans="4:4" s="21" customFormat="1">
      <c r="D2085" s="166"/>
    </row>
    <row r="2086" spans="4:4" s="21" customFormat="1">
      <c r="D2086" s="166"/>
    </row>
    <row r="2087" spans="4:4" s="21" customFormat="1">
      <c r="D2087" s="166"/>
    </row>
    <row r="2088" spans="4:4" s="21" customFormat="1">
      <c r="D2088" s="166"/>
    </row>
    <row r="2089" spans="4:4" s="21" customFormat="1">
      <c r="D2089" s="166"/>
    </row>
    <row r="2090" spans="4:4" s="21" customFormat="1">
      <c r="D2090" s="166"/>
    </row>
    <row r="2091" spans="4:4" s="21" customFormat="1">
      <c r="D2091" s="166"/>
    </row>
    <row r="2092" spans="4:4" s="21" customFormat="1">
      <c r="D2092" s="166"/>
    </row>
    <row r="2093" spans="4:4" s="21" customFormat="1">
      <c r="D2093" s="166"/>
    </row>
    <row r="2094" spans="4:4" s="21" customFormat="1">
      <c r="D2094" s="166"/>
    </row>
    <row r="2095" spans="4:4" s="21" customFormat="1">
      <c r="D2095" s="166"/>
    </row>
    <row r="2096" spans="4:4" s="21" customFormat="1">
      <c r="D2096" s="166"/>
    </row>
    <row r="2097" spans="4:4" s="21" customFormat="1">
      <c r="D2097" s="166"/>
    </row>
    <row r="2098" spans="4:4" s="21" customFormat="1">
      <c r="D2098" s="166"/>
    </row>
    <row r="2099" spans="4:4" s="21" customFormat="1">
      <c r="D2099" s="166"/>
    </row>
    <row r="2100" spans="4:4" s="21" customFormat="1">
      <c r="D2100" s="166"/>
    </row>
    <row r="2101" spans="4:4" s="21" customFormat="1">
      <c r="D2101" s="166"/>
    </row>
    <row r="2102" spans="4:4" s="21" customFormat="1">
      <c r="D2102" s="166"/>
    </row>
    <row r="2103" spans="4:4" s="21" customFormat="1">
      <c r="D2103" s="166"/>
    </row>
    <row r="2104" spans="4:4" s="21" customFormat="1">
      <c r="D2104" s="166"/>
    </row>
    <row r="2105" spans="4:4" s="21" customFormat="1">
      <c r="D2105" s="166"/>
    </row>
    <row r="2106" spans="4:4" s="21" customFormat="1">
      <c r="D2106" s="166"/>
    </row>
    <row r="2107" spans="4:4" s="21" customFormat="1">
      <c r="D2107" s="166"/>
    </row>
    <row r="2108" spans="4:4" s="21" customFormat="1">
      <c r="D2108" s="166"/>
    </row>
    <row r="2109" spans="4:4" s="21" customFormat="1">
      <c r="D2109" s="166"/>
    </row>
    <row r="2110" spans="4:4" s="21" customFormat="1">
      <c r="D2110" s="166"/>
    </row>
    <row r="2111" spans="4:4" s="21" customFormat="1">
      <c r="D2111" s="166"/>
    </row>
    <row r="2112" spans="4:4" s="21" customFormat="1">
      <c r="D2112" s="166"/>
    </row>
    <row r="2113" spans="4:4" s="21" customFormat="1">
      <c r="D2113" s="166"/>
    </row>
    <row r="2114" spans="4:4" s="21" customFormat="1">
      <c r="D2114" s="166"/>
    </row>
    <row r="2115" spans="4:4" s="21" customFormat="1">
      <c r="D2115" s="166"/>
    </row>
    <row r="2116" spans="4:4" s="21" customFormat="1">
      <c r="D2116" s="166"/>
    </row>
    <row r="2117" spans="4:4" s="21" customFormat="1">
      <c r="D2117" s="166"/>
    </row>
    <row r="2118" spans="4:4" s="21" customFormat="1">
      <c r="D2118" s="166"/>
    </row>
    <row r="2119" spans="4:4" s="21" customFormat="1">
      <c r="D2119" s="166"/>
    </row>
    <row r="2120" spans="4:4" s="21" customFormat="1">
      <c r="D2120" s="166"/>
    </row>
    <row r="2121" spans="4:4" s="21" customFormat="1">
      <c r="D2121" s="166"/>
    </row>
    <row r="2122" spans="4:4" s="21" customFormat="1">
      <c r="D2122" s="166"/>
    </row>
    <row r="2123" spans="4:4" s="21" customFormat="1">
      <c r="D2123" s="166"/>
    </row>
    <row r="2124" spans="4:4" s="21" customFormat="1">
      <c r="D2124" s="166"/>
    </row>
    <row r="2125" spans="4:4" s="21" customFormat="1">
      <c r="D2125" s="166"/>
    </row>
    <row r="2126" spans="4:4" s="21" customFormat="1">
      <c r="D2126" s="166"/>
    </row>
    <row r="2127" spans="4:4" s="21" customFormat="1">
      <c r="D2127" s="166"/>
    </row>
    <row r="2128" spans="4:4" s="21" customFormat="1">
      <c r="D2128" s="166"/>
    </row>
    <row r="2129" spans="4:4" s="21" customFormat="1">
      <c r="D2129" s="166"/>
    </row>
    <row r="2130" spans="4:4" s="21" customFormat="1">
      <c r="D2130" s="166"/>
    </row>
    <row r="2131" spans="4:4" s="21" customFormat="1">
      <c r="D2131" s="166"/>
    </row>
    <row r="2132" spans="4:4" s="21" customFormat="1">
      <c r="D2132" s="166"/>
    </row>
    <row r="2133" spans="4:4" s="21" customFormat="1">
      <c r="D2133" s="166"/>
    </row>
    <row r="2134" spans="4:4" s="21" customFormat="1">
      <c r="D2134" s="166"/>
    </row>
    <row r="2135" spans="4:4" s="21" customFormat="1">
      <c r="D2135" s="166"/>
    </row>
    <row r="2136" spans="4:4" s="21" customFormat="1">
      <c r="D2136" s="166"/>
    </row>
    <row r="2137" spans="4:4" s="21" customFormat="1">
      <c r="D2137" s="166"/>
    </row>
    <row r="2138" spans="4:4" s="21" customFormat="1">
      <c r="D2138" s="166"/>
    </row>
    <row r="2139" spans="4:4" s="21" customFormat="1">
      <c r="D2139" s="166"/>
    </row>
    <row r="2140" spans="4:4" s="21" customFormat="1">
      <c r="D2140" s="166"/>
    </row>
    <row r="2141" spans="4:4" s="21" customFormat="1">
      <c r="D2141" s="166"/>
    </row>
    <row r="2142" spans="4:4" s="21" customFormat="1">
      <c r="D2142" s="166"/>
    </row>
    <row r="2143" spans="4:4" s="21" customFormat="1">
      <c r="D2143" s="166"/>
    </row>
    <row r="2144" spans="4:4" s="21" customFormat="1">
      <c r="D2144" s="166"/>
    </row>
    <row r="2145" spans="4:4" s="21" customFormat="1">
      <c r="D2145" s="166"/>
    </row>
    <row r="2146" spans="4:4" s="21" customFormat="1">
      <c r="D2146" s="166"/>
    </row>
    <row r="2147" spans="4:4" s="21" customFormat="1">
      <c r="D2147" s="166"/>
    </row>
    <row r="2148" spans="4:4" s="21" customFormat="1">
      <c r="D2148" s="166"/>
    </row>
    <row r="2149" spans="4:4" s="21" customFormat="1">
      <c r="D2149" s="166"/>
    </row>
    <row r="2150" spans="4:4" s="21" customFormat="1">
      <c r="D2150" s="166"/>
    </row>
    <row r="2151" spans="4:4" s="21" customFormat="1">
      <c r="D2151" s="166"/>
    </row>
    <row r="2152" spans="4:4" s="21" customFormat="1">
      <c r="D2152" s="166"/>
    </row>
    <row r="2153" spans="4:4" s="21" customFormat="1">
      <c r="D2153" s="166"/>
    </row>
    <row r="2154" spans="4:4" s="21" customFormat="1">
      <c r="D2154" s="166"/>
    </row>
    <row r="2155" spans="4:4" s="21" customFormat="1">
      <c r="D2155" s="166"/>
    </row>
    <row r="2156" spans="4:4" s="21" customFormat="1">
      <c r="D2156" s="166"/>
    </row>
    <row r="2157" spans="4:4" s="21" customFormat="1">
      <c r="D2157" s="166"/>
    </row>
    <row r="2158" spans="4:4" s="21" customFormat="1">
      <c r="D2158" s="166"/>
    </row>
    <row r="2159" spans="4:4" s="21" customFormat="1">
      <c r="D2159" s="166"/>
    </row>
    <row r="2160" spans="4:4" s="21" customFormat="1">
      <c r="D2160" s="166"/>
    </row>
    <row r="2161" spans="4:4" s="21" customFormat="1">
      <c r="D2161" s="166"/>
    </row>
    <row r="2162" spans="4:4" s="21" customFormat="1">
      <c r="D2162" s="166"/>
    </row>
    <row r="2163" spans="4:4" s="21" customFormat="1">
      <c r="D2163" s="166"/>
    </row>
    <row r="2164" spans="4:4" s="21" customFormat="1">
      <c r="D2164" s="166"/>
    </row>
    <row r="2165" spans="4:4" s="21" customFormat="1">
      <c r="D2165" s="166"/>
    </row>
    <row r="2166" spans="4:4" s="21" customFormat="1">
      <c r="D2166" s="166"/>
    </row>
    <row r="2167" spans="4:4" s="21" customFormat="1">
      <c r="D2167" s="166"/>
    </row>
    <row r="2168" spans="4:4" s="21" customFormat="1">
      <c r="D2168" s="166"/>
    </row>
    <row r="2169" spans="4:4" s="21" customFormat="1">
      <c r="D2169" s="166"/>
    </row>
    <row r="2170" spans="4:4" s="21" customFormat="1">
      <c r="D2170" s="166"/>
    </row>
    <row r="2171" spans="4:4" s="21" customFormat="1">
      <c r="D2171" s="166"/>
    </row>
    <row r="2172" spans="4:4" s="21" customFormat="1">
      <c r="D2172" s="166"/>
    </row>
    <row r="2173" spans="4:4" s="21" customFormat="1">
      <c r="D2173" s="166"/>
    </row>
    <row r="2174" spans="4:4" s="21" customFormat="1">
      <c r="D2174" s="166"/>
    </row>
    <row r="2175" spans="4:4" s="21" customFormat="1">
      <c r="D2175" s="166"/>
    </row>
    <row r="2176" spans="4:4" s="21" customFormat="1">
      <c r="D2176" s="166"/>
    </row>
    <row r="2177" spans="4:4" s="21" customFormat="1">
      <c r="D2177" s="166"/>
    </row>
    <row r="2178" spans="4:4" s="21" customFormat="1">
      <c r="D2178" s="166"/>
    </row>
    <row r="2179" spans="4:4" s="21" customFormat="1">
      <c r="D2179" s="166"/>
    </row>
    <row r="2180" spans="4:4" s="21" customFormat="1">
      <c r="D2180" s="166"/>
    </row>
    <row r="2181" spans="4:4" s="21" customFormat="1">
      <c r="D2181" s="166"/>
    </row>
    <row r="2182" spans="4:4" s="21" customFormat="1">
      <c r="D2182" s="166"/>
    </row>
    <row r="2183" spans="4:4" s="21" customFormat="1">
      <c r="D2183" s="166"/>
    </row>
    <row r="2184" spans="4:4" s="21" customFormat="1">
      <c r="D2184" s="166"/>
    </row>
    <row r="2185" spans="4:4" s="21" customFormat="1">
      <c r="D2185" s="166"/>
    </row>
    <row r="2186" spans="4:4" s="21" customFormat="1">
      <c r="D2186" s="166"/>
    </row>
    <row r="2187" spans="4:4" s="21" customFormat="1">
      <c r="D2187" s="166"/>
    </row>
    <row r="2188" spans="4:4" s="21" customFormat="1">
      <c r="D2188" s="166"/>
    </row>
    <row r="2189" spans="4:4" s="21" customFormat="1">
      <c r="D2189" s="166"/>
    </row>
    <row r="2190" spans="4:4" s="21" customFormat="1">
      <c r="D2190" s="166"/>
    </row>
    <row r="2191" spans="4:4" s="21" customFormat="1">
      <c r="D2191" s="166"/>
    </row>
    <row r="2192" spans="4:4" s="21" customFormat="1">
      <c r="D2192" s="166"/>
    </row>
    <row r="2193" spans="4:4" s="21" customFormat="1">
      <c r="D2193" s="166"/>
    </row>
    <row r="2194" spans="4:4" s="21" customFormat="1">
      <c r="D2194" s="166"/>
    </row>
    <row r="2195" spans="4:4" s="21" customFormat="1">
      <c r="D2195" s="166"/>
    </row>
    <row r="2196" spans="4:4" s="21" customFormat="1">
      <c r="D2196" s="166"/>
    </row>
    <row r="2197" spans="4:4" s="21" customFormat="1">
      <c r="D2197" s="166"/>
    </row>
    <row r="2198" spans="4:4" s="21" customFormat="1">
      <c r="D2198" s="166"/>
    </row>
    <row r="2199" spans="4:4" s="21" customFormat="1">
      <c r="D2199" s="166"/>
    </row>
    <row r="2200" spans="4:4" s="21" customFormat="1">
      <c r="D2200" s="166"/>
    </row>
    <row r="2201" spans="4:4" s="21" customFormat="1">
      <c r="D2201" s="166"/>
    </row>
    <row r="2202" spans="4:4" s="21" customFormat="1">
      <c r="D2202" s="166"/>
    </row>
    <row r="2203" spans="4:4" s="21" customFormat="1">
      <c r="D2203" s="166"/>
    </row>
    <row r="2204" spans="4:4" s="21" customFormat="1">
      <c r="D2204" s="166"/>
    </row>
    <row r="2205" spans="4:4" s="21" customFormat="1">
      <c r="D2205" s="166"/>
    </row>
    <row r="2206" spans="4:4" s="21" customFormat="1">
      <c r="D2206" s="166"/>
    </row>
    <row r="2207" spans="4:4" s="21" customFormat="1">
      <c r="D2207" s="166"/>
    </row>
    <row r="2208" spans="4:4" s="21" customFormat="1">
      <c r="D2208" s="166"/>
    </row>
    <row r="2209" spans="4:4" s="21" customFormat="1">
      <c r="D2209" s="166"/>
    </row>
    <row r="2210" spans="4:4" s="21" customFormat="1">
      <c r="D2210" s="166"/>
    </row>
    <row r="2211" spans="4:4" s="21" customFormat="1">
      <c r="D2211" s="166"/>
    </row>
    <row r="2212" spans="4:4" s="21" customFormat="1">
      <c r="D2212" s="166"/>
    </row>
    <row r="2213" spans="4:4" s="21" customFormat="1">
      <c r="D2213" s="166"/>
    </row>
    <row r="2214" spans="4:4" s="21" customFormat="1">
      <c r="D2214" s="166"/>
    </row>
    <row r="2215" spans="4:4" s="21" customFormat="1">
      <c r="D2215" s="166"/>
    </row>
    <row r="2216" spans="4:4" s="21" customFormat="1">
      <c r="D2216" s="166"/>
    </row>
    <row r="2217" spans="4:4" s="21" customFormat="1">
      <c r="D2217" s="166"/>
    </row>
    <row r="2218" spans="4:4" s="21" customFormat="1">
      <c r="D2218" s="166"/>
    </row>
    <row r="2219" spans="4:4" s="21" customFormat="1">
      <c r="D2219" s="166"/>
    </row>
    <row r="2220" spans="4:4" s="21" customFormat="1">
      <c r="D2220" s="166"/>
    </row>
    <row r="2221" spans="4:4" s="21" customFormat="1">
      <c r="D2221" s="166"/>
    </row>
    <row r="2222" spans="4:4" s="21" customFormat="1">
      <c r="D2222" s="166"/>
    </row>
    <row r="2223" spans="4:4" s="21" customFormat="1">
      <c r="D2223" s="166"/>
    </row>
    <row r="2224" spans="4:4" s="21" customFormat="1">
      <c r="D2224" s="166"/>
    </row>
    <row r="2225" spans="4:4" s="21" customFormat="1">
      <c r="D2225" s="166"/>
    </row>
    <row r="2226" spans="4:4" s="21" customFormat="1">
      <c r="D2226" s="166"/>
    </row>
    <row r="2227" spans="4:4" s="21" customFormat="1">
      <c r="D2227" s="166"/>
    </row>
    <row r="2228" spans="4:4" s="21" customFormat="1">
      <c r="D2228" s="166"/>
    </row>
    <row r="2229" spans="4:4" s="21" customFormat="1">
      <c r="D2229" s="166"/>
    </row>
    <row r="2230" spans="4:4" s="21" customFormat="1">
      <c r="D2230" s="166"/>
    </row>
    <row r="2231" spans="4:4" s="21" customFormat="1">
      <c r="D2231" s="166"/>
    </row>
    <row r="2232" spans="4:4" s="21" customFormat="1">
      <c r="D2232" s="166"/>
    </row>
    <row r="2233" spans="4:4" s="21" customFormat="1">
      <c r="D2233" s="166"/>
    </row>
    <row r="2234" spans="4:4" s="21" customFormat="1">
      <c r="D2234" s="166"/>
    </row>
    <row r="2235" spans="4:4" s="21" customFormat="1">
      <c r="D2235" s="166"/>
    </row>
    <row r="2236" spans="4:4" s="21" customFormat="1">
      <c r="D2236" s="166"/>
    </row>
    <row r="2237" spans="4:4" s="21" customFormat="1">
      <c r="D2237" s="166"/>
    </row>
    <row r="2238" spans="4:4" s="21" customFormat="1">
      <c r="D2238" s="166"/>
    </row>
    <row r="2239" spans="4:4" s="21" customFormat="1">
      <c r="D2239" s="166"/>
    </row>
    <row r="2240" spans="4:4" s="21" customFormat="1">
      <c r="D2240" s="166"/>
    </row>
    <row r="2241" spans="4:4" s="21" customFormat="1">
      <c r="D2241" s="166"/>
    </row>
    <row r="2242" spans="4:4" s="21" customFormat="1">
      <c r="D2242" s="166"/>
    </row>
    <row r="2243" spans="4:4" s="21" customFormat="1">
      <c r="D2243" s="166"/>
    </row>
    <row r="2244" spans="4:4" s="21" customFormat="1">
      <c r="D2244" s="166"/>
    </row>
    <row r="2245" spans="4:4" s="21" customFormat="1">
      <c r="D2245" s="166"/>
    </row>
    <row r="2246" spans="4:4" s="21" customFormat="1">
      <c r="D2246" s="166"/>
    </row>
    <row r="2247" spans="4:4" s="21" customFormat="1">
      <c r="D2247" s="166"/>
    </row>
    <row r="2248" spans="4:4" s="21" customFormat="1">
      <c r="D2248" s="166"/>
    </row>
    <row r="2249" spans="4:4" s="21" customFormat="1">
      <c r="D2249" s="166"/>
    </row>
    <row r="2250" spans="4:4" s="21" customFormat="1">
      <c r="D2250" s="166"/>
    </row>
    <row r="2251" spans="4:4" s="21" customFormat="1">
      <c r="D2251" s="166"/>
    </row>
    <row r="2252" spans="4:4" s="21" customFormat="1">
      <c r="D2252" s="166"/>
    </row>
    <row r="2253" spans="4:4" s="21" customFormat="1">
      <c r="D2253" s="166"/>
    </row>
    <row r="2254" spans="4:4" s="21" customFormat="1">
      <c r="D2254" s="166"/>
    </row>
    <row r="2255" spans="4:4" s="21" customFormat="1">
      <c r="D2255" s="166"/>
    </row>
    <row r="2256" spans="4:4" s="21" customFormat="1">
      <c r="D2256" s="166"/>
    </row>
    <row r="2257" spans="4:4" s="21" customFormat="1">
      <c r="D2257" s="166"/>
    </row>
    <row r="2258" spans="4:4" s="21" customFormat="1">
      <c r="D2258" s="166"/>
    </row>
    <row r="2259" spans="4:4" s="21" customFormat="1">
      <c r="D2259" s="166"/>
    </row>
    <row r="2260" spans="4:4" s="21" customFormat="1">
      <c r="D2260" s="166"/>
    </row>
    <row r="2261" spans="4:4" s="21" customFormat="1">
      <c r="D2261" s="166"/>
    </row>
    <row r="2262" spans="4:4" s="21" customFormat="1">
      <c r="D2262" s="166"/>
    </row>
    <row r="2263" spans="4:4" s="21" customFormat="1">
      <c r="D2263" s="166"/>
    </row>
    <row r="2264" spans="4:4" s="21" customFormat="1">
      <c r="D2264" s="166"/>
    </row>
    <row r="2265" spans="4:4" s="21" customFormat="1">
      <c r="D2265" s="166"/>
    </row>
    <row r="2266" spans="4:4" s="21" customFormat="1">
      <c r="D2266" s="166"/>
    </row>
    <row r="2267" spans="4:4" s="21" customFormat="1">
      <c r="D2267" s="166"/>
    </row>
  </sheetData>
  <mergeCells count="31">
    <mergeCell ref="I31:K31"/>
    <mergeCell ref="I15:K15"/>
    <mergeCell ref="I16:K16"/>
    <mergeCell ref="I21:K21"/>
    <mergeCell ref="I29:K29"/>
    <mergeCell ref="I30:K30"/>
    <mergeCell ref="I19:K19"/>
    <mergeCell ref="I17:K17"/>
    <mergeCell ref="I18:K18"/>
    <mergeCell ref="I20:K20"/>
    <mergeCell ref="I22:K22"/>
    <mergeCell ref="I23:K23"/>
    <mergeCell ref="I24:K24"/>
    <mergeCell ref="I48:K48"/>
    <mergeCell ref="I49:K49"/>
    <mergeCell ref="I33:K33"/>
    <mergeCell ref="I34:K34"/>
    <mergeCell ref="I36:K36"/>
    <mergeCell ref="I37:K37"/>
    <mergeCell ref="I38:K38"/>
    <mergeCell ref="I39:K39"/>
    <mergeCell ref="I40:K40"/>
    <mergeCell ref="I41:K41"/>
    <mergeCell ref="I32:K32"/>
    <mergeCell ref="I46:K46"/>
    <mergeCell ref="I47:K47"/>
    <mergeCell ref="I35:K35"/>
    <mergeCell ref="I43:K43"/>
    <mergeCell ref="I44:K44"/>
    <mergeCell ref="I45:K45"/>
    <mergeCell ref="I42:K4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51.81640625" style="146" customWidth="1"/>
    <col min="3" max="3" width="30.54296875" style="146" customWidth="1"/>
    <col min="4" max="4" width="18.81640625" style="146" customWidth="1"/>
    <col min="5" max="5" width="6.81640625" style="146" customWidth="1"/>
    <col min="6" max="6" width="18.81640625" style="146" customWidth="1"/>
    <col min="7" max="7" width="6.81640625" style="146" customWidth="1"/>
    <col min="8" max="8" width="18.81640625" style="146" customWidth="1"/>
    <col min="9" max="9" width="6.81640625" style="146" customWidth="1"/>
    <col min="10" max="10" width="18.81640625" style="146" customWidth="1"/>
    <col min="11" max="11" width="1.1796875" style="146" customWidth="1"/>
    <col min="12" max="12" width="3.1796875" style="146" customWidth="1"/>
    <col min="13" max="16" width="9.1796875" style="146"/>
    <col min="17" max="17" width="15.1796875" style="146" bestFit="1" customWidth="1"/>
    <col min="18"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45820</v>
      </c>
      <c r="G2" s="110"/>
      <c r="H2" s="110"/>
      <c r="I2" s="110"/>
      <c r="J2" s="112"/>
      <c r="K2" s="362"/>
    </row>
    <row r="3" spans="1:13" s="106" customFormat="1" ht="18">
      <c r="A3" s="107"/>
      <c r="B3" s="108" t="str">
        <f>'Cover Sheet'!B3</f>
        <v>Monthly Investor Report</v>
      </c>
      <c r="C3" s="108"/>
      <c r="D3" s="115" t="str">
        <f>'Cover Sheet'!D3</f>
        <v>Payment Date</v>
      </c>
      <c r="E3" s="116"/>
      <c r="F3" s="117">
        <f>'Cover Sheet'!F3</f>
        <v>45824</v>
      </c>
      <c r="G3" s="116"/>
      <c r="H3" s="116"/>
      <c r="I3" s="116"/>
      <c r="J3" s="118"/>
      <c r="K3" s="128"/>
    </row>
    <row r="4" spans="1:13" s="106" customFormat="1" ht="13">
      <c r="A4" s="107"/>
      <c r="B4" s="159"/>
      <c r="C4" s="160"/>
      <c r="D4" s="115" t="str">
        <f>'Cover Sheet'!D4</f>
        <v>Period  No</v>
      </c>
      <c r="E4" s="116"/>
      <c r="F4" s="120">
        <f>'Cover Sheet'!F4</f>
        <v>55</v>
      </c>
      <c r="G4" s="116"/>
      <c r="H4" s="121"/>
      <c r="I4" s="116"/>
      <c r="J4" s="122"/>
      <c r="K4" s="362"/>
    </row>
    <row r="5" spans="1:13" s="106" customFormat="1" ht="18">
      <c r="A5" s="107"/>
      <c r="B5" s="162" t="s">
        <v>459</v>
      </c>
      <c r="C5" s="123"/>
      <c r="D5" s="115" t="str">
        <f>'Cover Sheet'!D5</f>
        <v>Monthly Period</v>
      </c>
      <c r="E5" s="116"/>
      <c r="F5" s="124">
        <f>'Cover Sheet'!F5</f>
        <v>45824</v>
      </c>
      <c r="G5" s="116"/>
      <c r="H5" s="121"/>
      <c r="I5" s="116"/>
      <c r="J5" s="122"/>
      <c r="K5" s="12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s="106" customFormat="1" ht="13">
      <c r="A7" s="107"/>
      <c r="B7" s="101"/>
      <c r="C7" s="101"/>
      <c r="D7" s="130" t="str">
        <f>'Cover Sheet'!D7</f>
        <v>Collection Period</v>
      </c>
      <c r="E7" s="131" t="str">
        <f>'Cover Sheet'!E7</f>
        <v>from</v>
      </c>
      <c r="F7" s="132" t="str">
        <f>'Cover Sheet'!F7</f>
        <v>01.05.2025</v>
      </c>
      <c r="G7" s="131" t="str">
        <f>'Cover Sheet'!G7</f>
        <v>to</v>
      </c>
      <c r="H7" s="132">
        <f>'Cover Sheet'!H7</f>
        <v>45808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101"/>
      <c r="F10" s="147"/>
      <c r="G10" s="101"/>
      <c r="H10" s="101"/>
      <c r="I10" s="21"/>
      <c r="J10" s="21"/>
      <c r="K10" s="113"/>
    </row>
    <row r="11" spans="1:13" s="106" customFormat="1" ht="17.5">
      <c r="A11" s="107"/>
      <c r="B11" s="171"/>
      <c r="C11" s="101"/>
      <c r="D11" s="21"/>
      <c r="E11" s="101"/>
      <c r="F11" s="21"/>
      <c r="G11" s="364"/>
      <c r="H11" s="364"/>
      <c r="I11" s="21"/>
      <c r="J11" s="101"/>
      <c r="K11" s="113"/>
      <c r="M11" s="177"/>
    </row>
    <row r="12" spans="1:13" s="106" customFormat="1">
      <c r="A12" s="107"/>
      <c r="B12" s="101"/>
      <c r="C12" s="21"/>
      <c r="D12" s="21"/>
      <c r="E12" s="21"/>
      <c r="F12" s="21"/>
      <c r="G12" s="365"/>
      <c r="H12" s="365"/>
      <c r="I12" s="21"/>
      <c r="J12" s="21"/>
      <c r="K12" s="113"/>
      <c r="M12" s="177"/>
    </row>
    <row r="13" spans="1:13" s="106" customFormat="1" ht="15" customHeight="1">
      <c r="A13" s="107"/>
      <c r="B13" s="101"/>
      <c r="C13" s="366"/>
      <c r="D13" s="366"/>
      <c r="E13" s="366"/>
      <c r="F13" s="366"/>
      <c r="G13" s="367"/>
      <c r="H13" s="367"/>
      <c r="I13" s="367"/>
      <c r="J13" s="21"/>
      <c r="K13" s="113"/>
      <c r="M13" s="177"/>
    </row>
    <row r="14" spans="1:13" s="106" customFormat="1" ht="12.75" customHeight="1">
      <c r="A14" s="107"/>
      <c r="B14" s="987" t="s">
        <v>310</v>
      </c>
      <c r="C14" s="987"/>
      <c r="D14" s="987"/>
      <c r="E14" s="987"/>
      <c r="F14" s="987"/>
      <c r="G14" s="987"/>
      <c r="H14" s="367"/>
      <c r="I14" s="367"/>
      <c r="J14" s="21"/>
      <c r="K14" s="113"/>
      <c r="M14" s="177"/>
    </row>
    <row r="15" spans="1:13" ht="12.75" customHeight="1">
      <c r="A15" s="182"/>
      <c r="B15" s="987"/>
      <c r="C15" s="987"/>
      <c r="D15" s="987"/>
      <c r="E15" s="987"/>
      <c r="F15" s="987"/>
      <c r="G15" s="987"/>
      <c r="H15" s="367"/>
      <c r="I15" s="367"/>
      <c r="J15" s="21"/>
      <c r="K15" s="176"/>
      <c r="M15" s="177"/>
    </row>
    <row r="16" spans="1:13" ht="12.75" customHeight="1">
      <c r="A16" s="182"/>
      <c r="B16" s="987"/>
      <c r="C16" s="987"/>
      <c r="D16" s="987"/>
      <c r="E16" s="987"/>
      <c r="F16" s="987"/>
      <c r="G16" s="987"/>
      <c r="H16" s="367"/>
      <c r="I16" s="367"/>
      <c r="J16" s="21"/>
      <c r="K16" s="176"/>
      <c r="M16" s="177"/>
    </row>
    <row r="17" spans="1:13" ht="24" customHeight="1">
      <c r="A17" s="182"/>
      <c r="B17" s="987"/>
      <c r="C17" s="987"/>
      <c r="D17" s="987"/>
      <c r="E17" s="987"/>
      <c r="F17" s="987"/>
      <c r="G17" s="987"/>
      <c r="H17" s="367"/>
      <c r="I17" s="367"/>
      <c r="J17" s="21"/>
      <c r="K17" s="176"/>
      <c r="M17" s="177"/>
    </row>
    <row r="18" spans="1:13" ht="12.75" customHeight="1">
      <c r="A18" s="182"/>
      <c r="B18" s="21"/>
      <c r="C18" s="13"/>
      <c r="D18" s="101"/>
      <c r="E18" s="368"/>
      <c r="F18" s="220"/>
      <c r="G18" s="369"/>
      <c r="H18" s="220"/>
      <c r="I18" s="220"/>
      <c r="J18" s="21"/>
      <c r="K18" s="176"/>
      <c r="M18" s="177"/>
    </row>
    <row r="19" spans="1:13">
      <c r="A19" s="182"/>
      <c r="B19" s="95" t="s">
        <v>399</v>
      </c>
      <c r="C19" s="96"/>
      <c r="D19" s="953">
        <f>VLOOKUP("Retention_amt",Assets_20,3,0)</f>
        <v>13631880.549999975</v>
      </c>
      <c r="E19" s="230"/>
      <c r="F19" s="21"/>
      <c r="G19" s="21"/>
      <c r="H19" s="230"/>
      <c r="I19" s="21"/>
      <c r="J19" s="21"/>
      <c r="K19" s="176"/>
      <c r="M19" s="177"/>
    </row>
    <row r="20" spans="1:13">
      <c r="A20" s="182"/>
      <c r="B20" s="45"/>
      <c r="C20" s="13"/>
      <c r="D20" s="21"/>
      <c r="E20" s="21"/>
      <c r="F20" s="21"/>
      <c r="G20" s="21"/>
      <c r="H20" s="370"/>
      <c r="I20" s="21"/>
      <c r="J20" s="21"/>
      <c r="K20" s="176"/>
      <c r="M20" s="177"/>
    </row>
    <row r="21" spans="1:13">
      <c r="A21" s="182"/>
      <c r="B21" s="14"/>
      <c r="C21" s="13"/>
      <c r="D21" s="21"/>
      <c r="E21" s="21"/>
      <c r="F21" s="21"/>
      <c r="G21" s="21"/>
      <c r="H21" s="21"/>
      <c r="I21" s="21"/>
      <c r="J21" s="21"/>
      <c r="K21" s="176"/>
      <c r="M21" s="177"/>
    </row>
    <row r="22" spans="1:13">
      <c r="A22" s="182"/>
      <c r="B22" s="14"/>
      <c r="C22" s="13"/>
      <c r="D22" s="21"/>
      <c r="E22" s="21"/>
      <c r="F22" s="21"/>
      <c r="G22" s="21"/>
      <c r="H22" s="21"/>
      <c r="I22" s="21"/>
      <c r="J22" s="21"/>
      <c r="K22" s="176"/>
      <c r="M22" s="177"/>
    </row>
    <row r="23" spans="1:13">
      <c r="A23" s="182"/>
      <c r="B23" s="14"/>
      <c r="C23" s="13"/>
      <c r="D23" s="21"/>
      <c r="E23" s="21"/>
      <c r="F23" s="21"/>
      <c r="G23" s="21"/>
      <c r="H23" s="21"/>
      <c r="I23" s="21"/>
      <c r="J23" s="21"/>
      <c r="K23" s="176"/>
      <c r="M23" s="177"/>
    </row>
    <row r="24" spans="1:13">
      <c r="A24" s="196"/>
      <c r="B24" s="29"/>
      <c r="C24" s="11"/>
      <c r="D24" s="56"/>
      <c r="E24" s="56"/>
      <c r="F24" s="371"/>
      <c r="G24" s="56"/>
      <c r="H24" s="56"/>
      <c r="I24" s="56"/>
      <c r="J24" s="56"/>
      <c r="K24" s="197"/>
      <c r="M24" s="177"/>
    </row>
    <row r="25" spans="1:13">
      <c r="A25" s="21"/>
      <c r="B25" s="14"/>
      <c r="C25" s="13"/>
      <c r="D25" s="21"/>
      <c r="E25" s="21"/>
      <c r="F25" s="21"/>
      <c r="G25" s="21"/>
      <c r="H25" s="21"/>
      <c r="I25" s="21"/>
      <c r="J25" s="21"/>
      <c r="K25" s="21"/>
      <c r="M25" s="177"/>
    </row>
    <row r="26" spans="1:13">
      <c r="A26" s="21"/>
      <c r="B26" s="14"/>
      <c r="C26" s="13"/>
      <c r="D26" s="21"/>
      <c r="E26" s="21"/>
      <c r="F26" s="21"/>
      <c r="G26" s="21"/>
      <c r="H26" s="21"/>
      <c r="I26" s="21"/>
      <c r="J26" s="21"/>
      <c r="K26" s="21"/>
      <c r="M26" s="177"/>
    </row>
    <row r="27" spans="1:13">
      <c r="A27" s="21"/>
      <c r="B27" s="14"/>
      <c r="C27" s="13"/>
      <c r="D27" s="21"/>
      <c r="E27" s="21"/>
      <c r="F27" s="21"/>
      <c r="G27" s="21"/>
      <c r="H27" s="21"/>
      <c r="I27" s="21"/>
      <c r="J27" s="21"/>
      <c r="K27" s="21"/>
      <c r="M27" s="177"/>
    </row>
    <row r="28" spans="1:13">
      <c r="A28" s="21"/>
      <c r="B28" s="14"/>
      <c r="C28" s="13"/>
      <c r="D28" s="21"/>
      <c r="E28" s="21"/>
      <c r="F28" s="211"/>
      <c r="G28" s="372"/>
      <c r="H28" s="46"/>
      <c r="I28" s="175"/>
      <c r="J28" s="175"/>
      <c r="K28" s="21"/>
    </row>
    <row r="29" spans="1:13">
      <c r="A29" s="21"/>
      <c r="B29" s="14"/>
      <c r="C29" s="13"/>
      <c r="D29" s="198"/>
      <c r="E29" s="13"/>
      <c r="F29" s="199"/>
      <c r="G29" s="200"/>
      <c r="H29" s="199"/>
      <c r="I29" s="175"/>
      <c r="J29" s="21"/>
      <c r="K29" s="21"/>
    </row>
    <row r="30" spans="1:13">
      <c r="A30" s="21"/>
      <c r="B30" s="14"/>
      <c r="C30" s="13"/>
      <c r="D30" s="198"/>
      <c r="E30" s="13"/>
      <c r="F30" s="199"/>
      <c r="G30" s="200"/>
      <c r="H30" s="199"/>
      <c r="I30" s="175"/>
      <c r="J30" s="21"/>
      <c r="K30" s="21"/>
    </row>
    <row r="31" spans="1:13">
      <c r="A31" s="21"/>
      <c r="B31" s="14"/>
      <c r="C31" s="13"/>
      <c r="D31" s="198"/>
      <c r="E31" s="13"/>
      <c r="F31" s="199"/>
      <c r="G31" s="200"/>
      <c r="H31" s="199"/>
      <c r="I31" s="175"/>
      <c r="J31" s="21"/>
      <c r="K31" s="21"/>
      <c r="L31" s="21"/>
    </row>
    <row r="32" spans="1:13" s="21" customFormat="1">
      <c r="B32" s="14"/>
      <c r="C32" s="13"/>
      <c r="D32" s="198"/>
      <c r="E32" s="13"/>
      <c r="F32" s="373"/>
      <c r="G32" s="200"/>
      <c r="H32" s="199"/>
      <c r="I32" s="175"/>
    </row>
    <row r="33" spans="2:9" s="21" customFormat="1">
      <c r="B33" s="14"/>
      <c r="C33" s="13"/>
      <c r="D33" s="198"/>
      <c r="E33" s="13"/>
      <c r="F33" s="199"/>
      <c r="G33" s="200"/>
      <c r="H33" s="199"/>
      <c r="I33" s="175"/>
    </row>
    <row r="34" spans="2:9" s="101" customFormat="1" ht="15" customHeight="1">
      <c r="B34" s="14"/>
      <c r="C34" s="13"/>
      <c r="D34" s="198"/>
      <c r="E34" s="13"/>
      <c r="F34" s="199"/>
      <c r="G34" s="200"/>
      <c r="H34" s="199"/>
      <c r="I34" s="147"/>
    </row>
    <row r="35" spans="2:9" s="101" customFormat="1">
      <c r="B35" s="14"/>
      <c r="C35" s="13"/>
      <c r="D35" s="198"/>
      <c r="E35" s="13"/>
      <c r="F35" s="199"/>
      <c r="G35" s="200"/>
      <c r="H35" s="199"/>
      <c r="I35" s="147"/>
    </row>
    <row r="36" spans="2:9" s="21" customFormat="1">
      <c r="B36" s="14"/>
      <c r="C36" s="13"/>
      <c r="D36" s="198"/>
      <c r="E36" s="13"/>
      <c r="F36" s="199"/>
      <c r="G36" s="200"/>
      <c r="H36" s="199"/>
      <c r="I36" s="175"/>
    </row>
    <row r="37" spans="2:9" s="21" customFormat="1">
      <c r="B37" s="14"/>
      <c r="C37" s="13"/>
      <c r="D37" s="198"/>
      <c r="E37" s="13"/>
      <c r="F37" s="199"/>
      <c r="G37" s="200"/>
      <c r="H37" s="199"/>
      <c r="I37" s="175"/>
    </row>
    <row r="38" spans="2:9" s="21" customFormat="1">
      <c r="B38" s="14"/>
      <c r="C38" s="13"/>
      <c r="D38" s="198"/>
      <c r="E38" s="13"/>
      <c r="F38" s="199"/>
      <c r="G38" s="200"/>
      <c r="H38" s="199"/>
      <c r="I38" s="175"/>
    </row>
    <row r="39" spans="2:9" s="21" customFormat="1">
      <c r="B39" s="14"/>
      <c r="C39" s="13"/>
      <c r="D39" s="198"/>
      <c r="E39" s="13"/>
      <c r="F39" s="199"/>
      <c r="G39" s="200"/>
      <c r="H39" s="199"/>
      <c r="I39" s="175"/>
    </row>
    <row r="40" spans="2:9" s="21" customFormat="1">
      <c r="B40" s="14"/>
      <c r="C40" s="13"/>
      <c r="D40" s="198"/>
      <c r="E40" s="13"/>
      <c r="F40" s="199"/>
      <c r="G40" s="200"/>
      <c r="H40" s="199"/>
      <c r="I40" s="175"/>
    </row>
    <row r="41" spans="2:9" s="21" customFormat="1">
      <c r="B41" s="14"/>
      <c r="C41" s="13"/>
      <c r="D41" s="198"/>
      <c r="E41" s="13"/>
      <c r="F41" s="199"/>
      <c r="G41" s="200"/>
      <c r="H41" s="199"/>
      <c r="I41" s="175"/>
    </row>
    <row r="42" spans="2:9" s="21" customFormat="1">
      <c r="B42" s="14"/>
      <c r="C42" s="13"/>
      <c r="D42" s="198"/>
      <c r="E42" s="13"/>
      <c r="F42" s="199"/>
      <c r="G42" s="200"/>
      <c r="H42" s="199"/>
      <c r="I42" s="175"/>
    </row>
    <row r="43" spans="2:9" s="21" customFormat="1">
      <c r="B43" s="14"/>
      <c r="C43" s="13"/>
      <c r="D43" s="198"/>
      <c r="E43" s="13"/>
      <c r="F43" s="199"/>
      <c r="G43" s="200"/>
      <c r="H43" s="199"/>
      <c r="I43" s="175"/>
    </row>
    <row r="44" spans="2:9" s="21" customFormat="1" ht="18">
      <c r="B44" s="14"/>
      <c r="C44" s="13"/>
      <c r="D44" s="108"/>
      <c r="E44" s="13"/>
      <c r="F44" s="199"/>
      <c r="G44" s="200"/>
      <c r="H44" s="199"/>
      <c r="I44" s="175"/>
    </row>
    <row r="45" spans="2:9" s="21" customFormat="1">
      <c r="B45" s="14"/>
      <c r="C45" s="13"/>
      <c r="D45" s="198"/>
      <c r="E45" s="13"/>
      <c r="F45" s="199"/>
      <c r="G45" s="200"/>
      <c r="H45" s="199"/>
      <c r="I45" s="175"/>
    </row>
    <row r="46" spans="2:9" s="21" customFormat="1">
      <c r="B46" s="14"/>
      <c r="C46" s="13"/>
      <c r="D46" s="198"/>
      <c r="E46" s="13"/>
      <c r="F46" s="199"/>
      <c r="G46" s="200"/>
      <c r="H46" s="199"/>
      <c r="I46" s="175"/>
    </row>
    <row r="47" spans="2:9" s="21" customFormat="1">
      <c r="B47" s="14"/>
      <c r="C47" s="13"/>
      <c r="D47" s="198"/>
      <c r="E47" s="13"/>
      <c r="F47" s="199"/>
      <c r="G47" s="200"/>
      <c r="H47" s="199"/>
      <c r="I47" s="175"/>
    </row>
    <row r="48" spans="2:9"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c r="B55" s="14"/>
      <c r="C55" s="13"/>
      <c r="D55" s="198"/>
      <c r="E55" s="13"/>
      <c r="F55" s="199"/>
      <c r="G55" s="200"/>
      <c r="H55" s="199"/>
      <c r="I55" s="175"/>
    </row>
    <row r="56" spans="2:9" s="21" customFormat="1">
      <c r="B56" s="14"/>
      <c r="C56" s="13"/>
      <c r="D56" s="198"/>
      <c r="E56" s="13"/>
      <c r="F56" s="199"/>
      <c r="G56" s="200"/>
      <c r="H56" s="199"/>
      <c r="I56" s="175"/>
    </row>
    <row r="57" spans="2:9" s="21" customFormat="1">
      <c r="B57" s="14"/>
      <c r="C57" s="13"/>
      <c r="D57" s="198"/>
      <c r="E57" s="13"/>
      <c r="F57" s="199"/>
      <c r="G57" s="200"/>
      <c r="H57" s="199"/>
      <c r="I57" s="175"/>
    </row>
    <row r="58" spans="2:9" s="21" customFormat="1">
      <c r="B58" s="14"/>
      <c r="C58" s="13"/>
      <c r="D58" s="198"/>
      <c r="E58" s="13"/>
      <c r="F58" s="199"/>
      <c r="G58" s="200"/>
      <c r="H58" s="199"/>
      <c r="I58" s="175"/>
    </row>
    <row r="59" spans="2:9" s="21" customFormat="1">
      <c r="B59" s="14"/>
      <c r="C59" s="13"/>
      <c r="D59" s="198"/>
      <c r="E59" s="13"/>
      <c r="F59" s="199"/>
      <c r="G59" s="200"/>
      <c r="H59" s="199"/>
      <c r="I59" s="175"/>
    </row>
    <row r="60" spans="2:9" s="21" customFormat="1">
      <c r="B60" s="14"/>
      <c r="C60" s="13"/>
      <c r="D60" s="198"/>
      <c r="E60" s="13"/>
      <c r="F60" s="199"/>
      <c r="G60" s="200"/>
      <c r="H60" s="199"/>
      <c r="I60" s="175"/>
    </row>
    <row r="61" spans="2:9" s="21" customFormat="1">
      <c r="B61" s="14"/>
      <c r="C61" s="13"/>
      <c r="D61" s="198"/>
      <c r="E61" s="13"/>
      <c r="F61" s="199"/>
      <c r="G61" s="200"/>
      <c r="H61" s="199"/>
      <c r="I61" s="175"/>
    </row>
    <row r="62" spans="2:9" s="21" customFormat="1">
      <c r="B62" s="14"/>
      <c r="C62" s="13"/>
      <c r="D62" s="198"/>
      <c r="E62" s="13"/>
      <c r="F62" s="199"/>
      <c r="G62" s="200"/>
      <c r="H62" s="199"/>
      <c r="I62" s="175"/>
    </row>
    <row r="63" spans="2:9" s="21" customFormat="1">
      <c r="B63" s="14"/>
      <c r="C63" s="13"/>
      <c r="D63" s="198"/>
      <c r="E63" s="13"/>
      <c r="F63" s="199"/>
      <c r="G63" s="200"/>
      <c r="H63" s="199"/>
      <c r="I63" s="175"/>
    </row>
    <row r="64" spans="2:9" s="21" customFormat="1">
      <c r="B64" s="14"/>
      <c r="C64" s="13"/>
      <c r="D64" s="201"/>
      <c r="E64" s="202"/>
      <c r="F64" s="233"/>
      <c r="G64" s="204"/>
      <c r="H64" s="233"/>
      <c r="I64" s="175"/>
    </row>
    <row r="65" spans="2:9" s="21" customFormat="1">
      <c r="B65" s="14"/>
      <c r="C65" s="13"/>
      <c r="D65" s="201"/>
      <c r="E65" s="201"/>
      <c r="F65" s="201"/>
      <c r="G65" s="201"/>
      <c r="H65" s="201"/>
      <c r="I65" s="175"/>
    </row>
    <row r="66" spans="2:9" s="21" customFormat="1">
      <c r="B66" s="14"/>
      <c r="C66" s="13"/>
      <c r="D66" s="201"/>
      <c r="E66" s="201"/>
      <c r="F66" s="201"/>
      <c r="G66" s="201"/>
      <c r="H66" s="201"/>
      <c r="I66" s="175"/>
    </row>
    <row r="67" spans="2:9" s="21" customFormat="1">
      <c r="B67" s="14"/>
      <c r="C67" s="13"/>
      <c r="D67" s="205"/>
      <c r="E67" s="234"/>
      <c r="F67" s="201"/>
      <c r="G67" s="201"/>
      <c r="H67" s="201"/>
      <c r="I67" s="175"/>
    </row>
    <row r="68" spans="2:9" s="21" customFormat="1">
      <c r="B68" s="14"/>
      <c r="C68" s="13"/>
      <c r="D68" s="202"/>
      <c r="E68" s="234"/>
      <c r="F68" s="201"/>
      <c r="G68" s="201"/>
      <c r="H68" s="201"/>
      <c r="I68" s="175"/>
    </row>
    <row r="69" spans="2:9" s="21" customFormat="1">
      <c r="B69" s="14"/>
      <c r="C69" s="13"/>
      <c r="D69" s="201"/>
      <c r="E69" s="234"/>
      <c r="F69" s="201"/>
      <c r="G69" s="201"/>
      <c r="H69" s="201"/>
      <c r="I69" s="175"/>
    </row>
    <row r="70" spans="2:9" s="21" customFormat="1" ht="14">
      <c r="B70" s="201"/>
      <c r="C70" s="202"/>
      <c r="D70" s="207"/>
      <c r="E70" s="207"/>
      <c r="F70" s="207"/>
      <c r="G70" s="207"/>
      <c r="H70" s="207"/>
      <c r="I70" s="175"/>
    </row>
    <row r="71" spans="2:9" s="21" customFormat="1" ht="14">
      <c r="B71" s="101"/>
      <c r="C71" s="101"/>
      <c r="D71" s="207"/>
      <c r="E71" s="207"/>
      <c r="F71" s="207"/>
      <c r="G71" s="207"/>
      <c r="H71" s="207"/>
      <c r="I71" s="175"/>
    </row>
    <row r="72" spans="2:9" s="21" customFormat="1" ht="14">
      <c r="B72" s="101"/>
      <c r="C72" s="101"/>
      <c r="D72" s="208"/>
      <c r="E72" s="235"/>
      <c r="F72" s="207"/>
      <c r="G72" s="207"/>
      <c r="H72" s="207"/>
      <c r="I72" s="175"/>
    </row>
    <row r="73" spans="2:9" s="21" customFormat="1" ht="14">
      <c r="B73" s="205"/>
      <c r="C73" s="234"/>
      <c r="D73" s="210"/>
      <c r="E73" s="235"/>
      <c r="F73" s="207"/>
      <c r="G73" s="207"/>
      <c r="H73" s="207"/>
      <c r="I73" s="175"/>
    </row>
    <row r="74" spans="2:9" s="21" customFormat="1" ht="14">
      <c r="B74" s="211"/>
      <c r="C74" s="234"/>
      <c r="D74" s="207"/>
      <c r="E74" s="235"/>
      <c r="F74" s="207"/>
      <c r="G74" s="207"/>
      <c r="H74" s="207"/>
      <c r="I74" s="175"/>
    </row>
    <row r="75" spans="2:9" s="21" customFormat="1">
      <c r="C75" s="234"/>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51.54296875" style="239" customWidth="1"/>
    <col min="3" max="3" width="47.1796875" style="239" bestFit="1" customWidth="1"/>
    <col min="4" max="4" width="10.81640625" style="239" customWidth="1"/>
    <col min="5" max="5" width="12.1796875" style="239" customWidth="1"/>
    <col min="6" max="6" width="10.1796875" style="239" customWidth="1"/>
    <col min="7" max="10" width="10.81640625" style="239" customWidth="1"/>
    <col min="11" max="11" width="12.1796875" style="239" customWidth="1"/>
    <col min="12" max="12" width="10.81640625" style="239" customWidth="1"/>
    <col min="13" max="13" width="1.1796875" style="239" customWidth="1"/>
    <col min="14" max="16384" width="9.1796875" style="239"/>
  </cols>
  <sheetData>
    <row r="1" spans="1:13" ht="6" customHeight="1">
      <c r="A1" s="236"/>
      <c r="B1" s="237"/>
      <c r="C1" s="237"/>
      <c r="D1" s="237"/>
      <c r="E1" s="237"/>
      <c r="F1" s="237"/>
      <c r="G1" s="237"/>
      <c r="H1" s="237"/>
      <c r="I1" s="237"/>
      <c r="J1" s="237"/>
      <c r="K1" s="237"/>
      <c r="L1" s="237"/>
      <c r="M1" s="238"/>
    </row>
    <row r="2" spans="1:13" s="248" customFormat="1" ht="18">
      <c r="A2" s="240"/>
      <c r="B2" s="241" t="str">
        <f>'Cover Sheet'!B2</f>
        <v>SC Germany Consumer 2020-1</v>
      </c>
      <c r="C2" s="241"/>
      <c r="D2" s="991" t="str">
        <f>'Cover Sheet'!D2</f>
        <v>Calculation Date</v>
      </c>
      <c r="E2" s="992"/>
      <c r="F2" s="243"/>
      <c r="G2" s="111">
        <f>'Cover Sheet'!F2</f>
        <v>45820</v>
      </c>
      <c r="H2" s="355"/>
      <c r="I2" s="243"/>
      <c r="J2" s="243"/>
      <c r="K2" s="245"/>
      <c r="M2" s="247"/>
    </row>
    <row r="3" spans="1:13" s="248" customFormat="1" ht="18">
      <c r="A3" s="240"/>
      <c r="B3" s="241" t="str">
        <f>'Cover Sheet'!B3</f>
        <v>Monthly Investor Report</v>
      </c>
      <c r="C3" s="241"/>
      <c r="D3" s="993" t="str">
        <f>'Cover Sheet'!D3</f>
        <v>Payment Date</v>
      </c>
      <c r="E3" s="994"/>
      <c r="F3" s="251"/>
      <c r="G3" s="117">
        <f>'Cover Sheet'!F3</f>
        <v>45824</v>
      </c>
      <c r="H3" s="356"/>
      <c r="I3" s="250"/>
      <c r="J3" s="250"/>
      <c r="K3" s="252"/>
      <c r="M3" s="247"/>
    </row>
    <row r="4" spans="1:13" s="248" customFormat="1">
      <c r="A4" s="240"/>
      <c r="B4" s="254"/>
      <c r="C4" s="330"/>
      <c r="D4" s="993" t="str">
        <f>'Cover Sheet'!D4</f>
        <v>Period  No</v>
      </c>
      <c r="E4" s="994"/>
      <c r="F4" s="255"/>
      <c r="G4" s="120">
        <f>'Cover Sheet'!F4</f>
        <v>55</v>
      </c>
      <c r="H4" s="357"/>
      <c r="I4" s="256"/>
      <c r="J4" s="250"/>
      <c r="K4" s="257"/>
      <c r="M4" s="247"/>
    </row>
    <row r="5" spans="1:13" s="248" customFormat="1" ht="18">
      <c r="A5" s="240"/>
      <c r="B5" s="258" t="s">
        <v>458</v>
      </c>
      <c r="C5" s="331"/>
      <c r="D5" s="993" t="str">
        <f>'Cover Sheet'!D5</f>
        <v>Monthly Period</v>
      </c>
      <c r="E5" s="994"/>
      <c r="F5" s="358"/>
      <c r="G5" s="124">
        <f>'Cover Sheet'!F5</f>
        <v>45824</v>
      </c>
      <c r="H5" s="250"/>
      <c r="I5" s="256"/>
      <c r="J5" s="250"/>
      <c r="K5" s="257"/>
      <c r="M5" s="247"/>
    </row>
    <row r="6" spans="1:13" s="248" customFormat="1" ht="15" customHeight="1">
      <c r="A6" s="240"/>
      <c r="B6" s="259"/>
      <c r="C6" s="332"/>
      <c r="D6" s="995" t="str">
        <f>'Cover Sheet'!D6</f>
        <v>Interest Period</v>
      </c>
      <c r="E6" s="994"/>
      <c r="F6" s="251" t="s">
        <v>34</v>
      </c>
      <c r="G6" s="117">
        <f>'Cover Sheet'!F6</f>
        <v>45791</v>
      </c>
      <c r="H6" s="251" t="s">
        <v>4</v>
      </c>
      <c r="I6" s="251">
        <f>'Cover Sheet'!H6</f>
        <v>45824</v>
      </c>
      <c r="J6" s="251" t="s">
        <v>15</v>
      </c>
      <c r="K6" s="262" t="str">
        <f>'Cover Sheet'!J6</f>
        <v>33 days</v>
      </c>
      <c r="M6" s="263"/>
    </row>
    <row r="7" spans="1:13" s="248" customFormat="1" ht="13">
      <c r="A7" s="240"/>
      <c r="B7" s="33"/>
      <c r="C7" s="33"/>
      <c r="D7" s="996" t="str">
        <f>'Cover Sheet'!D7</f>
        <v>Collection Period</v>
      </c>
      <c r="E7" s="997"/>
      <c r="F7" s="265" t="s">
        <v>34</v>
      </c>
      <c r="G7" s="132" t="str">
        <f>'Cover Sheet'!F7</f>
        <v>01.05.2025</v>
      </c>
      <c r="H7" s="265" t="s">
        <v>4</v>
      </c>
      <c r="I7" s="265">
        <f>'Cover Sheet'!H7</f>
        <v>45808</v>
      </c>
      <c r="J7" s="359"/>
      <c r="K7" s="267"/>
      <c r="M7" s="247"/>
    </row>
    <row r="8" spans="1:13" s="248" customFormat="1" ht="13">
      <c r="A8" s="240"/>
      <c r="B8" s="33"/>
      <c r="C8" s="33"/>
      <c r="D8" s="25"/>
      <c r="E8" s="246"/>
      <c r="F8" s="268"/>
      <c r="G8" s="246"/>
      <c r="H8" s="33"/>
      <c r="I8" s="269"/>
      <c r="J8" s="33"/>
      <c r="K8" s="253"/>
      <c r="L8" s="33"/>
      <c r="M8" s="247"/>
    </row>
    <row r="9" spans="1:13" s="248" customFormat="1" ht="13">
      <c r="A9" s="240"/>
      <c r="B9" s="33"/>
      <c r="C9" s="33"/>
      <c r="D9" s="25"/>
      <c r="E9" s="33"/>
      <c r="F9" s="33"/>
      <c r="G9" s="33"/>
      <c r="H9" s="33"/>
      <c r="I9" s="33"/>
      <c r="J9" s="33"/>
      <c r="K9" s="33"/>
      <c r="L9" s="33"/>
      <c r="M9" s="270"/>
    </row>
    <row r="10" spans="1:13" s="248" customFormat="1">
      <c r="A10" s="240"/>
      <c r="B10" s="33"/>
      <c r="C10" s="33"/>
      <c r="D10" s="25"/>
      <c r="E10" s="33"/>
      <c r="F10" s="271"/>
      <c r="G10" s="33"/>
      <c r="H10" s="33"/>
      <c r="I10" s="25"/>
      <c r="J10" s="25"/>
      <c r="K10" s="33"/>
      <c r="L10" s="33"/>
      <c r="M10" s="247"/>
    </row>
    <row r="11" spans="1:13" s="248" customFormat="1" ht="12.75" customHeight="1">
      <c r="A11" s="240"/>
      <c r="B11" s="272"/>
      <c r="C11" s="33"/>
      <c r="D11" s="32" t="s">
        <v>515</v>
      </c>
      <c r="E11" s="32" t="s">
        <v>516</v>
      </c>
      <c r="F11" s="32" t="s">
        <v>518</v>
      </c>
      <c r="G11" s="32" t="s">
        <v>315</v>
      </c>
      <c r="H11" s="32" t="s">
        <v>517</v>
      </c>
      <c r="I11" s="32" t="s">
        <v>259</v>
      </c>
      <c r="J11" s="28"/>
      <c r="K11" s="28"/>
      <c r="L11" s="28"/>
      <c r="M11" s="274"/>
    </row>
    <row r="12" spans="1:13" s="248" customFormat="1" ht="15" customHeight="1">
      <c r="A12" s="240"/>
      <c r="B12" s="33"/>
      <c r="C12" s="25"/>
      <c r="D12" s="988" t="s">
        <v>257</v>
      </c>
      <c r="E12" s="989"/>
      <c r="F12" s="990"/>
      <c r="G12" s="988" t="s">
        <v>258</v>
      </c>
      <c r="H12" s="989"/>
      <c r="I12" s="990"/>
      <c r="J12" s="240"/>
      <c r="K12" s="33"/>
      <c r="L12" s="271"/>
      <c r="M12" s="247"/>
    </row>
    <row r="13" spans="1:13" s="248" customFormat="1" ht="33" customHeight="1">
      <c r="A13" s="240"/>
      <c r="B13" s="33"/>
      <c r="C13" s="24"/>
      <c r="D13" s="3" t="s">
        <v>111</v>
      </c>
      <c r="E13" s="3" t="s">
        <v>112</v>
      </c>
      <c r="F13" s="3" t="s">
        <v>113</v>
      </c>
      <c r="G13" s="3" t="s">
        <v>111</v>
      </c>
      <c r="H13" s="3" t="s">
        <v>112</v>
      </c>
      <c r="I13" s="3" t="s">
        <v>113</v>
      </c>
      <c r="J13" s="33"/>
      <c r="K13" s="4" t="s">
        <v>197</v>
      </c>
      <c r="L13" s="271"/>
      <c r="M13" s="247"/>
    </row>
    <row r="14" spans="1:13" ht="12.75" customHeight="1">
      <c r="A14" s="285"/>
      <c r="B14" s="25"/>
      <c r="C14" s="25"/>
      <c r="D14" s="34" t="s">
        <v>515</v>
      </c>
      <c r="E14" s="34" t="s">
        <v>516</v>
      </c>
      <c r="F14" s="35" t="s">
        <v>518</v>
      </c>
      <c r="G14" s="34" t="s">
        <v>315</v>
      </c>
      <c r="H14" s="34" t="s">
        <v>517</v>
      </c>
      <c r="I14" s="34" t="s">
        <v>259</v>
      </c>
      <c r="J14" s="25"/>
      <c r="K14" s="5"/>
      <c r="L14" s="271"/>
      <c r="M14" s="316"/>
    </row>
    <row r="15" spans="1:13" ht="12.75" customHeight="1">
      <c r="A15" s="285"/>
      <c r="B15" s="36" t="s">
        <v>273</v>
      </c>
      <c r="C15" s="76" t="s">
        <v>108</v>
      </c>
      <c r="D15" s="5" t="str">
        <f>VLOOKUP($C15,rating_c20,8,FALSE)</f>
        <v>A</v>
      </c>
      <c r="E15" s="5" t="str">
        <f>VLOOKUP($C15,rating_c20,10,FALSE)</f>
        <v>F1</v>
      </c>
      <c r="F15" s="6" t="str">
        <f>VLOOKUP($C15,rating_c20,11,FALSE)</f>
        <v>STABLE</v>
      </c>
      <c r="G15" s="5" t="str">
        <f>VLOOKUP($C15,rating_c20,3,FALSE)</f>
        <v>A2</v>
      </c>
      <c r="H15" s="6" t="str">
        <f>VLOOKUP($C15,rating_c20,5,FALSE)</f>
        <v>P-1</v>
      </c>
      <c r="I15" s="5" t="str">
        <f>VLOOKUP($C15,rating_c20,6,FALSE)</f>
        <v>POS</v>
      </c>
      <c r="J15" s="25"/>
      <c r="K15" s="5" t="s">
        <v>214</v>
      </c>
      <c r="L15" s="271"/>
      <c r="M15" s="316"/>
    </row>
    <row r="16" spans="1:13" ht="12.75" customHeight="1">
      <c r="A16" s="285"/>
      <c r="B16" s="7"/>
      <c r="C16" s="77" t="s">
        <v>279</v>
      </c>
      <c r="D16" s="38"/>
      <c r="E16" s="38"/>
      <c r="F16" s="25"/>
      <c r="G16" s="38"/>
      <c r="H16" s="25"/>
      <c r="I16" s="38"/>
      <c r="J16" s="25"/>
      <c r="K16" s="5"/>
      <c r="L16" s="271"/>
      <c r="M16" s="316"/>
    </row>
    <row r="17" spans="1:13" ht="12.75" customHeight="1">
      <c r="A17" s="285"/>
      <c r="B17" s="8"/>
      <c r="C17" s="77" t="s">
        <v>280</v>
      </c>
      <c r="D17" s="5"/>
      <c r="E17" s="5"/>
      <c r="F17" s="6"/>
      <c r="G17" s="5"/>
      <c r="H17" s="6"/>
      <c r="I17" s="5"/>
      <c r="J17" s="25"/>
      <c r="K17" s="5"/>
      <c r="L17" s="271"/>
      <c r="M17" s="316"/>
    </row>
    <row r="18" spans="1:13" ht="12.75" customHeight="1">
      <c r="A18" s="285"/>
      <c r="B18" s="8"/>
      <c r="C18" s="77" t="s">
        <v>281</v>
      </c>
      <c r="D18" s="38"/>
      <c r="E18" s="38"/>
      <c r="F18" s="25"/>
      <c r="G18" s="38"/>
      <c r="H18" s="25"/>
      <c r="I18" s="38"/>
      <c r="J18" s="25"/>
      <c r="K18" s="5"/>
      <c r="L18" s="271"/>
      <c r="M18" s="316"/>
    </row>
    <row r="19" spans="1:13" ht="12.75" customHeight="1">
      <c r="A19" s="285"/>
      <c r="B19" s="8"/>
      <c r="C19" s="77"/>
      <c r="D19" s="38"/>
      <c r="E19" s="38"/>
      <c r="F19" s="25"/>
      <c r="G19" s="38"/>
      <c r="H19" s="25"/>
      <c r="I19" s="38"/>
      <c r="J19" s="25"/>
      <c r="K19" s="5"/>
      <c r="L19" s="271"/>
      <c r="M19" s="316"/>
    </row>
    <row r="20" spans="1:13" ht="12.75" customHeight="1">
      <c r="A20" s="285"/>
      <c r="B20" s="8"/>
      <c r="C20" s="76" t="s">
        <v>274</v>
      </c>
      <c r="D20" s="5" t="str">
        <f>VLOOKUP($C20,rating_c20,8,FALSE)</f>
        <v>A-</v>
      </c>
      <c r="E20" s="5" t="str">
        <f>VLOOKUP($C20,rating_c20,10,FALSE)</f>
        <v>F1</v>
      </c>
      <c r="F20" s="6" t="str">
        <f>VLOOKUP($C20,rating_c20,11,FALSE)</f>
        <v>STABLE</v>
      </c>
      <c r="G20" s="5" t="str">
        <f>VLOOKUP($C20,rating_c20,3,FALSE)</f>
        <v>A1</v>
      </c>
      <c r="H20" s="6" t="str">
        <f>VLOOKUP($C20,rating_c20,5,FALSE)</f>
        <v>P-1</v>
      </c>
      <c r="I20" s="5" t="str">
        <f>VLOOKUP($C20,rating_c20,6,FALSE)</f>
        <v>NEG</v>
      </c>
      <c r="J20" s="25"/>
      <c r="K20" s="5" t="s">
        <v>214</v>
      </c>
      <c r="L20" s="271"/>
      <c r="M20" s="316"/>
    </row>
    <row r="21" spans="1:13" ht="12.75" customHeight="1">
      <c r="A21" s="285"/>
      <c r="B21" s="8"/>
      <c r="C21" s="77" t="s">
        <v>282</v>
      </c>
      <c r="D21" s="38"/>
      <c r="E21" s="38"/>
      <c r="F21" s="25"/>
      <c r="G21" s="38"/>
      <c r="H21" s="25"/>
      <c r="I21" s="38"/>
      <c r="J21" s="25"/>
      <c r="K21" s="5"/>
      <c r="L21" s="271"/>
      <c r="M21" s="316"/>
    </row>
    <row r="22" spans="1:13" ht="12.75" customHeight="1">
      <c r="A22" s="285"/>
      <c r="B22" s="8"/>
      <c r="C22" s="77" t="s">
        <v>283</v>
      </c>
      <c r="D22" s="38"/>
      <c r="E22" s="38"/>
      <c r="F22" s="25"/>
      <c r="G22" s="38"/>
      <c r="H22" s="25"/>
      <c r="I22" s="38"/>
      <c r="J22" s="25"/>
      <c r="K22" s="5"/>
      <c r="L22" s="271"/>
      <c r="M22" s="316"/>
    </row>
    <row r="23" spans="1:13" ht="12.75" customHeight="1">
      <c r="A23" s="285"/>
      <c r="B23" s="8"/>
      <c r="C23" s="77" t="s">
        <v>284</v>
      </c>
      <c r="D23" s="38"/>
      <c r="E23" s="38"/>
      <c r="F23" s="25"/>
      <c r="G23" s="38"/>
      <c r="H23" s="25"/>
      <c r="I23" s="38"/>
      <c r="J23" s="25"/>
      <c r="K23" s="5"/>
      <c r="L23" s="271"/>
      <c r="M23" s="316"/>
    </row>
    <row r="24" spans="1:13" ht="12.75" customHeight="1">
      <c r="A24" s="285"/>
      <c r="B24" s="8"/>
      <c r="C24" s="77"/>
      <c r="D24" s="38"/>
      <c r="E24" s="38"/>
      <c r="F24" s="25"/>
      <c r="G24" s="38"/>
      <c r="H24" s="25"/>
      <c r="I24" s="38"/>
      <c r="J24" s="25"/>
      <c r="K24" s="5"/>
      <c r="L24" s="271"/>
      <c r="M24" s="316"/>
    </row>
    <row r="25" spans="1:13" ht="12.75" customHeight="1">
      <c r="A25" s="285"/>
      <c r="B25" s="8"/>
      <c r="C25" s="76" t="s">
        <v>500</v>
      </c>
      <c r="D25" s="5" t="str">
        <f>VLOOKUP($C25,rating_c20,8,FALSE)</f>
        <v>AA</v>
      </c>
      <c r="E25" s="5" t="str">
        <f>VLOOKUP($C25,rating_c20,10,FALSE)</f>
        <v>F1+</v>
      </c>
      <c r="F25" s="6" t="str">
        <f>VLOOKUP($C25,rating_c20,11,FALSE)</f>
        <v>STABLE</v>
      </c>
      <c r="G25" s="5" t="str">
        <f>VLOOKUP($C25,rating_c20,3,FALSE)</f>
        <v>-</v>
      </c>
      <c r="H25" s="6" t="str">
        <f>VLOOKUP($C25,rating_c20,5,FALSE)</f>
        <v>-</v>
      </c>
      <c r="I25" s="5" t="str">
        <f>VLOOKUP($C25,rating_c20,6,FALSE)</f>
        <v>-</v>
      </c>
      <c r="J25" s="25"/>
      <c r="K25" s="5" t="s">
        <v>214</v>
      </c>
      <c r="L25" s="271"/>
      <c r="M25" s="316"/>
    </row>
    <row r="26" spans="1:13" ht="12.75" customHeight="1">
      <c r="A26" s="285"/>
      <c r="B26" s="8"/>
      <c r="C26" s="77" t="s">
        <v>285</v>
      </c>
      <c r="D26" s="38"/>
      <c r="E26" s="38"/>
      <c r="F26" s="25"/>
      <c r="G26" s="38"/>
      <c r="H26" s="25"/>
      <c r="I26" s="38"/>
      <c r="J26" s="25"/>
      <c r="K26" s="5"/>
      <c r="L26" s="271"/>
      <c r="M26" s="316"/>
    </row>
    <row r="27" spans="1:13" ht="12.75" customHeight="1">
      <c r="A27" s="285"/>
      <c r="B27" s="8"/>
      <c r="C27" s="77" t="s">
        <v>286</v>
      </c>
      <c r="D27" s="38"/>
      <c r="E27" s="38"/>
      <c r="F27" s="25"/>
      <c r="G27" s="38"/>
      <c r="H27" s="25"/>
      <c r="I27" s="38"/>
      <c r="J27" s="25"/>
      <c r="K27" s="5"/>
      <c r="L27" s="271"/>
      <c r="M27" s="316"/>
    </row>
    <row r="28" spans="1:13" ht="12.75" customHeight="1">
      <c r="A28" s="285"/>
      <c r="B28" s="8"/>
      <c r="C28" s="77" t="s">
        <v>196</v>
      </c>
      <c r="D28" s="38"/>
      <c r="E28" s="38"/>
      <c r="F28" s="25"/>
      <c r="G28" s="38"/>
      <c r="H28" s="25"/>
      <c r="I28" s="38"/>
      <c r="J28" s="25"/>
      <c r="K28" s="5"/>
      <c r="L28" s="271"/>
      <c r="M28" s="316"/>
    </row>
    <row r="29" spans="1:13" ht="12.75" customHeight="1">
      <c r="A29" s="285"/>
      <c r="B29" s="8"/>
      <c r="C29" s="77"/>
      <c r="D29" s="38"/>
      <c r="E29" s="38"/>
      <c r="F29" s="25"/>
      <c r="G29" s="38"/>
      <c r="H29" s="25"/>
      <c r="I29" s="38"/>
      <c r="J29" s="25"/>
      <c r="K29" s="5"/>
      <c r="L29" s="271"/>
      <c r="M29" s="316"/>
    </row>
    <row r="30" spans="1:13" ht="12.75" customHeight="1">
      <c r="A30" s="285"/>
      <c r="B30" s="75" t="s">
        <v>302</v>
      </c>
      <c r="C30" s="76" t="s">
        <v>499</v>
      </c>
      <c r="D30" s="5" t="str">
        <f>VLOOKUP($C30,rating_c20,8,FALSE)</f>
        <v>-</v>
      </c>
      <c r="E30" s="5" t="str">
        <f>VLOOKUP($C30,rating_c20,10,FALSE)</f>
        <v>-</v>
      </c>
      <c r="F30" s="6" t="str">
        <f>VLOOKUP($C30,rating_c20,11,FALSE)</f>
        <v>-</v>
      </c>
      <c r="G30" s="5" t="str">
        <f>VLOOKUP($C30,rating_c20,3,FALSE)</f>
        <v>A2</v>
      </c>
      <c r="H30" s="6" t="str">
        <f>VLOOKUP($C30,rating_c20,5,FALSE)</f>
        <v>P-1</v>
      </c>
      <c r="I30" s="5" t="str">
        <f>VLOOKUP($C30,rating_c20,6,FALSE)</f>
        <v>STABLE</v>
      </c>
      <c r="J30" s="25"/>
      <c r="K30" s="5" t="s">
        <v>214</v>
      </c>
      <c r="L30" s="271"/>
      <c r="M30" s="316"/>
    </row>
    <row r="31" spans="1:13" ht="12.75" customHeight="1">
      <c r="A31" s="285"/>
      <c r="B31" s="8"/>
      <c r="C31" s="77" t="s">
        <v>287</v>
      </c>
      <c r="D31" s="38"/>
      <c r="E31" s="38"/>
      <c r="F31" s="25"/>
      <c r="G31" s="38"/>
      <c r="H31" s="25"/>
      <c r="I31" s="38"/>
      <c r="J31" s="25"/>
      <c r="K31" s="5"/>
      <c r="L31" s="271"/>
      <c r="M31" s="316"/>
    </row>
    <row r="32" spans="1:13" ht="12.75" customHeight="1">
      <c r="A32" s="285"/>
      <c r="B32" s="8"/>
      <c r="C32" s="77" t="s">
        <v>288</v>
      </c>
      <c r="D32" s="38"/>
      <c r="E32" s="38"/>
      <c r="F32" s="25"/>
      <c r="G32" s="38"/>
      <c r="H32" s="25"/>
      <c r="I32" s="38"/>
      <c r="J32" s="25"/>
      <c r="K32" s="5"/>
      <c r="L32" s="271"/>
      <c r="M32" s="316"/>
    </row>
    <row r="33" spans="1:13" ht="12.75" customHeight="1">
      <c r="A33" s="285"/>
      <c r="B33" s="8"/>
      <c r="C33" s="77"/>
      <c r="D33" s="38"/>
      <c r="E33" s="38"/>
      <c r="F33" s="25"/>
      <c r="G33" s="38"/>
      <c r="H33" s="25"/>
      <c r="I33" s="38"/>
      <c r="J33" s="25"/>
      <c r="K33" s="5"/>
      <c r="L33" s="271"/>
      <c r="M33" s="316"/>
    </row>
    <row r="34" spans="1:13" ht="12.75" customHeight="1">
      <c r="A34" s="285"/>
      <c r="B34" s="8"/>
      <c r="C34" s="72"/>
      <c r="D34" s="38"/>
      <c r="E34" s="38"/>
      <c r="F34" s="25"/>
      <c r="G34" s="38"/>
      <c r="H34" s="25"/>
      <c r="I34" s="38"/>
      <c r="J34" s="25"/>
      <c r="K34" s="5"/>
      <c r="L34" s="271"/>
      <c r="M34" s="316"/>
    </row>
    <row r="35" spans="1:13" ht="12.75" customHeight="1">
      <c r="A35" s="285"/>
      <c r="B35" s="36" t="s">
        <v>296</v>
      </c>
      <c r="C35" s="76" t="s">
        <v>297</v>
      </c>
      <c r="D35" s="5" t="str">
        <f>VLOOKUP($C35,rating_c20,8,FALSE)</f>
        <v>A+</v>
      </c>
      <c r="E35" s="5" t="str">
        <f>VLOOKUP($C35,rating_c20,10,FALSE)</f>
        <v>F1</v>
      </c>
      <c r="F35" s="6" t="str">
        <f>VLOOKUP($C35,rating_c20,11,FALSE)</f>
        <v>STABLE</v>
      </c>
      <c r="G35" s="5" t="str">
        <f>VLOOKUP($C35,rating_c20,3,FALSE)</f>
        <v>-</v>
      </c>
      <c r="H35" s="6" t="str">
        <f>VLOOKUP($C35,rating_c20,5,FALSE)</f>
        <v>P-1</v>
      </c>
      <c r="I35" s="5" t="str">
        <f>VLOOKUP($C35,rating_c20,6,FALSE)</f>
        <v>NEG</v>
      </c>
      <c r="J35" s="25"/>
      <c r="K35" s="5" t="s">
        <v>214</v>
      </c>
      <c r="L35" s="271"/>
      <c r="M35" s="316"/>
    </row>
    <row r="36" spans="1:13" ht="12.75" customHeight="1">
      <c r="A36" s="285"/>
      <c r="B36" s="74" t="s">
        <v>301</v>
      </c>
      <c r="C36" s="77" t="s">
        <v>298</v>
      </c>
      <c r="D36" s="38"/>
      <c r="E36" s="38"/>
      <c r="F36" s="25"/>
      <c r="G36" s="38"/>
      <c r="H36" s="25"/>
      <c r="I36" s="38"/>
      <c r="J36" s="25"/>
      <c r="K36" s="5"/>
      <c r="L36" s="271"/>
      <c r="M36" s="316"/>
    </row>
    <row r="37" spans="1:13" ht="12.75" customHeight="1">
      <c r="A37" s="285"/>
      <c r="B37" s="25"/>
      <c r="C37" s="77" t="s">
        <v>299</v>
      </c>
      <c r="D37" s="38"/>
      <c r="E37" s="38"/>
      <c r="F37" s="25"/>
      <c r="G37" s="38"/>
      <c r="H37" s="25"/>
      <c r="I37" s="38"/>
      <c r="J37" s="25"/>
      <c r="K37" s="5"/>
      <c r="L37" s="271"/>
      <c r="M37" s="316"/>
    </row>
    <row r="38" spans="1:13" ht="12.75" customHeight="1">
      <c r="A38" s="285"/>
      <c r="B38" s="25" t="s">
        <v>476</v>
      </c>
      <c r="C38" s="77" t="s">
        <v>300</v>
      </c>
      <c r="D38" s="38"/>
      <c r="E38" s="38"/>
      <c r="F38" s="25"/>
      <c r="G38" s="38"/>
      <c r="H38" s="25"/>
      <c r="I38" s="38"/>
      <c r="J38" s="25"/>
      <c r="K38" s="5"/>
      <c r="L38" s="271"/>
      <c r="M38" s="316"/>
    </row>
    <row r="39" spans="1:13" ht="12.75" customHeight="1">
      <c r="A39" s="285"/>
      <c r="B39" s="25"/>
      <c r="C39" s="72"/>
      <c r="D39" s="38"/>
      <c r="E39" s="38"/>
      <c r="F39" s="25"/>
      <c r="G39" s="38"/>
      <c r="H39" s="25"/>
      <c r="I39" s="38"/>
      <c r="J39" s="25"/>
      <c r="K39" s="5"/>
      <c r="L39" s="271"/>
      <c r="M39" s="316"/>
    </row>
    <row r="40" spans="1:13" ht="12.75" customHeight="1">
      <c r="A40" s="285"/>
      <c r="B40" s="25"/>
      <c r="C40" s="72"/>
      <c r="D40" s="38"/>
      <c r="E40" s="38"/>
      <c r="F40" s="25"/>
      <c r="G40" s="38"/>
      <c r="H40" s="25"/>
      <c r="I40" s="38"/>
      <c r="J40" s="25"/>
      <c r="K40" s="5"/>
      <c r="L40" s="271"/>
      <c r="M40" s="316"/>
    </row>
    <row r="41" spans="1:13" ht="12.75" customHeight="1">
      <c r="A41" s="285"/>
      <c r="B41" s="23" t="s">
        <v>303</v>
      </c>
      <c r="C41" s="76" t="s">
        <v>304</v>
      </c>
      <c r="D41" s="5" t="str">
        <f>VLOOKUP($C41,rating_c20,8,FALSE)</f>
        <v>-</v>
      </c>
      <c r="E41" s="5" t="str">
        <f>VLOOKUP($C41,rating_c20,10,FALSE)</f>
        <v>-</v>
      </c>
      <c r="F41" s="6" t="str">
        <f>VLOOKUP($C41,rating_c20,11,FALSE)</f>
        <v>-</v>
      </c>
      <c r="G41" s="5" t="str">
        <f>VLOOKUP($C41,rating_c20,3,FALSE)</f>
        <v>-</v>
      </c>
      <c r="H41" s="6" t="str">
        <f>VLOOKUP($C41,rating_c20,5,FALSE)</f>
        <v>-</v>
      </c>
      <c r="I41" s="5" t="str">
        <f>VLOOKUP($C41,rating_c20,6,FALSE)</f>
        <v>-</v>
      </c>
      <c r="J41" s="25"/>
      <c r="K41" s="5" t="s">
        <v>214</v>
      </c>
      <c r="L41" s="271"/>
      <c r="M41" s="316"/>
    </row>
    <row r="42" spans="1:13" ht="12.75" customHeight="1">
      <c r="A42" s="285"/>
      <c r="B42" s="25"/>
      <c r="C42" s="73" t="s">
        <v>305</v>
      </c>
      <c r="D42" s="38"/>
      <c r="E42" s="38"/>
      <c r="F42" s="25"/>
      <c r="G42" s="38"/>
      <c r="H42" s="25"/>
      <c r="I42" s="38"/>
      <c r="J42" s="25"/>
      <c r="K42" s="5"/>
      <c r="L42" s="271"/>
      <c r="M42" s="316"/>
    </row>
    <row r="43" spans="1:13" ht="12.75" customHeight="1">
      <c r="A43" s="285"/>
      <c r="B43" s="25"/>
      <c r="C43" s="73" t="s">
        <v>306</v>
      </c>
      <c r="D43" s="38"/>
      <c r="E43" s="38"/>
      <c r="F43" s="25"/>
      <c r="G43" s="38"/>
      <c r="H43" s="25"/>
      <c r="I43" s="38"/>
      <c r="J43" s="25"/>
      <c r="K43" s="5"/>
      <c r="L43" s="271"/>
      <c r="M43" s="316"/>
    </row>
    <row r="44" spans="1:13" ht="12.75" customHeight="1">
      <c r="A44" s="285"/>
      <c r="B44" s="25"/>
      <c r="C44" s="73" t="s">
        <v>196</v>
      </c>
      <c r="D44" s="38"/>
      <c r="E44" s="38"/>
      <c r="F44" s="25"/>
      <c r="G44" s="38"/>
      <c r="H44" s="25"/>
      <c r="I44" s="38"/>
      <c r="J44" s="25"/>
      <c r="K44" s="5"/>
      <c r="L44" s="271"/>
      <c r="M44" s="316"/>
    </row>
    <row r="45" spans="1:13" ht="12.75" customHeight="1">
      <c r="A45" s="285"/>
      <c r="B45" s="25"/>
      <c r="C45" s="70"/>
      <c r="D45" s="38"/>
      <c r="E45" s="38"/>
      <c r="F45" s="25"/>
      <c r="G45" s="38"/>
      <c r="H45" s="25"/>
      <c r="I45" s="38"/>
      <c r="J45" s="25"/>
      <c r="K45" s="5"/>
      <c r="L45" s="271"/>
      <c r="M45" s="316"/>
    </row>
    <row r="46" spans="1:13" ht="12.75" customHeight="1">
      <c r="A46" s="285"/>
      <c r="B46" s="25"/>
      <c r="C46" s="70"/>
      <c r="D46" s="38"/>
      <c r="E46" s="38"/>
      <c r="F46" s="25"/>
      <c r="G46" s="38"/>
      <c r="H46" s="25"/>
      <c r="I46" s="38"/>
      <c r="J46" s="25"/>
      <c r="K46" s="5"/>
      <c r="L46" s="271"/>
      <c r="M46" s="316"/>
    </row>
    <row r="47" spans="1:13" ht="12.75" customHeight="1">
      <c r="A47" s="285"/>
      <c r="B47" s="36" t="s">
        <v>198</v>
      </c>
      <c r="C47" s="76" t="s">
        <v>289</v>
      </c>
      <c r="D47" s="1" t="str">
        <f>VLOOKUP($C47,rating_c20,8,FALSE)</f>
        <v>-</v>
      </c>
      <c r="E47" s="1" t="str">
        <f>VLOOKUP($C47,rating_c20,10,FALSE)</f>
        <v>-</v>
      </c>
      <c r="F47" s="1" t="str">
        <f>VLOOKUP($C47,rating_c20,11,FALSE)</f>
        <v>-</v>
      </c>
      <c r="G47" s="1" t="str">
        <f>VLOOKUP($C47,rating_c20,3,FALSE)</f>
        <v>-</v>
      </c>
      <c r="H47" s="1" t="str">
        <f>VLOOKUP($C47,rating_c20,5,FALSE)</f>
        <v>-</v>
      </c>
      <c r="I47" s="1" t="str">
        <f>VLOOKUP($C47,rating_c20,6,FALSE)</f>
        <v>-</v>
      </c>
      <c r="J47" s="25"/>
      <c r="K47" s="5" t="s">
        <v>214</v>
      </c>
      <c r="L47" s="271"/>
      <c r="M47" s="316"/>
    </row>
    <row r="48" spans="1:13" ht="12.75" customHeight="1">
      <c r="A48" s="285"/>
      <c r="B48" s="25"/>
      <c r="C48" s="77" t="s">
        <v>290</v>
      </c>
      <c r="D48" s="38"/>
      <c r="E48" s="38"/>
      <c r="F48" s="25"/>
      <c r="G48" s="38"/>
      <c r="H48" s="25"/>
      <c r="I48" s="38"/>
      <c r="J48" s="25"/>
      <c r="K48" s="5"/>
      <c r="L48" s="271"/>
      <c r="M48" s="316"/>
    </row>
    <row r="49" spans="1:13" ht="12.75" customHeight="1">
      <c r="A49" s="285"/>
      <c r="B49" s="25"/>
      <c r="C49" s="77" t="s">
        <v>291</v>
      </c>
      <c r="D49" s="38"/>
      <c r="E49" s="38"/>
      <c r="F49" s="25"/>
      <c r="G49" s="38"/>
      <c r="H49" s="25"/>
      <c r="I49" s="38"/>
      <c r="J49" s="25"/>
      <c r="K49" s="5"/>
      <c r="L49" s="271"/>
      <c r="M49" s="316"/>
    </row>
    <row r="50" spans="1:13" ht="12.75" customHeight="1">
      <c r="A50" s="285"/>
      <c r="B50" s="25"/>
      <c r="C50" s="77" t="s">
        <v>292</v>
      </c>
      <c r="D50" s="38"/>
      <c r="E50" s="38"/>
      <c r="F50" s="25"/>
      <c r="G50" s="38"/>
      <c r="H50" s="25"/>
      <c r="I50" s="38"/>
      <c r="J50" s="25"/>
      <c r="K50" s="5"/>
      <c r="L50" s="271"/>
      <c r="M50" s="316"/>
    </row>
    <row r="51" spans="1:13" ht="12.75" customHeight="1">
      <c r="A51" s="285"/>
      <c r="B51" s="25"/>
      <c r="C51" s="70"/>
      <c r="D51" s="38"/>
      <c r="E51" s="38"/>
      <c r="F51" s="25"/>
      <c r="G51" s="38"/>
      <c r="H51" s="25"/>
      <c r="I51" s="38"/>
      <c r="J51" s="25"/>
      <c r="K51" s="5"/>
      <c r="L51" s="271"/>
      <c r="M51" s="316"/>
    </row>
    <row r="52" spans="1:13" ht="12.75" customHeight="1">
      <c r="A52" s="285"/>
      <c r="B52" s="36" t="s">
        <v>199</v>
      </c>
      <c r="C52" s="76" t="s">
        <v>293</v>
      </c>
      <c r="D52" s="1" t="str">
        <f>VLOOKUP($C52,rating_c20,8,FALSE)</f>
        <v>-</v>
      </c>
      <c r="E52" s="1" t="str">
        <f>VLOOKUP($C52,rating_c20,10,FALSE)</f>
        <v>-</v>
      </c>
      <c r="F52" s="1" t="str">
        <f>VLOOKUP($C52,rating_c20,11,FALSE)</f>
        <v>-</v>
      </c>
      <c r="G52" s="1" t="str">
        <f>VLOOKUP($C52,rating_c20,3,FALSE)</f>
        <v>-</v>
      </c>
      <c r="H52" s="1" t="str">
        <f>VLOOKUP($C52,rating_c20,5,FALSE)</f>
        <v>-</v>
      </c>
      <c r="I52" s="1" t="str">
        <f>VLOOKUP($C52,rating_c20,6,FALSE)</f>
        <v>-</v>
      </c>
      <c r="J52" s="25"/>
      <c r="K52" s="5" t="s">
        <v>214</v>
      </c>
      <c r="L52" s="271"/>
      <c r="M52" s="316"/>
    </row>
    <row r="53" spans="1:13" ht="12.75" customHeight="1">
      <c r="A53" s="285"/>
      <c r="B53" s="25"/>
      <c r="C53" s="77" t="s">
        <v>294</v>
      </c>
      <c r="D53" s="38"/>
      <c r="E53" s="38"/>
      <c r="F53" s="38"/>
      <c r="G53" s="38"/>
      <c r="H53" s="38"/>
      <c r="I53" s="38"/>
      <c r="J53" s="25"/>
      <c r="K53" s="5"/>
      <c r="L53" s="25"/>
      <c r="M53" s="316"/>
    </row>
    <row r="54" spans="1:13" ht="12.75" customHeight="1">
      <c r="A54" s="285"/>
      <c r="C54" s="77" t="s">
        <v>295</v>
      </c>
      <c r="D54" s="38"/>
      <c r="E54" s="38"/>
      <c r="F54" s="25"/>
      <c r="G54" s="38"/>
      <c r="H54" s="25"/>
      <c r="I54" s="38"/>
      <c r="J54" s="25"/>
      <c r="K54" s="5"/>
      <c r="L54" s="25"/>
      <c r="M54" s="316"/>
    </row>
    <row r="55" spans="1:13" ht="12.75" customHeight="1">
      <c r="A55" s="285"/>
      <c r="B55" s="25"/>
      <c r="C55" s="77" t="s">
        <v>196</v>
      </c>
      <c r="D55" s="38"/>
      <c r="E55" s="38"/>
      <c r="F55" s="25"/>
      <c r="G55" s="38"/>
      <c r="H55" s="25"/>
      <c r="I55" s="38"/>
      <c r="J55" s="25"/>
      <c r="K55" s="5"/>
      <c r="L55" s="25"/>
      <c r="M55" s="316"/>
    </row>
    <row r="56" spans="1:13" ht="12.75" customHeight="1">
      <c r="A56" s="285"/>
      <c r="B56" s="25"/>
      <c r="C56" s="77"/>
      <c r="D56" s="38"/>
      <c r="E56" s="38"/>
      <c r="F56" s="25"/>
      <c r="G56" s="38"/>
      <c r="H56" s="25"/>
      <c r="I56" s="38"/>
      <c r="J56" s="25"/>
      <c r="K56" s="5"/>
      <c r="L56" s="25"/>
      <c r="M56" s="316"/>
    </row>
    <row r="57" spans="1:13" ht="12.75" customHeight="1">
      <c r="A57" s="285"/>
      <c r="B57" s="24" t="s">
        <v>307</v>
      </c>
      <c r="C57" s="76" t="s">
        <v>313</v>
      </c>
      <c r="D57" s="5" t="str">
        <f>VLOOKUP($C57,rating_c20,8,FALSE)</f>
        <v>AA-</v>
      </c>
      <c r="E57" s="5" t="str">
        <f>VLOOKUP($C57,rating_c20,10,FALSE)</f>
        <v>F1+</v>
      </c>
      <c r="F57" s="6" t="str">
        <f>VLOOKUP($C57,rating_c20,11,FALSE)</f>
        <v>STABLE</v>
      </c>
      <c r="G57" s="5" t="str">
        <f>VLOOKUP($C57,rating_c20,3,FALSE)</f>
        <v>Aa2</v>
      </c>
      <c r="H57" s="6" t="str">
        <f>VLOOKUP($C57,rating_c20,5,FALSE)</f>
        <v>P-1</v>
      </c>
      <c r="I57" s="5" t="str">
        <f>VLOOKUP($C57,rating_c20,6,FALSE)</f>
        <v>STABLE</v>
      </c>
      <c r="J57" s="25"/>
      <c r="K57" s="5" t="s">
        <v>214</v>
      </c>
      <c r="L57" s="25"/>
      <c r="M57" s="316"/>
    </row>
    <row r="58" spans="1:13" ht="12.75" customHeight="1">
      <c r="A58" s="285"/>
      <c r="B58" s="25"/>
      <c r="C58" s="77" t="s">
        <v>308</v>
      </c>
      <c r="D58" s="38"/>
      <c r="E58" s="38"/>
      <c r="F58" s="25"/>
      <c r="G58" s="38"/>
      <c r="H58" s="25"/>
      <c r="I58" s="38"/>
      <c r="J58" s="25"/>
      <c r="K58" s="5"/>
      <c r="L58" s="25"/>
      <c r="M58" s="316"/>
    </row>
    <row r="59" spans="1:13" ht="12.75" customHeight="1">
      <c r="A59" s="285"/>
      <c r="B59" s="25"/>
      <c r="C59" s="77" t="s">
        <v>309</v>
      </c>
      <c r="D59" s="38"/>
      <c r="E59" s="38"/>
      <c r="F59" s="25"/>
      <c r="G59" s="38"/>
      <c r="H59" s="25"/>
      <c r="I59" s="38"/>
      <c r="J59" s="25"/>
      <c r="K59" s="5"/>
      <c r="L59" s="25"/>
      <c r="M59" s="316"/>
    </row>
    <row r="60" spans="1:13" ht="12.75" customHeight="1">
      <c r="A60" s="285"/>
      <c r="B60" s="25"/>
      <c r="C60" s="77" t="s">
        <v>208</v>
      </c>
      <c r="D60" s="38"/>
      <c r="E60" s="38"/>
      <c r="F60" s="25"/>
      <c r="G60" s="38"/>
      <c r="H60" s="25"/>
      <c r="I60" s="38"/>
      <c r="J60" s="25"/>
      <c r="K60" s="5"/>
      <c r="L60" s="25"/>
      <c r="M60" s="316"/>
    </row>
    <row r="61" spans="1:13" ht="12.75" customHeight="1">
      <c r="A61" s="285"/>
      <c r="B61" s="25"/>
      <c r="C61" s="77"/>
      <c r="D61" s="38"/>
      <c r="E61" s="38"/>
      <c r="F61" s="25"/>
      <c r="G61" s="38"/>
      <c r="H61" s="25"/>
      <c r="I61" s="38"/>
      <c r="J61" s="25"/>
      <c r="K61" s="5"/>
      <c r="L61" s="25"/>
      <c r="M61" s="316"/>
    </row>
    <row r="62" spans="1:13" ht="12.75" customHeight="1">
      <c r="A62" s="285"/>
      <c r="B62" s="25"/>
      <c r="C62" s="77"/>
      <c r="D62" s="38"/>
      <c r="E62" s="38"/>
      <c r="F62" s="25"/>
      <c r="G62" s="38"/>
      <c r="H62" s="25"/>
      <c r="I62" s="38"/>
      <c r="J62" s="25"/>
      <c r="K62" s="5"/>
      <c r="L62" s="25"/>
      <c r="M62" s="316"/>
    </row>
    <row r="63" spans="1:13" ht="12.75" customHeight="1">
      <c r="A63" s="285"/>
      <c r="B63" s="25"/>
      <c r="C63" s="77"/>
      <c r="D63" s="38"/>
      <c r="E63" s="38"/>
      <c r="F63" s="25"/>
      <c r="G63" s="38"/>
      <c r="H63" s="25"/>
      <c r="I63" s="38"/>
      <c r="J63" s="25"/>
      <c r="K63" s="5"/>
      <c r="L63" s="25"/>
      <c r="M63" s="316"/>
    </row>
    <row r="64" spans="1:13" ht="12.75" customHeight="1">
      <c r="A64" s="285"/>
      <c r="B64" s="25"/>
      <c r="C64" s="25"/>
      <c r="D64" s="39"/>
      <c r="E64" s="39"/>
      <c r="F64" s="40"/>
      <c r="G64" s="39"/>
      <c r="H64" s="40"/>
      <c r="I64" s="39"/>
      <c r="J64" s="38"/>
      <c r="K64" s="41"/>
      <c r="L64" s="25"/>
      <c r="M64" s="316"/>
    </row>
    <row r="65" spans="1:13" ht="12.75" customHeight="1">
      <c r="A65" s="285"/>
      <c r="B65" s="25"/>
      <c r="C65" s="25"/>
      <c r="D65" s="33"/>
      <c r="E65" s="33"/>
      <c r="F65" s="33"/>
      <c r="G65" s="33"/>
      <c r="H65" s="33"/>
      <c r="I65" s="33"/>
      <c r="J65" s="33"/>
      <c r="K65" s="33"/>
      <c r="L65" s="33"/>
      <c r="M65" s="316"/>
    </row>
    <row r="66" spans="1:13" ht="12.75" customHeight="1">
      <c r="A66" s="285"/>
      <c r="B66" s="25"/>
      <c r="C66" s="25"/>
      <c r="D66" s="33"/>
      <c r="E66" s="33"/>
      <c r="F66" s="33"/>
      <c r="G66" s="33"/>
      <c r="H66" s="33"/>
      <c r="I66" s="33"/>
      <c r="J66" s="33"/>
      <c r="K66" s="33"/>
      <c r="L66" s="33"/>
      <c r="M66" s="316"/>
    </row>
    <row r="67" spans="1:13" ht="12.75" customHeight="1">
      <c r="A67" s="285"/>
      <c r="B67" s="36" t="s">
        <v>200</v>
      </c>
      <c r="C67" s="76" t="s">
        <v>519</v>
      </c>
      <c r="D67" s="360"/>
      <c r="E67" s="76" t="s">
        <v>520</v>
      </c>
      <c r="F67" s="360"/>
      <c r="G67" s="360"/>
      <c r="H67" s="33"/>
      <c r="I67" s="24"/>
      <c r="J67" s="33"/>
      <c r="K67" s="33"/>
      <c r="L67" s="33"/>
      <c r="M67" s="316"/>
    </row>
    <row r="68" spans="1:13" ht="12.75" customHeight="1">
      <c r="A68" s="285"/>
      <c r="B68" s="25"/>
      <c r="C68" s="73" t="s">
        <v>521</v>
      </c>
      <c r="D68" s="360"/>
      <c r="E68" s="73" t="s">
        <v>524</v>
      </c>
      <c r="F68" s="73"/>
      <c r="G68" s="73"/>
      <c r="H68" s="73"/>
      <c r="I68" s="73"/>
      <c r="J68" s="33"/>
      <c r="K68" s="33"/>
      <c r="L68" s="33"/>
      <c r="M68" s="316"/>
    </row>
    <row r="69" spans="1:13" ht="12.75" customHeight="1">
      <c r="A69" s="285"/>
      <c r="B69" s="25"/>
      <c r="C69" s="73" t="s">
        <v>523</v>
      </c>
      <c r="D69" s="360"/>
      <c r="E69" s="73" t="s">
        <v>525</v>
      </c>
      <c r="F69" s="73"/>
      <c r="G69" s="73"/>
      <c r="H69" s="73"/>
      <c r="I69" s="73"/>
      <c r="J69" s="33"/>
      <c r="K69" s="33"/>
      <c r="L69" s="33"/>
      <c r="M69" s="316"/>
    </row>
    <row r="70" spans="1:13" s="33" customFormat="1" ht="12.75" customHeight="1">
      <c r="A70" s="240"/>
      <c r="B70" s="25"/>
      <c r="C70" s="73" t="s">
        <v>522</v>
      </c>
      <c r="D70" s="360"/>
      <c r="E70" s="73" t="s">
        <v>526</v>
      </c>
      <c r="F70" s="73"/>
      <c r="G70" s="73"/>
      <c r="H70" s="73"/>
      <c r="I70" s="73"/>
      <c r="M70" s="247"/>
    </row>
    <row r="71" spans="1:13" s="33" customFormat="1" ht="12.75" customHeight="1">
      <c r="A71" s="240"/>
      <c r="B71" s="25"/>
      <c r="C71" s="73"/>
      <c r="D71" s="360"/>
      <c r="E71" s="73" t="s">
        <v>281</v>
      </c>
      <c r="F71" s="73"/>
      <c r="G71" s="73"/>
      <c r="H71" s="73"/>
      <c r="I71" s="73"/>
      <c r="M71" s="247"/>
    </row>
    <row r="72" spans="1:13" s="25" customFormat="1" ht="12.75" customHeight="1">
      <c r="A72" s="285"/>
      <c r="M72" s="316"/>
    </row>
    <row r="73" spans="1:13" s="25" customFormat="1" ht="12.75" customHeight="1">
      <c r="A73" s="350"/>
      <c r="B73" s="943" t="str">
        <f>VLOOKUP("RatingDate",rating_c20,17,0)</f>
        <v>Ratings as of 31.05.2025, data source: Bloomberg</v>
      </c>
      <c r="C73" s="11"/>
      <c r="D73" s="42"/>
      <c r="E73" s="42"/>
      <c r="F73" s="42"/>
      <c r="G73" s="42"/>
      <c r="H73" s="42"/>
      <c r="I73" s="42"/>
      <c r="J73" s="42"/>
      <c r="K73" s="42"/>
      <c r="L73" s="42"/>
      <c r="M73" s="354"/>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1"/>
      <c r="D77" s="43"/>
      <c r="E77" s="43"/>
      <c r="F77" s="43"/>
      <c r="G77" s="9"/>
      <c r="H77" s="9"/>
      <c r="I77" s="9"/>
      <c r="J77" s="9"/>
      <c r="K77" s="271"/>
    </row>
    <row r="78" spans="1:13" s="25" customFormat="1" ht="15.5">
      <c r="C78" s="361"/>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08"/>
      <c r="E85" s="235"/>
      <c r="F85" s="325"/>
      <c r="G85" s="325"/>
      <c r="H85" s="325"/>
      <c r="I85" s="280"/>
    </row>
    <row r="86" spans="2:11" s="25" customFormat="1" ht="14">
      <c r="B86" s="205"/>
      <c r="C86" s="234"/>
      <c r="D86" s="326"/>
      <c r="E86" s="235"/>
      <c r="F86" s="325"/>
      <c r="G86" s="325"/>
      <c r="H86" s="325"/>
      <c r="I86" s="280"/>
    </row>
    <row r="87" spans="2:11" s="25" customFormat="1" ht="14">
      <c r="B87" s="327"/>
      <c r="C87" s="234"/>
      <c r="D87" s="325"/>
      <c r="E87" s="235"/>
      <c r="F87" s="325"/>
      <c r="G87" s="325"/>
      <c r="H87" s="325"/>
      <c r="I87" s="280"/>
    </row>
    <row r="88" spans="2:11" s="25" customFormat="1">
      <c r="C88" s="234"/>
      <c r="I88" s="280"/>
    </row>
    <row r="89" spans="2:11" s="25" customFormat="1">
      <c r="I89" s="280"/>
    </row>
    <row r="90" spans="2:11" s="25" customFormat="1">
      <c r="I90" s="280"/>
    </row>
    <row r="91" spans="2:11" s="25" customFormat="1">
      <c r="I91" s="280"/>
    </row>
    <row r="92" spans="2:11" s="25" customFormat="1">
      <c r="I92" s="280"/>
    </row>
    <row r="93" spans="2:11" s="25" customFormat="1">
      <c r="I93" s="280"/>
    </row>
    <row r="94" spans="2:11" s="25" customFormat="1">
      <c r="I94" s="280"/>
    </row>
    <row r="95" spans="2:11" s="25" customFormat="1">
      <c r="I95" s="280"/>
    </row>
    <row r="96" spans="2:11"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c r="I299" s="280"/>
    </row>
    <row r="300" spans="9:9" s="25" customFormat="1">
      <c r="I300" s="280"/>
    </row>
    <row r="301" spans="9:9" s="25" customFormat="1">
      <c r="I301" s="280"/>
    </row>
    <row r="302" spans="9:9" s="25" customFormat="1">
      <c r="I302" s="280"/>
    </row>
    <row r="303" spans="9:9" s="25" customFormat="1">
      <c r="I303" s="280"/>
    </row>
    <row r="304" spans="9:9" s="25" customFormat="1">
      <c r="I304" s="280"/>
    </row>
    <row r="305" spans="9:9" s="25" customFormat="1">
      <c r="I305" s="280"/>
    </row>
    <row r="306" spans="9:9" s="25" customFormat="1">
      <c r="I306" s="280"/>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34.54296875" style="239" customWidth="1"/>
    <col min="3" max="10" width="15.81640625" style="239" customWidth="1"/>
    <col min="11" max="11" width="1.1796875" style="239" customWidth="1"/>
    <col min="12" max="12" width="3.1796875" style="239" customWidth="1"/>
    <col min="13" max="16384" width="9.1796875" style="239"/>
  </cols>
  <sheetData>
    <row r="1" spans="1:16" ht="6" customHeight="1">
      <c r="A1" s="236"/>
      <c r="B1" s="237"/>
      <c r="C1" s="237"/>
      <c r="D1" s="237"/>
      <c r="E1" s="237"/>
      <c r="F1" s="237"/>
      <c r="G1" s="237"/>
      <c r="H1" s="237"/>
      <c r="I1" s="237"/>
      <c r="J1" s="237"/>
      <c r="K1" s="238"/>
    </row>
    <row r="2" spans="1:16" s="248" customFormat="1" ht="18">
      <c r="A2" s="240"/>
      <c r="B2" s="241" t="str">
        <f>'Cover Sheet'!B2</f>
        <v>SC Germany Consumer 2020-1</v>
      </c>
      <c r="C2" s="241"/>
      <c r="D2" s="242" t="str">
        <f>'Cover Sheet'!D2</f>
        <v>Calculation Date</v>
      </c>
      <c r="E2" s="243"/>
      <c r="F2" s="244">
        <f>'Cover Sheet'!F2</f>
        <v>45820</v>
      </c>
      <c r="G2" s="243"/>
      <c r="H2" s="243"/>
      <c r="I2" s="243"/>
      <c r="J2" s="245"/>
      <c r="K2" s="328"/>
    </row>
    <row r="3" spans="1:16" s="248" customFormat="1" ht="18">
      <c r="A3" s="240"/>
      <c r="B3" s="241" t="str">
        <f>'Cover Sheet'!B3</f>
        <v>Monthly Investor Report</v>
      </c>
      <c r="C3" s="241"/>
      <c r="D3" s="249" t="str">
        <f>'Cover Sheet'!D3</f>
        <v>Payment Date</v>
      </c>
      <c r="E3" s="250"/>
      <c r="F3" s="251">
        <f>'Cover Sheet'!F3</f>
        <v>45824</v>
      </c>
      <c r="G3" s="250"/>
      <c r="H3" s="250"/>
      <c r="I3" s="250"/>
      <c r="J3" s="252"/>
      <c r="K3" s="329"/>
    </row>
    <row r="4" spans="1:16" s="248" customFormat="1" ht="13">
      <c r="A4" s="240"/>
      <c r="B4" s="254"/>
      <c r="C4" s="330"/>
      <c r="D4" s="249" t="str">
        <f>'Cover Sheet'!D4</f>
        <v>Period  No</v>
      </c>
      <c r="E4" s="250"/>
      <c r="F4" s="255">
        <f>'Cover Sheet'!F4</f>
        <v>55</v>
      </c>
      <c r="G4" s="250"/>
      <c r="H4" s="256"/>
      <c r="I4" s="250"/>
      <c r="J4" s="257"/>
      <c r="K4" s="328"/>
    </row>
    <row r="5" spans="1:16" s="248" customFormat="1" ht="18">
      <c r="A5" s="240"/>
      <c r="B5" s="258" t="s">
        <v>457</v>
      </c>
      <c r="C5" s="331"/>
      <c r="D5" s="249" t="str">
        <f>'Cover Sheet'!D5</f>
        <v>Monthly Period</v>
      </c>
      <c r="E5" s="250"/>
      <c r="F5" s="124">
        <f>'Cover Sheet'!F5</f>
        <v>45824</v>
      </c>
      <c r="G5" s="250"/>
      <c r="H5" s="256"/>
      <c r="I5" s="250"/>
      <c r="J5" s="257"/>
      <c r="K5" s="329"/>
    </row>
    <row r="6" spans="1:16" s="248" customFormat="1" ht="15" customHeight="1">
      <c r="A6" s="240"/>
      <c r="B6" s="259"/>
      <c r="C6" s="332"/>
      <c r="D6" s="260" t="str">
        <f>'Cover Sheet'!D6</f>
        <v>Interest Period</v>
      </c>
      <c r="E6" s="251" t="s">
        <v>34</v>
      </c>
      <c r="F6" s="251">
        <f>'Cover Sheet'!F6</f>
        <v>45791</v>
      </c>
      <c r="G6" s="251" t="s">
        <v>4</v>
      </c>
      <c r="H6" s="251">
        <f>'Cover Sheet'!H6</f>
        <v>45824</v>
      </c>
      <c r="I6" s="261" t="s">
        <v>15</v>
      </c>
      <c r="J6" s="262" t="str">
        <f>'Cover Sheet'!J6</f>
        <v>33 days</v>
      </c>
      <c r="K6" s="329"/>
      <c r="M6" s="333"/>
    </row>
    <row r="7" spans="1:16" s="248" customFormat="1" ht="13">
      <c r="A7" s="240"/>
      <c r="B7" s="33"/>
      <c r="C7" s="33"/>
      <c r="D7" s="264" t="str">
        <f>'Cover Sheet'!D7</f>
        <v>Collection Period</v>
      </c>
      <c r="E7" s="265" t="s">
        <v>34</v>
      </c>
      <c r="F7" s="265" t="str">
        <f>'Cover Sheet'!F7</f>
        <v>01.05.2025</v>
      </c>
      <c r="G7" s="265" t="s">
        <v>4</v>
      </c>
      <c r="H7" s="265">
        <f>'Cover Sheet'!H7</f>
        <v>45808</v>
      </c>
      <c r="I7" s="266"/>
      <c r="J7" s="267"/>
      <c r="K7" s="329"/>
    </row>
    <row r="8" spans="1:16" s="248" customFormat="1" ht="13">
      <c r="A8" s="240"/>
      <c r="B8" s="33"/>
      <c r="C8" s="33"/>
      <c r="D8" s="25"/>
      <c r="E8" s="246"/>
      <c r="F8" s="268"/>
      <c r="G8" s="246"/>
      <c r="H8" s="33"/>
      <c r="I8" s="269"/>
      <c r="J8" s="33"/>
      <c r="K8" s="329"/>
    </row>
    <row r="9" spans="1:16" s="248" customFormat="1" ht="13">
      <c r="A9" s="240"/>
      <c r="B9" s="33"/>
      <c r="C9" s="33"/>
      <c r="D9" s="25"/>
      <c r="E9" s="33"/>
      <c r="F9" s="33"/>
      <c r="G9" s="33"/>
      <c r="H9" s="33"/>
      <c r="I9" s="33"/>
      <c r="J9" s="33"/>
      <c r="K9" s="247"/>
      <c r="M9" s="334"/>
    </row>
    <row r="10" spans="1:16" s="248" customFormat="1">
      <c r="A10" s="240"/>
      <c r="B10" s="33"/>
      <c r="C10" s="33"/>
      <c r="D10" s="25"/>
      <c r="E10" s="33"/>
      <c r="F10" s="271"/>
      <c r="G10" s="33"/>
      <c r="H10" s="33"/>
      <c r="I10" s="25"/>
      <c r="J10" s="25"/>
      <c r="K10" s="247"/>
    </row>
    <row r="11" spans="1:16" s="248" customFormat="1" ht="17.5">
      <c r="A11" s="240"/>
      <c r="B11" s="272"/>
      <c r="C11" s="33"/>
      <c r="D11" s="25"/>
      <c r="E11" s="33"/>
      <c r="F11" s="25"/>
      <c r="G11" s="273"/>
      <c r="H11" s="273"/>
      <c r="I11" s="25"/>
      <c r="J11" s="33"/>
      <c r="K11" s="247"/>
      <c r="M11" s="335"/>
    </row>
    <row r="12" spans="1:16" s="248" customFormat="1" ht="12.75" customHeight="1">
      <c r="A12" s="240"/>
      <c r="B12" s="336"/>
      <c r="C12" s="25"/>
      <c r="D12" s="25"/>
      <c r="E12" s="25"/>
      <c r="F12" s="25"/>
      <c r="G12" s="275"/>
      <c r="H12" s="275"/>
      <c r="I12" s="25"/>
      <c r="J12" s="25"/>
      <c r="K12" s="247"/>
      <c r="M12" s="335"/>
    </row>
    <row r="13" spans="1:16" s="248" customFormat="1" ht="12.75" customHeight="1">
      <c r="A13" s="240"/>
      <c r="B13" s="23" t="s">
        <v>201</v>
      </c>
      <c r="D13" s="24" t="s">
        <v>255</v>
      </c>
      <c r="F13" s="337"/>
      <c r="G13" s="338"/>
      <c r="H13" s="338"/>
      <c r="I13" s="280"/>
      <c r="J13" s="25"/>
      <c r="K13" s="247"/>
      <c r="M13" s="335"/>
      <c r="P13" s="24"/>
    </row>
    <row r="14" spans="1:16" s="248" customFormat="1" ht="12.75" customHeight="1">
      <c r="A14" s="240"/>
      <c r="B14" s="23"/>
      <c r="D14" s="25"/>
      <c r="F14" s="339"/>
      <c r="G14" s="339"/>
      <c r="H14" s="340"/>
      <c r="I14" s="174"/>
      <c r="J14" s="25"/>
      <c r="K14" s="247"/>
      <c r="M14" s="335"/>
      <c r="P14" s="25"/>
    </row>
    <row r="15" spans="1:16" ht="12.75" customHeight="1">
      <c r="A15" s="285"/>
      <c r="B15" s="23" t="s">
        <v>202</v>
      </c>
      <c r="D15" s="24" t="s">
        <v>272</v>
      </c>
      <c r="F15" s="26"/>
      <c r="G15" s="26"/>
      <c r="H15" s="341"/>
      <c r="I15" s="220"/>
      <c r="J15" s="25"/>
      <c r="K15" s="316"/>
      <c r="M15" s="335"/>
      <c r="P15" s="24"/>
    </row>
    <row r="16" spans="1:16" ht="12.75" customHeight="1">
      <c r="A16" s="285"/>
      <c r="B16" s="23"/>
      <c r="D16" s="25" t="s">
        <v>207</v>
      </c>
      <c r="F16" s="26"/>
      <c r="G16" s="26"/>
      <c r="H16" s="341"/>
      <c r="I16" s="220"/>
      <c r="J16" s="25"/>
      <c r="K16" s="316"/>
      <c r="M16" s="335"/>
      <c r="P16" s="25"/>
    </row>
    <row r="17" spans="1:16" ht="12.75" customHeight="1">
      <c r="A17" s="285"/>
      <c r="B17" s="23"/>
      <c r="D17" s="73" t="s">
        <v>275</v>
      </c>
      <c r="E17" s="342"/>
      <c r="F17" s="343"/>
      <c r="G17" s="26"/>
      <c r="H17" s="341"/>
      <c r="I17" s="220"/>
      <c r="J17" s="25"/>
      <c r="K17" s="316"/>
      <c r="M17" s="335"/>
      <c r="P17" s="25"/>
    </row>
    <row r="18" spans="1:16" ht="12.75" customHeight="1">
      <c r="A18" s="285"/>
      <c r="B18" s="23"/>
      <c r="D18" s="73" t="s">
        <v>277</v>
      </c>
      <c r="E18" s="342"/>
      <c r="F18" s="343"/>
      <c r="G18" s="26"/>
      <c r="H18" s="341"/>
      <c r="I18" s="220"/>
      <c r="J18" s="25"/>
      <c r="K18" s="316"/>
      <c r="M18" s="335"/>
      <c r="P18" s="25"/>
    </row>
    <row r="19" spans="1:16" ht="12.75" customHeight="1">
      <c r="A19" s="285"/>
      <c r="B19" s="23"/>
      <c r="D19" s="73" t="s">
        <v>276</v>
      </c>
      <c r="E19" s="342"/>
      <c r="F19" s="343"/>
      <c r="G19" s="26"/>
      <c r="H19" s="341"/>
      <c r="I19" s="220"/>
      <c r="J19" s="25"/>
      <c r="K19" s="316"/>
      <c r="M19" s="335"/>
      <c r="P19" s="25"/>
    </row>
    <row r="20" spans="1:16" ht="12.75" customHeight="1">
      <c r="A20" s="285"/>
      <c r="B20" s="23"/>
      <c r="D20" s="25"/>
      <c r="F20" s="26"/>
      <c r="G20" s="26"/>
      <c r="H20" s="341"/>
      <c r="I20" s="220"/>
      <c r="J20" s="25"/>
      <c r="K20" s="316"/>
      <c r="M20" s="335"/>
      <c r="P20" s="25"/>
    </row>
    <row r="21" spans="1:16" ht="12.75" customHeight="1">
      <c r="A21" s="285"/>
      <c r="B21" s="23" t="s">
        <v>219</v>
      </c>
      <c r="D21" s="73" t="s">
        <v>492</v>
      </c>
      <c r="E21" s="73"/>
      <c r="F21" s="26"/>
      <c r="G21" s="26"/>
      <c r="H21" s="341"/>
      <c r="I21" s="220"/>
      <c r="J21" s="25"/>
      <c r="K21" s="316"/>
      <c r="M21" s="335"/>
      <c r="P21" s="25"/>
    </row>
    <row r="22" spans="1:16" ht="12.75" customHeight="1">
      <c r="A22" s="285"/>
      <c r="B22" s="23"/>
      <c r="D22" s="25"/>
      <c r="F22" s="26"/>
      <c r="G22" s="26"/>
      <c r="H22" s="341"/>
      <c r="I22" s="220"/>
      <c r="J22" s="25"/>
      <c r="K22" s="316"/>
      <c r="M22" s="335"/>
      <c r="P22" s="25"/>
    </row>
    <row r="23" spans="1:16" ht="12.75" customHeight="1">
      <c r="A23" s="285"/>
      <c r="B23" s="23" t="s">
        <v>203</v>
      </c>
      <c r="D23" s="24" t="s">
        <v>209</v>
      </c>
      <c r="F23" s="26"/>
      <c r="G23" s="26"/>
      <c r="H23" s="341"/>
      <c r="I23" s="220"/>
      <c r="J23" s="25"/>
      <c r="K23" s="316"/>
      <c r="M23" s="335"/>
      <c r="P23" s="24"/>
    </row>
    <row r="24" spans="1:16" ht="12.75" customHeight="1">
      <c r="A24" s="285"/>
      <c r="B24" s="23"/>
      <c r="D24" s="25"/>
      <c r="F24" s="26"/>
      <c r="G24" s="26"/>
      <c r="H24" s="341"/>
      <c r="I24" s="220"/>
      <c r="J24" s="25"/>
      <c r="K24" s="316"/>
      <c r="M24" s="335"/>
      <c r="P24" s="25"/>
    </row>
    <row r="25" spans="1:16" ht="12.75" customHeight="1">
      <c r="A25" s="285"/>
      <c r="B25" s="23" t="s">
        <v>204</v>
      </c>
      <c r="D25" s="24" t="s">
        <v>209</v>
      </c>
      <c r="F25" s="26"/>
      <c r="G25" s="26"/>
      <c r="H25" s="341"/>
      <c r="I25" s="220"/>
      <c r="J25" s="25"/>
      <c r="K25" s="316"/>
      <c r="M25" s="335"/>
      <c r="P25" s="24"/>
    </row>
    <row r="26" spans="1:16" ht="12.75" customHeight="1">
      <c r="A26" s="285"/>
      <c r="B26" s="23"/>
      <c r="D26" s="25"/>
      <c r="F26" s="26"/>
      <c r="G26" s="26"/>
      <c r="H26" s="341"/>
      <c r="I26" s="220"/>
      <c r="J26" s="25"/>
      <c r="K26" s="316"/>
      <c r="M26" s="335"/>
      <c r="P26" s="25"/>
    </row>
    <row r="27" spans="1:16" ht="12.75" customHeight="1">
      <c r="A27" s="285"/>
      <c r="B27" s="23" t="s">
        <v>205</v>
      </c>
      <c r="D27" s="24" t="s">
        <v>209</v>
      </c>
      <c r="F27" s="27"/>
      <c r="G27" s="27"/>
      <c r="H27" s="341"/>
      <c r="I27" s="220"/>
      <c r="J27" s="25"/>
      <c r="K27" s="316"/>
      <c r="M27" s="335"/>
      <c r="P27" s="24"/>
    </row>
    <row r="28" spans="1:16" ht="12.75" customHeight="1">
      <c r="A28" s="285"/>
      <c r="B28" s="23"/>
      <c r="D28" s="25" t="s">
        <v>117</v>
      </c>
      <c r="F28" s="344"/>
      <c r="G28" s="345"/>
      <c r="H28" s="341"/>
      <c r="I28" s="220"/>
      <c r="J28" s="25"/>
      <c r="K28" s="316"/>
      <c r="M28" s="335"/>
      <c r="P28" s="25"/>
    </row>
    <row r="29" spans="1:16" ht="12.75" customHeight="1">
      <c r="A29" s="285"/>
      <c r="B29" s="25"/>
      <c r="D29" s="25" t="s">
        <v>210</v>
      </c>
      <c r="F29" s="26"/>
      <c r="G29" s="26"/>
      <c r="H29" s="341"/>
      <c r="I29" s="220"/>
      <c r="J29" s="25"/>
      <c r="K29" s="316"/>
      <c r="M29" s="335"/>
      <c r="P29" s="25"/>
    </row>
    <row r="30" spans="1:16" ht="12.75" customHeight="1">
      <c r="A30" s="285"/>
      <c r="B30" s="23"/>
      <c r="D30" s="25" t="s">
        <v>211</v>
      </c>
      <c r="F30" s="26"/>
      <c r="G30" s="26"/>
      <c r="H30" s="341"/>
      <c r="I30" s="225"/>
      <c r="J30" s="25"/>
      <c r="K30" s="316"/>
      <c r="M30" s="335"/>
      <c r="P30" s="25"/>
    </row>
    <row r="31" spans="1:16" ht="12.75" customHeight="1">
      <c r="A31" s="285"/>
      <c r="B31" s="23"/>
      <c r="D31" s="25" t="s">
        <v>208</v>
      </c>
      <c r="F31" s="346"/>
      <c r="G31" s="347"/>
      <c r="H31" s="346"/>
      <c r="I31" s="25"/>
      <c r="J31" s="25"/>
      <c r="K31" s="316"/>
      <c r="M31" s="335"/>
      <c r="P31" s="25"/>
    </row>
    <row r="32" spans="1:16" ht="12.75" customHeight="1">
      <c r="A32" s="285"/>
      <c r="B32" s="23"/>
      <c r="D32" s="25" t="s">
        <v>213</v>
      </c>
      <c r="F32" s="28"/>
      <c r="G32" s="28"/>
      <c r="H32" s="28"/>
      <c r="I32" s="28"/>
      <c r="J32" s="25"/>
      <c r="K32" s="316"/>
      <c r="M32" s="335"/>
      <c r="P32" s="25"/>
    </row>
    <row r="33" spans="1:16" ht="12.75" customHeight="1">
      <c r="A33" s="285"/>
      <c r="B33" s="23"/>
      <c r="D33" s="25" t="s">
        <v>212</v>
      </c>
      <c r="F33" s="28"/>
      <c r="G33" s="28"/>
      <c r="H33" s="28"/>
      <c r="I33" s="28"/>
      <c r="J33" s="25"/>
      <c r="K33" s="316"/>
      <c r="M33" s="335"/>
      <c r="P33" s="25"/>
    </row>
    <row r="34" spans="1:16" ht="12.75" customHeight="1">
      <c r="A34" s="285"/>
      <c r="B34" s="23"/>
      <c r="D34" s="25"/>
      <c r="F34" s="28"/>
      <c r="G34" s="28"/>
      <c r="H34" s="28"/>
      <c r="I34" s="28"/>
      <c r="J34" s="25"/>
      <c r="K34" s="316"/>
      <c r="M34" s="335"/>
      <c r="P34" s="25"/>
    </row>
    <row r="35" spans="1:16" ht="12.75" customHeight="1">
      <c r="A35" s="285"/>
      <c r="B35" s="23" t="s">
        <v>206</v>
      </c>
      <c r="D35" s="74" t="s">
        <v>278</v>
      </c>
      <c r="E35" s="342"/>
      <c r="F35" s="71"/>
      <c r="G35" s="28"/>
      <c r="H35" s="28"/>
      <c r="I35" s="28"/>
      <c r="J35" s="25"/>
      <c r="K35" s="316"/>
      <c r="M35" s="335"/>
      <c r="P35" s="24"/>
    </row>
    <row r="36" spans="1:16" ht="12.75" customHeight="1">
      <c r="A36" s="285"/>
      <c r="B36" s="23"/>
      <c r="D36" s="73" t="s">
        <v>275</v>
      </c>
      <c r="E36" s="342"/>
      <c r="F36" s="348"/>
      <c r="G36" s="349"/>
      <c r="H36" s="349"/>
      <c r="I36" s="280"/>
      <c r="J36" s="280"/>
      <c r="K36" s="316"/>
      <c r="P36" s="25"/>
    </row>
    <row r="37" spans="1:16" ht="12.75" customHeight="1">
      <c r="A37" s="285"/>
      <c r="B37" s="25"/>
      <c r="D37" s="73" t="s">
        <v>277</v>
      </c>
      <c r="E37" s="342"/>
      <c r="F37" s="348"/>
      <c r="G37" s="349"/>
      <c r="H37" s="349"/>
      <c r="I37" s="280"/>
      <c r="J37" s="25"/>
      <c r="K37" s="316"/>
      <c r="P37" s="25"/>
    </row>
    <row r="38" spans="1:16" ht="12.75" customHeight="1">
      <c r="A38" s="285"/>
      <c r="B38" s="23"/>
      <c r="D38" s="73" t="s">
        <v>276</v>
      </c>
      <c r="E38" s="342"/>
      <c r="F38" s="71"/>
      <c r="G38" s="28"/>
      <c r="H38" s="28"/>
      <c r="I38" s="25"/>
      <c r="J38" s="25"/>
      <c r="K38" s="316"/>
      <c r="P38" s="25"/>
    </row>
    <row r="39" spans="1:16" ht="12.75" customHeight="1">
      <c r="A39" s="285"/>
      <c r="B39" s="23"/>
      <c r="D39" s="70"/>
      <c r="E39" s="342"/>
      <c r="F39" s="71"/>
      <c r="G39" s="28"/>
      <c r="H39" s="28"/>
      <c r="I39" s="25"/>
      <c r="J39" s="25"/>
      <c r="K39" s="316"/>
      <c r="P39" s="25"/>
    </row>
    <row r="40" spans="1:16" ht="12.75" customHeight="1">
      <c r="A40" s="285"/>
      <c r="B40" s="23"/>
      <c r="D40" s="70"/>
      <c r="E40" s="342"/>
      <c r="F40" s="71"/>
      <c r="G40" s="28"/>
      <c r="H40" s="28"/>
      <c r="I40" s="280"/>
      <c r="J40" s="25"/>
      <c r="K40" s="316"/>
      <c r="L40" s="25"/>
      <c r="P40" s="25"/>
    </row>
    <row r="41" spans="1:16" s="25" customFormat="1" ht="12.75" customHeight="1">
      <c r="A41" s="350"/>
      <c r="B41" s="29"/>
      <c r="C41" s="11"/>
      <c r="D41" s="351"/>
      <c r="E41" s="11"/>
      <c r="F41" s="318"/>
      <c r="G41" s="352"/>
      <c r="H41" s="318"/>
      <c r="I41" s="353"/>
      <c r="J41" s="40"/>
      <c r="K41" s="354"/>
    </row>
    <row r="42" spans="1:16" s="25" customFormat="1"/>
    <row r="43" spans="1:16" s="25" customFormat="1">
      <c r="B43" s="14"/>
      <c r="C43" s="13"/>
      <c r="D43" s="198"/>
      <c r="E43" s="13"/>
      <c r="F43" s="199"/>
      <c r="G43" s="200"/>
      <c r="H43" s="199"/>
      <c r="I43" s="280"/>
    </row>
    <row r="44" spans="1:16" s="25" customFormat="1">
      <c r="B44" s="14"/>
      <c r="C44" s="13"/>
      <c r="D44" s="198"/>
      <c r="E44" s="13"/>
      <c r="F44" s="199"/>
      <c r="G44" s="200"/>
      <c r="H44" s="199"/>
      <c r="I44" s="280"/>
    </row>
    <row r="45" spans="1:16" s="25" customFormat="1">
      <c r="B45" s="14"/>
      <c r="C45" s="13"/>
      <c r="D45" s="198"/>
      <c r="E45" s="13"/>
      <c r="F45" s="199"/>
      <c r="G45" s="200"/>
      <c r="H45" s="199"/>
      <c r="I45" s="280"/>
    </row>
    <row r="46" spans="1:16" s="25" customFormat="1" ht="15.5">
      <c r="B46" s="14"/>
      <c r="C46" s="30"/>
      <c r="D46" s="198"/>
      <c r="E46" s="13"/>
      <c r="F46" s="199"/>
      <c r="G46" s="200"/>
      <c r="H46" s="199"/>
      <c r="I46" s="280"/>
    </row>
    <row r="47" spans="1:16" s="25" customFormat="1" ht="15.5">
      <c r="B47" s="14"/>
      <c r="C47" s="30"/>
      <c r="D47" s="198"/>
      <c r="E47" s="13"/>
      <c r="F47" s="199"/>
      <c r="G47" s="200"/>
      <c r="H47" s="199"/>
      <c r="I47" s="280"/>
    </row>
    <row r="48" spans="1:16" s="25" customFormat="1" ht="15.5">
      <c r="B48" s="14"/>
      <c r="C48" s="31"/>
      <c r="D48" s="198"/>
      <c r="E48" s="13"/>
      <c r="F48" s="199"/>
      <c r="G48" s="200"/>
      <c r="H48" s="199"/>
      <c r="I48" s="280"/>
    </row>
    <row r="49" spans="2:9" s="25" customFormat="1" ht="15.5">
      <c r="B49" s="14"/>
      <c r="C49" s="31"/>
      <c r="D49" s="198"/>
      <c r="E49" s="13"/>
      <c r="F49" s="199"/>
      <c r="G49" s="200"/>
      <c r="H49" s="199"/>
      <c r="I49" s="280"/>
    </row>
    <row r="50" spans="2:9" s="25" customFormat="1" ht="15.5">
      <c r="B50" s="14"/>
      <c r="C50" s="31"/>
      <c r="D50" s="198"/>
      <c r="E50" s="13"/>
      <c r="F50" s="199"/>
      <c r="G50" s="200"/>
      <c r="H50" s="199"/>
      <c r="I50" s="280"/>
    </row>
    <row r="51" spans="2:9" s="25" customFormat="1" ht="15.5">
      <c r="B51" s="14"/>
      <c r="C51" s="31"/>
      <c r="D51" s="198"/>
      <c r="E51" s="13"/>
      <c r="F51" s="199"/>
      <c r="G51" s="200"/>
      <c r="H51" s="199"/>
      <c r="I51" s="280"/>
    </row>
    <row r="52" spans="2:9" s="25" customFormat="1" ht="15.5">
      <c r="B52" s="14"/>
      <c r="C52" s="31"/>
      <c r="D52" s="198"/>
      <c r="E52" s="13"/>
      <c r="F52" s="199"/>
      <c r="G52" s="200"/>
      <c r="H52" s="199"/>
      <c r="I52" s="280"/>
    </row>
    <row r="53" spans="2:9" s="25" customFormat="1" ht="15.5">
      <c r="B53" s="14"/>
      <c r="C53" s="31"/>
      <c r="D53" s="198"/>
      <c r="E53" s="13"/>
      <c r="F53" s="199"/>
      <c r="G53" s="200"/>
      <c r="H53" s="199"/>
      <c r="I53" s="280"/>
    </row>
    <row r="54" spans="2:9" s="25" customFormat="1">
      <c r="B54" s="14"/>
      <c r="C54" s="13"/>
      <c r="D54" s="198"/>
      <c r="E54" s="13"/>
      <c r="F54" s="199"/>
      <c r="G54" s="200"/>
      <c r="H54" s="199"/>
      <c r="I54" s="280"/>
    </row>
    <row r="55" spans="2:9" s="25" customFormat="1">
      <c r="B55" s="14"/>
      <c r="C55" s="13"/>
      <c r="D55" s="198"/>
      <c r="E55" s="13"/>
      <c r="F55" s="199"/>
      <c r="G55" s="200"/>
      <c r="H55" s="199"/>
      <c r="I55" s="280"/>
    </row>
    <row r="56" spans="2:9" s="25" customFormat="1">
      <c r="B56" s="14"/>
      <c r="C56" s="13"/>
      <c r="D56" s="198"/>
      <c r="E56" s="13"/>
      <c r="F56" s="199"/>
      <c r="G56" s="200"/>
      <c r="H56" s="199"/>
      <c r="I56" s="280"/>
    </row>
    <row r="57" spans="2:9" s="25" customFormat="1">
      <c r="B57" s="14"/>
      <c r="C57" s="13"/>
      <c r="D57" s="198"/>
      <c r="E57" s="13"/>
      <c r="F57" s="199"/>
      <c r="G57" s="200"/>
      <c r="H57" s="199"/>
      <c r="I57" s="280"/>
    </row>
    <row r="58" spans="2:9" s="25" customFormat="1">
      <c r="B58" s="14"/>
      <c r="C58" s="13"/>
      <c r="D58" s="198"/>
      <c r="E58" s="13"/>
      <c r="F58" s="199"/>
      <c r="G58" s="200"/>
      <c r="H58" s="199"/>
      <c r="I58" s="280"/>
    </row>
    <row r="59" spans="2:9" s="25" customFormat="1">
      <c r="B59" s="14"/>
      <c r="C59" s="13"/>
      <c r="D59" s="198"/>
      <c r="E59" s="13"/>
      <c r="F59" s="199"/>
      <c r="G59" s="200"/>
      <c r="H59" s="199"/>
      <c r="I59" s="280"/>
    </row>
    <row r="60" spans="2:9" s="25" customFormat="1">
      <c r="B60" s="14"/>
      <c r="C60" s="13"/>
      <c r="D60" s="198"/>
      <c r="E60" s="13"/>
      <c r="F60" s="199"/>
      <c r="G60" s="200"/>
      <c r="H60" s="199"/>
      <c r="I60" s="280"/>
    </row>
    <row r="61" spans="2:9" s="25" customFormat="1">
      <c r="B61" s="14"/>
      <c r="C61" s="13"/>
      <c r="D61" s="198"/>
      <c r="E61" s="13"/>
      <c r="F61" s="199"/>
      <c r="G61" s="200"/>
      <c r="H61" s="199"/>
      <c r="I61" s="280"/>
    </row>
    <row r="62" spans="2:9" s="25" customFormat="1">
      <c r="B62" s="14"/>
      <c r="C62" s="13"/>
      <c r="D62" s="198"/>
      <c r="E62" s="13"/>
      <c r="F62" s="199"/>
      <c r="G62" s="200"/>
      <c r="H62" s="199"/>
      <c r="I62" s="280"/>
    </row>
    <row r="63" spans="2:9" s="25" customFormat="1">
      <c r="B63" s="14"/>
      <c r="C63" s="13"/>
      <c r="D63" s="198"/>
      <c r="E63" s="13"/>
      <c r="F63" s="199"/>
      <c r="G63" s="200"/>
      <c r="H63" s="199"/>
      <c r="I63" s="280"/>
    </row>
    <row r="64" spans="2:9" s="25" customFormat="1">
      <c r="B64" s="14"/>
      <c r="C64" s="13"/>
      <c r="D64" s="198"/>
      <c r="E64" s="13"/>
      <c r="F64" s="199"/>
      <c r="G64" s="200"/>
      <c r="H64" s="199"/>
      <c r="I64" s="280"/>
    </row>
    <row r="65" spans="2:9" s="25" customFormat="1">
      <c r="B65" s="14"/>
      <c r="C65" s="13"/>
      <c r="D65" s="198"/>
      <c r="E65" s="13"/>
      <c r="F65" s="199"/>
      <c r="G65" s="200"/>
      <c r="H65" s="199"/>
      <c r="I65" s="280"/>
    </row>
    <row r="66" spans="2:9" s="25" customFormat="1">
      <c r="B66" s="14"/>
      <c r="C66" s="13"/>
      <c r="D66" s="198"/>
      <c r="E66" s="13"/>
      <c r="F66" s="199"/>
      <c r="G66" s="200"/>
      <c r="H66" s="199"/>
      <c r="I66" s="280"/>
    </row>
    <row r="67" spans="2:9" s="25" customFormat="1">
      <c r="B67" s="14"/>
      <c r="C67" s="13"/>
      <c r="D67" s="198"/>
      <c r="E67" s="13"/>
      <c r="F67" s="199"/>
      <c r="G67" s="200"/>
      <c r="H67" s="199"/>
      <c r="I67" s="280"/>
    </row>
    <row r="68" spans="2:9" s="25" customFormat="1">
      <c r="B68" s="14"/>
      <c r="C68" s="13"/>
      <c r="D68" s="198"/>
      <c r="E68" s="13"/>
      <c r="F68" s="199"/>
      <c r="G68" s="200"/>
      <c r="H68" s="199"/>
      <c r="I68" s="280"/>
    </row>
    <row r="69" spans="2:9" s="25" customFormat="1">
      <c r="B69" s="14"/>
      <c r="C69" s="13"/>
      <c r="D69" s="322"/>
      <c r="E69" s="323"/>
      <c r="F69" s="233"/>
      <c r="G69" s="324"/>
      <c r="H69" s="233"/>
      <c r="I69" s="280"/>
    </row>
    <row r="70" spans="2:9" s="25" customFormat="1">
      <c r="B70" s="14"/>
      <c r="C70" s="13"/>
      <c r="D70" s="322"/>
      <c r="E70" s="322"/>
      <c r="F70" s="322"/>
      <c r="G70" s="322"/>
      <c r="H70" s="322"/>
      <c r="I70" s="280"/>
    </row>
    <row r="71" spans="2:9" s="25" customFormat="1">
      <c r="B71" s="14"/>
      <c r="C71" s="13"/>
      <c r="D71" s="322"/>
      <c r="E71" s="322"/>
      <c r="F71" s="322"/>
      <c r="G71" s="322"/>
      <c r="H71" s="322"/>
      <c r="I71" s="280"/>
    </row>
    <row r="72" spans="2:9" s="25" customFormat="1">
      <c r="B72" s="14"/>
      <c r="C72" s="13"/>
      <c r="D72" s="205"/>
      <c r="E72" s="234"/>
      <c r="F72" s="322"/>
      <c r="G72" s="322"/>
      <c r="H72" s="322"/>
      <c r="I72" s="280"/>
    </row>
    <row r="73" spans="2:9" s="25" customFormat="1">
      <c r="B73" s="14"/>
      <c r="C73" s="13"/>
      <c r="D73" s="323"/>
      <c r="E73" s="234"/>
      <c r="F73" s="322"/>
      <c r="G73" s="322"/>
      <c r="H73" s="322"/>
      <c r="I73" s="280"/>
    </row>
    <row r="74" spans="2:9" s="25" customFormat="1">
      <c r="B74" s="14"/>
      <c r="C74" s="13"/>
      <c r="D74" s="322"/>
      <c r="E74" s="234"/>
      <c r="F74" s="322"/>
      <c r="G74" s="322"/>
      <c r="H74" s="322"/>
      <c r="I74" s="280"/>
    </row>
    <row r="75" spans="2:9" s="25" customFormat="1" ht="14">
      <c r="B75" s="322"/>
      <c r="C75" s="323"/>
      <c r="D75" s="325"/>
      <c r="E75" s="325"/>
      <c r="F75" s="325"/>
      <c r="G75" s="325"/>
      <c r="H75" s="325"/>
      <c r="I75" s="280"/>
    </row>
    <row r="76" spans="2:9" s="25" customFormat="1" ht="14">
      <c r="B76" s="33"/>
      <c r="C76" s="33"/>
      <c r="D76" s="325"/>
      <c r="E76" s="325"/>
      <c r="F76" s="325"/>
      <c r="G76" s="325"/>
      <c r="H76" s="325"/>
      <c r="I76" s="280"/>
    </row>
    <row r="77" spans="2:9" s="25" customFormat="1" ht="14">
      <c r="B77" s="33"/>
      <c r="C77" s="33"/>
      <c r="D77" s="208"/>
      <c r="E77" s="235"/>
      <c r="F77" s="325"/>
      <c r="G77" s="325"/>
      <c r="H77" s="325"/>
      <c r="I77" s="280"/>
    </row>
    <row r="78" spans="2:9" s="25" customFormat="1" ht="14">
      <c r="B78" s="205"/>
      <c r="C78" s="234"/>
      <c r="D78" s="326"/>
      <c r="E78" s="235"/>
      <c r="F78" s="325"/>
      <c r="G78" s="325"/>
      <c r="H78" s="325"/>
      <c r="I78" s="280"/>
    </row>
    <row r="79" spans="2:9" s="25" customFormat="1" ht="14">
      <c r="B79" s="327"/>
      <c r="C79" s="234"/>
      <c r="D79" s="325"/>
      <c r="E79" s="235"/>
      <c r="F79" s="325"/>
      <c r="G79" s="325"/>
      <c r="H79" s="325"/>
      <c r="I79" s="280"/>
    </row>
    <row r="80" spans="2:9" s="25" customFormat="1">
      <c r="C80" s="234"/>
      <c r="I80" s="280"/>
    </row>
    <row r="81" spans="9:9" s="25" customFormat="1">
      <c r="I81" s="280"/>
    </row>
    <row r="82" spans="9:9" s="25" customFormat="1">
      <c r="I82" s="280"/>
    </row>
    <row r="83" spans="9:9" s="25" customFormat="1">
      <c r="I83" s="280"/>
    </row>
    <row r="84" spans="9:9" s="25" customFormat="1">
      <c r="I84" s="280"/>
    </row>
    <row r="85" spans="9:9" s="25" customFormat="1">
      <c r="I85" s="280"/>
    </row>
    <row r="86" spans="9:9" s="25" customFormat="1">
      <c r="I86" s="280"/>
    </row>
    <row r="87" spans="9:9" s="25" customFormat="1">
      <c r="I87" s="280"/>
    </row>
    <row r="88" spans="9:9" s="25" customFormat="1">
      <c r="I88" s="280"/>
    </row>
    <row r="89" spans="9:9" s="25" customFormat="1">
      <c r="I89" s="280"/>
    </row>
    <row r="90" spans="9:9" s="25" customFormat="1">
      <c r="I90" s="280"/>
    </row>
    <row r="91" spans="9:9" s="25" customFormat="1">
      <c r="I91" s="280"/>
    </row>
    <row r="92" spans="9:9" s="25" customFormat="1">
      <c r="I92" s="280"/>
    </row>
    <row r="93" spans="9:9" s="25" customFormat="1">
      <c r="I93" s="280"/>
    </row>
    <row r="94" spans="9:9" s="25" customFormat="1">
      <c r="I94" s="280"/>
    </row>
    <row r="95" spans="9:9" s="25" customFormat="1">
      <c r="I95" s="280"/>
    </row>
    <row r="96" spans="9:9"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9" customWidth="1"/>
    <col min="2" max="2" width="45.54296875" style="239" bestFit="1" customWidth="1"/>
    <col min="3" max="3" width="22.54296875" style="239" customWidth="1"/>
    <col min="4" max="4" width="15" style="239" customWidth="1"/>
    <col min="5" max="6" width="10.81640625" style="239" customWidth="1"/>
    <col min="7" max="7" width="11.81640625" style="239" customWidth="1"/>
    <col min="8" max="12" width="10.81640625" style="239" customWidth="1"/>
    <col min="13" max="13" width="9.81640625" style="239" customWidth="1"/>
    <col min="14" max="16384" width="9.1796875" style="239"/>
  </cols>
  <sheetData>
    <row r="1" spans="1:14" ht="6" customHeight="1">
      <c r="A1" s="236"/>
      <c r="B1" s="237"/>
      <c r="C1" s="237"/>
      <c r="D1" s="237"/>
      <c r="E1" s="237"/>
      <c r="F1" s="237"/>
      <c r="G1" s="237"/>
      <c r="H1" s="237"/>
      <c r="I1" s="237"/>
      <c r="J1" s="237"/>
      <c r="K1" s="237"/>
      <c r="L1" s="237"/>
      <c r="M1" s="237"/>
      <c r="N1" s="238"/>
    </row>
    <row r="2" spans="1:14" s="248" customFormat="1" ht="18">
      <c r="A2" s="240"/>
      <c r="B2" s="241" t="str">
        <f>'Cover Sheet'!B2</f>
        <v>SC Germany Consumer 2020-1</v>
      </c>
      <c r="C2" s="241"/>
      <c r="D2" s="242" t="str">
        <f>'Cover Sheet'!D2</f>
        <v>Calculation Date</v>
      </c>
      <c r="E2" s="243"/>
      <c r="F2" s="244">
        <f>'Cover Sheet'!F2</f>
        <v>45820</v>
      </c>
      <c r="G2" s="243"/>
      <c r="H2" s="243"/>
      <c r="I2" s="243"/>
      <c r="J2" s="245"/>
      <c r="K2" s="246"/>
      <c r="L2" s="246"/>
      <c r="M2" s="33"/>
      <c r="N2" s="247"/>
    </row>
    <row r="3" spans="1:14" s="248" customFormat="1" ht="18">
      <c r="A3" s="240"/>
      <c r="B3" s="241" t="str">
        <f>'Cover Sheet'!B3</f>
        <v>Monthly Investor Report</v>
      </c>
      <c r="C3" s="241"/>
      <c r="D3" s="249" t="str">
        <f>'Cover Sheet'!D3</f>
        <v>Payment Date</v>
      </c>
      <c r="E3" s="250"/>
      <c r="F3" s="251">
        <f>'Cover Sheet'!F3</f>
        <v>45824</v>
      </c>
      <c r="G3" s="250"/>
      <c r="H3" s="250"/>
      <c r="I3" s="250"/>
      <c r="J3" s="252"/>
      <c r="K3" s="253"/>
      <c r="L3" s="253"/>
      <c r="M3" s="33"/>
      <c r="N3" s="247"/>
    </row>
    <row r="4" spans="1:14" s="248" customFormat="1" ht="13">
      <c r="A4" s="240"/>
      <c r="B4" s="254"/>
      <c r="C4" s="254"/>
      <c r="D4" s="249" t="str">
        <f>'Cover Sheet'!D4</f>
        <v>Period  No</v>
      </c>
      <c r="E4" s="250"/>
      <c r="F4" s="255">
        <f>'Cover Sheet'!F4</f>
        <v>55</v>
      </c>
      <c r="G4" s="250"/>
      <c r="H4" s="256"/>
      <c r="I4" s="250"/>
      <c r="J4" s="257"/>
      <c r="K4" s="246"/>
      <c r="L4" s="246"/>
      <c r="M4" s="33"/>
      <c r="N4" s="247"/>
    </row>
    <row r="5" spans="1:14" s="248" customFormat="1" ht="18">
      <c r="A5" s="240"/>
      <c r="B5" s="258" t="s">
        <v>454</v>
      </c>
      <c r="C5" s="258"/>
      <c r="D5" s="249" t="str">
        <f>'Cover Sheet'!D5</f>
        <v>Monthly Period</v>
      </c>
      <c r="E5" s="250"/>
      <c r="F5" s="124">
        <f>'Cover Sheet'!F5</f>
        <v>45824</v>
      </c>
      <c r="G5" s="250"/>
      <c r="H5" s="256"/>
      <c r="I5" s="250"/>
      <c r="J5" s="257"/>
      <c r="K5" s="253"/>
      <c r="L5" s="253"/>
      <c r="M5" s="33"/>
      <c r="N5" s="247"/>
    </row>
    <row r="6" spans="1:14" s="248" customFormat="1" ht="15" customHeight="1">
      <c r="A6" s="240"/>
      <c r="B6" s="259"/>
      <c r="C6" s="259"/>
      <c r="D6" s="260" t="str">
        <f>'Cover Sheet'!D6</f>
        <v>Interest Period</v>
      </c>
      <c r="E6" s="251" t="s">
        <v>34</v>
      </c>
      <c r="F6" s="251">
        <f>'Cover Sheet'!F6</f>
        <v>45791</v>
      </c>
      <c r="G6" s="251" t="s">
        <v>4</v>
      </c>
      <c r="H6" s="251">
        <f>'Cover Sheet'!H6</f>
        <v>45824</v>
      </c>
      <c r="I6" s="261" t="s">
        <v>15</v>
      </c>
      <c r="J6" s="262" t="str">
        <f>'Cover Sheet'!J6</f>
        <v>33 days</v>
      </c>
      <c r="K6" s="253"/>
      <c r="L6" s="253"/>
      <c r="M6" s="33"/>
      <c r="N6" s="263"/>
    </row>
    <row r="7" spans="1:14" s="248" customFormat="1" ht="13">
      <c r="A7" s="240"/>
      <c r="B7" s="33"/>
      <c r="C7" s="33"/>
      <c r="D7" s="264" t="str">
        <f>'Cover Sheet'!D7</f>
        <v>Collection Period</v>
      </c>
      <c r="E7" s="265" t="s">
        <v>34</v>
      </c>
      <c r="F7" s="265" t="str">
        <f>'Cover Sheet'!F7</f>
        <v>01.05.2025</v>
      </c>
      <c r="G7" s="265" t="s">
        <v>4</v>
      </c>
      <c r="H7" s="265">
        <f>'Cover Sheet'!H7</f>
        <v>45808</v>
      </c>
      <c r="I7" s="266"/>
      <c r="J7" s="267"/>
      <c r="K7" s="253"/>
      <c r="L7" s="253"/>
      <c r="M7" s="33"/>
      <c r="N7" s="247"/>
    </row>
    <row r="8" spans="1:14" s="248" customFormat="1" ht="13">
      <c r="A8" s="240"/>
      <c r="B8" s="33"/>
      <c r="C8" s="33"/>
      <c r="D8" s="33"/>
      <c r="E8" s="33"/>
      <c r="F8" s="246"/>
      <c r="G8" s="268"/>
      <c r="H8" s="246"/>
      <c r="I8" s="33"/>
      <c r="J8" s="269"/>
      <c r="K8" s="33"/>
      <c r="L8" s="253"/>
      <c r="M8" s="33"/>
      <c r="N8" s="247"/>
    </row>
    <row r="9" spans="1:14" s="248" customFormat="1" ht="13">
      <c r="A9" s="240"/>
      <c r="B9" s="33"/>
      <c r="C9" s="33"/>
      <c r="D9" s="33"/>
      <c r="E9" s="33"/>
      <c r="F9" s="33"/>
      <c r="G9" s="33"/>
      <c r="H9" s="33"/>
      <c r="I9" s="33"/>
      <c r="J9" s="33"/>
      <c r="K9" s="33"/>
      <c r="L9" s="33"/>
      <c r="M9" s="33"/>
      <c r="N9" s="270"/>
    </row>
    <row r="10" spans="1:14" s="248" customFormat="1">
      <c r="A10" s="240"/>
      <c r="B10" s="33"/>
      <c r="C10" s="33"/>
      <c r="D10" s="33"/>
      <c r="E10" s="25"/>
      <c r="F10" s="33"/>
      <c r="G10" s="271"/>
      <c r="H10" s="33"/>
      <c r="I10" s="33"/>
      <c r="J10" s="25"/>
      <c r="K10" s="25"/>
      <c r="L10" s="33"/>
      <c r="M10" s="33"/>
      <c r="N10" s="247"/>
    </row>
    <row r="11" spans="1:14" s="248" customFormat="1" ht="17.5">
      <c r="A11" s="240"/>
      <c r="B11" s="272"/>
      <c r="C11" s="272"/>
      <c r="D11" s="33"/>
      <c r="E11" s="25"/>
      <c r="F11" s="33"/>
      <c r="G11" s="25"/>
      <c r="H11" s="273"/>
      <c r="I11" s="273"/>
      <c r="J11" s="25"/>
      <c r="K11" s="33"/>
      <c r="L11" s="33"/>
      <c r="M11" s="33"/>
      <c r="N11" s="274"/>
    </row>
    <row r="12" spans="1:14" s="248" customFormat="1">
      <c r="A12" s="240"/>
      <c r="B12" s="33"/>
      <c r="C12" s="33"/>
      <c r="D12" s="25"/>
      <c r="E12" s="25"/>
      <c r="F12" s="25"/>
      <c r="G12" s="25"/>
      <c r="H12" s="275"/>
      <c r="I12" s="275"/>
      <c r="J12" s="25"/>
      <c r="K12" s="25"/>
      <c r="L12" s="33"/>
      <c r="M12" s="33"/>
      <c r="N12" s="274"/>
    </row>
    <row r="13" spans="1:14" s="248" customFormat="1" ht="18">
      <c r="A13" s="240"/>
      <c r="B13" s="276" t="s">
        <v>311</v>
      </c>
      <c r="C13" s="276"/>
      <c r="D13" s="25"/>
      <c r="E13" s="277"/>
      <c r="F13" s="277"/>
      <c r="G13" s="278"/>
      <c r="H13" s="279"/>
      <c r="I13" s="279"/>
      <c r="J13" s="280"/>
      <c r="K13" s="25"/>
      <c r="L13" s="33"/>
      <c r="M13" s="33"/>
      <c r="N13" s="274"/>
    </row>
    <row r="14" spans="1:14" s="248" customFormat="1" ht="12.75" customHeight="1">
      <c r="A14" s="240"/>
      <c r="B14" s="25" t="s">
        <v>312</v>
      </c>
      <c r="C14" s="928" t="s">
        <v>313</v>
      </c>
      <c r="E14" s="281"/>
      <c r="F14" s="282"/>
      <c r="G14" s="283"/>
      <c r="H14" s="283"/>
      <c r="I14" s="284"/>
      <c r="J14" s="279"/>
      <c r="K14" s="25"/>
      <c r="L14" s="33"/>
      <c r="M14" s="33"/>
      <c r="N14" s="274"/>
    </row>
    <row r="15" spans="1:14">
      <c r="A15" s="285"/>
      <c r="B15" s="45" t="s">
        <v>314</v>
      </c>
      <c r="C15" s="929" t="s">
        <v>43</v>
      </c>
      <c r="E15" s="25"/>
      <c r="F15" s="286"/>
      <c r="G15" s="287"/>
      <c r="H15" s="288"/>
      <c r="I15" s="287"/>
      <c r="J15" s="287"/>
      <c r="K15" s="25"/>
      <c r="L15" s="25"/>
      <c r="M15" s="25"/>
      <c r="N15" s="274"/>
    </row>
    <row r="16" spans="1:14" ht="13" thickBot="1">
      <c r="A16" s="285"/>
      <c r="B16" s="14"/>
      <c r="C16" s="81"/>
      <c r="D16" s="32" t="s">
        <v>538</v>
      </c>
      <c r="E16" s="32" t="s">
        <v>516</v>
      </c>
      <c r="F16" s="32" t="s">
        <v>518</v>
      </c>
      <c r="G16" s="32" t="s">
        <v>528</v>
      </c>
      <c r="H16" s="32" t="s">
        <v>517</v>
      </c>
      <c r="I16" s="32" t="s">
        <v>259</v>
      </c>
      <c r="J16" s="287"/>
      <c r="K16" s="25"/>
      <c r="L16" s="25"/>
      <c r="M16" s="25"/>
      <c r="N16" s="274"/>
    </row>
    <row r="17" spans="1:14" ht="13" thickBot="1">
      <c r="A17" s="285"/>
      <c r="D17" s="998" t="s">
        <v>257</v>
      </c>
      <c r="E17" s="999"/>
      <c r="F17" s="999"/>
      <c r="G17" s="998" t="s">
        <v>258</v>
      </c>
      <c r="H17" s="999"/>
      <c r="I17" s="1000"/>
      <c r="J17" s="25"/>
      <c r="N17" s="274"/>
    </row>
    <row r="18" spans="1:14" ht="50">
      <c r="A18" s="285"/>
      <c r="B18" s="289" t="s">
        <v>316</v>
      </c>
      <c r="C18" s="290" t="s">
        <v>317</v>
      </c>
      <c r="D18" s="82" t="s">
        <v>540</v>
      </c>
      <c r="E18" s="82" t="s">
        <v>112</v>
      </c>
      <c r="F18" s="82" t="s">
        <v>113</v>
      </c>
      <c r="G18" s="83" t="s">
        <v>318</v>
      </c>
      <c r="H18" s="83" t="s">
        <v>112</v>
      </c>
      <c r="I18" s="83" t="s">
        <v>113</v>
      </c>
      <c r="J18" s="291" t="s">
        <v>319</v>
      </c>
      <c r="N18" s="274"/>
    </row>
    <row r="19" spans="1:14" ht="8.25" customHeight="1">
      <c r="A19" s="285"/>
      <c r="B19" s="292"/>
      <c r="C19" s="38"/>
      <c r="D19" s="32" t="s">
        <v>538</v>
      </c>
      <c r="E19" s="293" t="s">
        <v>516</v>
      </c>
      <c r="F19" s="293" t="s">
        <v>518</v>
      </c>
      <c r="G19" s="294" t="s">
        <v>528</v>
      </c>
      <c r="H19" s="295" t="s">
        <v>517</v>
      </c>
      <c r="I19" s="296" t="s">
        <v>259</v>
      </c>
      <c r="J19" s="297"/>
      <c r="N19" s="274"/>
    </row>
    <row r="20" spans="1:14" ht="25">
      <c r="A20" s="285"/>
      <c r="B20" s="292" t="s">
        <v>320</v>
      </c>
      <c r="C20" s="298" t="s">
        <v>484</v>
      </c>
      <c r="D20" s="299" t="s">
        <v>487</v>
      </c>
      <c r="E20" s="299" t="s">
        <v>488</v>
      </c>
      <c r="F20" s="299"/>
      <c r="G20" s="299" t="s">
        <v>485</v>
      </c>
      <c r="H20" s="299"/>
      <c r="I20" s="299"/>
      <c r="J20" s="300" t="s">
        <v>43</v>
      </c>
      <c r="K20" s="292"/>
      <c r="N20" s="274"/>
    </row>
    <row r="21" spans="1:14" ht="7.5" customHeight="1">
      <c r="A21" s="285"/>
      <c r="B21" s="292"/>
      <c r="C21" s="38"/>
      <c r="D21" s="6"/>
      <c r="E21" s="6"/>
      <c r="F21" s="6"/>
      <c r="G21" s="301"/>
      <c r="H21" s="6"/>
      <c r="I21" s="302"/>
      <c r="J21" s="6"/>
      <c r="K21" s="292"/>
      <c r="N21" s="274"/>
    </row>
    <row r="22" spans="1:14" ht="24.75" customHeight="1">
      <c r="A22" s="285"/>
      <c r="B22" s="292" t="s">
        <v>321</v>
      </c>
      <c r="C22" s="298" t="s">
        <v>536</v>
      </c>
      <c r="D22" s="299" t="s">
        <v>489</v>
      </c>
      <c r="E22" s="299" t="s">
        <v>490</v>
      </c>
      <c r="F22" s="299"/>
      <c r="G22" s="299" t="s">
        <v>486</v>
      </c>
      <c r="H22" s="299"/>
      <c r="I22" s="299"/>
      <c r="J22" s="300" t="s">
        <v>43</v>
      </c>
      <c r="K22" s="292"/>
      <c r="N22" s="274"/>
    </row>
    <row r="23" spans="1:14" ht="9" customHeight="1">
      <c r="A23" s="285"/>
      <c r="B23" s="84"/>
      <c r="C23" s="97"/>
      <c r="D23" s="98"/>
      <c r="E23" s="6"/>
      <c r="F23" s="303"/>
      <c r="G23" s="304"/>
      <c r="H23" s="6"/>
      <c r="I23" s="302"/>
      <c r="J23" s="297"/>
      <c r="N23" s="274"/>
    </row>
    <row r="24" spans="1:14" ht="13">
      <c r="A24" s="285"/>
      <c r="B24" s="305" t="s">
        <v>322</v>
      </c>
      <c r="C24" s="306"/>
      <c r="D24" s="99" t="str">
        <f>VLOOKUP($C$14,rating_c20,12,0)</f>
        <v>AA(dcr)</v>
      </c>
      <c r="E24" s="99" t="str">
        <f>VLOOKUP($C$14,rating_c20,10,0)</f>
        <v>F1+</v>
      </c>
      <c r="F24" s="99" t="str">
        <f>VLOOKUP($C$14,rating_c20,11,0)</f>
        <v>STABLE</v>
      </c>
      <c r="G24" s="99" t="str">
        <f>VLOOKUP($C$14,rating_c20,2,0)</f>
        <v>Aa2(cr)</v>
      </c>
      <c r="H24" s="99" t="str">
        <f>VLOOKUP($C$14,rating_c20,5,0)</f>
        <v>P-1</v>
      </c>
      <c r="I24" s="99" t="str">
        <f>VLOOKUP($C$14,rating_c20,6,0)</f>
        <v>STABLE</v>
      </c>
      <c r="J24" s="307"/>
      <c r="N24" s="274"/>
    </row>
    <row r="25" spans="1:14" ht="13.5" thickBot="1">
      <c r="A25" s="285"/>
      <c r="B25" s="308"/>
      <c r="C25" s="309"/>
      <c r="D25" s="85"/>
      <c r="E25" s="85"/>
      <c r="F25" s="85"/>
      <c r="G25" s="85"/>
      <c r="H25" s="85"/>
      <c r="I25" s="85"/>
      <c r="J25" s="310"/>
      <c r="N25" s="274"/>
    </row>
    <row r="26" spans="1:14" ht="13">
      <c r="A26" s="285"/>
      <c r="D26" s="86"/>
      <c r="E26" s="86"/>
      <c r="F26" s="86"/>
      <c r="G26" s="86"/>
      <c r="H26" s="86"/>
      <c r="I26" s="86"/>
      <c r="J26" s="86"/>
      <c r="K26" s="86"/>
      <c r="L26" s="86"/>
      <c r="M26" s="25"/>
      <c r="N26" s="274"/>
    </row>
    <row r="27" spans="1:14" ht="18">
      <c r="A27" s="285"/>
      <c r="B27" s="241" t="s">
        <v>323</v>
      </c>
      <c r="C27" s="241"/>
      <c r="D27" s="80"/>
      <c r="E27" s="276" t="s">
        <v>324</v>
      </c>
      <c r="G27" s="287"/>
      <c r="H27" s="288"/>
      <c r="I27" s="276" t="s">
        <v>325</v>
      </c>
      <c r="J27" s="81"/>
      <c r="K27" s="25"/>
      <c r="L27" s="25"/>
      <c r="M27" s="25"/>
      <c r="N27" s="274"/>
    </row>
    <row r="28" spans="1:14">
      <c r="A28" s="285"/>
      <c r="B28" s="25" t="s">
        <v>326</v>
      </c>
      <c r="C28" s="87" t="s">
        <v>327</v>
      </c>
      <c r="E28" s="311" t="s">
        <v>313</v>
      </c>
      <c r="G28" s="287"/>
      <c r="H28" s="288"/>
      <c r="I28" s="87" t="s">
        <v>328</v>
      </c>
      <c r="K28" s="25"/>
      <c r="L28" s="88" t="str">
        <f>C14</f>
        <v>DZ Bank AG</v>
      </c>
      <c r="M28" s="25"/>
      <c r="N28" s="274"/>
    </row>
    <row r="29" spans="1:14" ht="13">
      <c r="A29" s="285"/>
      <c r="B29" s="45" t="s">
        <v>329</v>
      </c>
      <c r="C29" s="930">
        <f>VLOOKUP("Swap_Notional_amount",calcdata_20,2,0)</f>
        <v>270118791.90000021</v>
      </c>
      <c r="E29" s="87" t="s">
        <v>330</v>
      </c>
      <c r="G29" s="312"/>
      <c r="H29" s="313"/>
      <c r="I29" s="87" t="s">
        <v>331</v>
      </c>
      <c r="K29" s="25"/>
      <c r="L29" s="88" t="str">
        <f>C14</f>
        <v>DZ Bank AG</v>
      </c>
      <c r="M29" s="25"/>
      <c r="N29" s="274"/>
    </row>
    <row r="30" spans="1:14">
      <c r="A30" s="285"/>
      <c r="B30" s="45" t="s">
        <v>332</v>
      </c>
      <c r="C30" s="944">
        <f>VLOOKUP("Fixed_Rate",calcdata_20,2,0)</f>
        <v>-5.7099999999999998E-3</v>
      </c>
      <c r="E30" s="87" t="s">
        <v>308</v>
      </c>
      <c r="G30" s="25"/>
      <c r="H30" s="33"/>
      <c r="I30" s="33"/>
      <c r="J30" s="25"/>
      <c r="K30" s="25"/>
      <c r="L30" s="25"/>
      <c r="M30" s="25"/>
      <c r="N30" s="274"/>
    </row>
    <row r="31" spans="1:14">
      <c r="A31" s="285"/>
      <c r="B31" s="45" t="s">
        <v>333</v>
      </c>
      <c r="C31" s="944">
        <f>VLOOKUP("Floating_Rate",calcdata_20,2,0)</f>
        <v>2.1229999999999999E-2</v>
      </c>
      <c r="E31" s="87" t="s">
        <v>309</v>
      </c>
      <c r="G31" s="25"/>
      <c r="H31" s="33"/>
      <c r="I31" s="33"/>
      <c r="J31" s="25"/>
      <c r="K31" s="25"/>
      <c r="L31" s="25"/>
      <c r="M31" s="25"/>
      <c r="N31" s="274"/>
    </row>
    <row r="32" spans="1:14">
      <c r="A32" s="285"/>
      <c r="B32" s="45" t="s">
        <v>334</v>
      </c>
      <c r="C32" s="930">
        <f>VLOOKUP("Net_Swap_payments",calcdata_20,2,0)</f>
        <v>-667058.36</v>
      </c>
      <c r="E32" s="87" t="s">
        <v>208</v>
      </c>
      <c r="G32" s="25"/>
      <c r="H32" s="33"/>
      <c r="I32" s="33"/>
      <c r="J32" s="25"/>
      <c r="K32" s="25"/>
      <c r="L32" s="25"/>
      <c r="M32" s="25"/>
      <c r="N32" s="274"/>
    </row>
    <row r="33" spans="1:14">
      <c r="A33" s="285"/>
      <c r="B33" s="45" t="s">
        <v>335</v>
      </c>
      <c r="C33" s="930">
        <f>VLOOKUP("Swap_Notional_amount_next",calcdata_20,2,0)</f>
        <v>255828308.85000017</v>
      </c>
      <c r="D33" s="25"/>
      <c r="E33" s="25" t="s">
        <v>544</v>
      </c>
      <c r="G33" s="25"/>
      <c r="H33" s="25"/>
      <c r="I33" s="25"/>
      <c r="J33" s="25"/>
      <c r="K33" s="25"/>
      <c r="L33" s="25"/>
      <c r="M33" s="25"/>
      <c r="N33" s="274"/>
    </row>
    <row r="34" spans="1:14">
      <c r="A34" s="285"/>
      <c r="B34" s="14"/>
      <c r="F34" s="25"/>
      <c r="G34" s="25"/>
      <c r="H34" s="25"/>
      <c r="I34" s="25"/>
      <c r="J34" s="25"/>
      <c r="K34" s="25"/>
      <c r="L34" s="25"/>
      <c r="M34" s="25"/>
      <c r="N34" s="274"/>
    </row>
    <row r="35" spans="1:14" ht="18">
      <c r="A35" s="285"/>
      <c r="B35" s="276" t="s">
        <v>336</v>
      </c>
      <c r="C35" s="314"/>
      <c r="F35" s="25"/>
      <c r="G35" s="25"/>
      <c r="H35" s="25"/>
      <c r="I35" s="25"/>
      <c r="J35" s="25"/>
      <c r="K35" s="25"/>
      <c r="L35" s="25"/>
      <c r="M35" s="25"/>
      <c r="N35" s="274"/>
    </row>
    <row r="36" spans="1:14">
      <c r="A36" s="285"/>
      <c r="B36" s="239" t="s">
        <v>337</v>
      </c>
      <c r="C36" s="315">
        <v>0</v>
      </c>
      <c r="E36" s="70"/>
      <c r="F36" s="70"/>
      <c r="G36" s="70"/>
      <c r="H36" s="70"/>
      <c r="I36" s="70"/>
      <c r="J36" s="70"/>
      <c r="K36" s="70"/>
      <c r="L36" s="70"/>
      <c r="M36" s="25"/>
      <c r="N36" s="274"/>
    </row>
    <row r="37" spans="1:14">
      <c r="A37" s="285"/>
      <c r="B37" s="33" t="s">
        <v>84</v>
      </c>
      <c r="C37" s="315">
        <v>0</v>
      </c>
      <c r="F37" s="25"/>
      <c r="G37" s="25"/>
      <c r="H37" s="25"/>
      <c r="I37" s="25"/>
      <c r="J37" s="25"/>
      <c r="K37" s="25"/>
      <c r="L37" s="25"/>
      <c r="M37" s="25"/>
      <c r="N37" s="274"/>
    </row>
    <row r="38" spans="1:14">
      <c r="A38" s="285"/>
      <c r="B38" s="33" t="s">
        <v>85</v>
      </c>
      <c r="C38" s="315">
        <v>0</v>
      </c>
      <c r="D38" s="13"/>
      <c r="E38" s="198"/>
      <c r="F38" s="13"/>
      <c r="G38" s="199"/>
      <c r="H38" s="200"/>
      <c r="I38" s="199"/>
      <c r="J38" s="280"/>
      <c r="K38" s="25"/>
      <c r="L38" s="25"/>
      <c r="M38" s="25"/>
      <c r="N38" s="316"/>
    </row>
    <row r="39" spans="1:14" s="25" customFormat="1">
      <c r="A39" s="285"/>
      <c r="B39" s="239" t="s">
        <v>14</v>
      </c>
      <c r="C39" s="315">
        <v>0</v>
      </c>
      <c r="D39" s="6"/>
      <c r="E39" s="6"/>
      <c r="F39" s="6"/>
      <c r="G39" s="199"/>
      <c r="H39" s="200"/>
      <c r="I39" s="199"/>
      <c r="J39" s="280"/>
      <c r="N39" s="316"/>
    </row>
    <row r="40" spans="1:14" s="25" customFormat="1">
      <c r="A40" s="285"/>
      <c r="B40" s="14"/>
      <c r="C40" s="14"/>
      <c r="D40" s="13"/>
      <c r="E40" s="198"/>
      <c r="F40" s="13"/>
      <c r="G40" s="199"/>
      <c r="H40" s="200"/>
      <c r="I40" s="199"/>
      <c r="J40" s="280"/>
      <c r="N40" s="316"/>
    </row>
    <row r="41" spans="1:14" s="33" customFormat="1" ht="15" customHeight="1">
      <c r="A41" s="317"/>
      <c r="B41" s="942" t="str">
        <f>VLOOKUP("RatingDate",rating_c20,17,0)</f>
        <v>Ratings as of 31.05.2025, data source: Bloomberg</v>
      </c>
      <c r="C41" s="29"/>
      <c r="D41" s="1001" t="s">
        <v>539</v>
      </c>
      <c r="E41" s="1002"/>
      <c r="F41" s="1002"/>
      <c r="G41" s="1002"/>
      <c r="H41" s="1002"/>
      <c r="I41" s="318"/>
      <c r="J41" s="319"/>
      <c r="K41" s="320"/>
      <c r="L41" s="320"/>
      <c r="M41" s="320"/>
      <c r="N41" s="321"/>
    </row>
    <row r="42" spans="1:14" s="33" customFormat="1">
      <c r="B42" s="14"/>
      <c r="C42" s="14"/>
      <c r="D42" s="13"/>
      <c r="E42" s="198"/>
      <c r="F42" s="13"/>
      <c r="G42" s="199"/>
      <c r="H42" s="200"/>
      <c r="I42" s="199"/>
      <c r="J42" s="271"/>
    </row>
    <row r="43" spans="1:14" s="25" customFormat="1">
      <c r="B43" s="14"/>
      <c r="C43" s="14"/>
      <c r="D43" s="13"/>
      <c r="E43" s="198"/>
      <c r="F43" s="13"/>
      <c r="G43" s="199"/>
      <c r="H43" s="200"/>
      <c r="I43" s="199"/>
      <c r="J43" s="280"/>
    </row>
    <row r="44" spans="1:14" s="25" customFormat="1">
      <c r="B44" s="14"/>
      <c r="C44" s="14"/>
      <c r="D44" s="13"/>
      <c r="E44" s="198"/>
      <c r="F44" s="13"/>
      <c r="G44" s="199"/>
      <c r="H44" s="200"/>
      <c r="I44" s="199"/>
      <c r="J44" s="280"/>
    </row>
    <row r="45" spans="1:14" s="25" customFormat="1">
      <c r="B45" s="14"/>
      <c r="C45" s="14"/>
      <c r="D45" s="13"/>
      <c r="E45" s="198"/>
      <c r="F45" s="13"/>
      <c r="G45" s="199"/>
      <c r="H45" s="200"/>
      <c r="I45" s="199"/>
      <c r="J45" s="280"/>
    </row>
    <row r="46" spans="1:14" s="25" customFormat="1">
      <c r="B46" s="14"/>
      <c r="C46" s="14"/>
      <c r="D46" s="13"/>
      <c r="E46" s="198"/>
      <c r="F46" s="13"/>
      <c r="G46" s="199"/>
      <c r="H46" s="200"/>
      <c r="I46" s="199"/>
      <c r="J46" s="280"/>
    </row>
    <row r="47" spans="1:14" s="25" customFormat="1">
      <c r="B47" s="14"/>
      <c r="C47" s="14"/>
      <c r="D47" s="13"/>
      <c r="E47" s="198"/>
      <c r="F47" s="13"/>
      <c r="G47" s="199"/>
      <c r="H47" s="200"/>
      <c r="I47" s="199"/>
      <c r="J47" s="280"/>
    </row>
    <row r="48" spans="1:14" s="25" customFormat="1">
      <c r="B48" s="14"/>
      <c r="C48" s="14"/>
      <c r="D48" s="13"/>
      <c r="E48" s="198"/>
      <c r="F48" s="13"/>
      <c r="G48" s="199"/>
      <c r="H48" s="200"/>
      <c r="I48" s="199"/>
      <c r="J48" s="280"/>
    </row>
    <row r="49" spans="2:10" s="25" customFormat="1">
      <c r="B49" s="14"/>
      <c r="C49" s="14"/>
      <c r="D49" s="13"/>
      <c r="E49" s="198"/>
      <c r="F49" s="13"/>
      <c r="G49" s="199"/>
      <c r="H49" s="200"/>
      <c r="I49" s="199"/>
      <c r="J49" s="280"/>
    </row>
    <row r="50" spans="2:10" s="25" customFormat="1">
      <c r="B50" s="14"/>
      <c r="C50" s="14"/>
      <c r="D50" s="13"/>
      <c r="E50" s="198"/>
      <c r="F50" s="13"/>
      <c r="G50" s="199"/>
      <c r="H50" s="200"/>
      <c r="I50" s="199"/>
      <c r="J50" s="280"/>
    </row>
    <row r="51" spans="2:10" s="25" customFormat="1" ht="18">
      <c r="B51" s="14"/>
      <c r="C51" s="14"/>
      <c r="D51" s="13"/>
      <c r="E51" s="241"/>
      <c r="F51" s="13"/>
      <c r="G51" s="199"/>
      <c r="H51" s="200"/>
      <c r="I51" s="199"/>
      <c r="J51" s="280"/>
    </row>
    <row r="52" spans="2:10" s="25" customFormat="1">
      <c r="B52" s="14"/>
      <c r="C52" s="14"/>
      <c r="D52" s="13"/>
      <c r="E52" s="198"/>
      <c r="F52" s="13"/>
      <c r="G52" s="199"/>
      <c r="H52" s="200"/>
      <c r="I52" s="199"/>
      <c r="J52" s="280"/>
    </row>
    <row r="53" spans="2:10" s="25" customFormat="1">
      <c r="B53" s="14"/>
      <c r="C53" s="14"/>
      <c r="D53" s="13"/>
      <c r="E53" s="198"/>
      <c r="F53" s="13"/>
      <c r="G53" s="199"/>
      <c r="H53" s="200"/>
      <c r="I53" s="199"/>
      <c r="J53" s="280"/>
    </row>
    <row r="54" spans="2:10" s="25" customFormat="1">
      <c r="B54" s="14"/>
      <c r="C54" s="14"/>
      <c r="D54" s="13"/>
      <c r="E54" s="198"/>
      <c r="F54" s="13"/>
      <c r="G54" s="199"/>
      <c r="H54" s="200"/>
      <c r="I54" s="199"/>
      <c r="J54" s="280"/>
    </row>
    <row r="55" spans="2:10" s="25" customFormat="1">
      <c r="B55" s="14"/>
      <c r="C55" s="14"/>
      <c r="D55" s="13"/>
      <c r="E55" s="198"/>
      <c r="F55" s="13"/>
      <c r="G55" s="199"/>
      <c r="H55" s="200"/>
      <c r="I55" s="199"/>
      <c r="J55" s="280"/>
    </row>
    <row r="56" spans="2:10" s="25" customFormat="1">
      <c r="B56" s="14"/>
      <c r="C56" s="14"/>
      <c r="D56" s="13"/>
      <c r="E56" s="198"/>
      <c r="F56" s="13"/>
      <c r="G56" s="199"/>
      <c r="H56" s="200"/>
      <c r="I56" s="199"/>
      <c r="J56" s="280"/>
    </row>
    <row r="57" spans="2:10" s="25" customFormat="1">
      <c r="B57" s="14"/>
      <c r="C57" s="14"/>
      <c r="D57" s="13"/>
      <c r="E57" s="198"/>
      <c r="F57" s="13"/>
      <c r="G57" s="199"/>
      <c r="H57" s="200"/>
      <c r="I57" s="199"/>
      <c r="J57" s="280"/>
    </row>
    <row r="58" spans="2:10" s="25" customFormat="1">
      <c r="B58" s="14"/>
      <c r="C58" s="14"/>
      <c r="D58" s="13"/>
      <c r="E58" s="198"/>
      <c r="F58" s="13"/>
      <c r="G58" s="199"/>
      <c r="H58" s="200"/>
      <c r="I58" s="199"/>
      <c r="J58" s="280"/>
    </row>
    <row r="59" spans="2:10" s="25" customFormat="1">
      <c r="B59" s="14"/>
      <c r="C59" s="14"/>
      <c r="D59" s="13"/>
      <c r="E59" s="198"/>
      <c r="F59" s="13"/>
      <c r="G59" s="199"/>
      <c r="H59" s="200"/>
      <c r="I59" s="199"/>
      <c r="J59" s="280"/>
    </row>
    <row r="60" spans="2:10" s="25" customFormat="1">
      <c r="B60" s="14"/>
      <c r="C60" s="14"/>
      <c r="D60" s="13"/>
      <c r="E60" s="198"/>
      <c r="F60" s="13"/>
      <c r="G60" s="199"/>
      <c r="H60" s="200"/>
      <c r="I60" s="199"/>
      <c r="J60" s="280"/>
    </row>
    <row r="61" spans="2:10" s="25" customFormat="1">
      <c r="B61" s="14"/>
      <c r="C61" s="14"/>
      <c r="D61" s="13"/>
      <c r="E61" s="198"/>
      <c r="F61" s="13"/>
      <c r="G61" s="199"/>
      <c r="H61" s="200"/>
      <c r="I61" s="199"/>
      <c r="J61" s="280"/>
    </row>
    <row r="62" spans="2:10" s="25" customFormat="1">
      <c r="B62" s="14"/>
      <c r="C62" s="14"/>
      <c r="D62" s="13"/>
      <c r="E62" s="198"/>
      <c r="F62" s="13"/>
      <c r="G62" s="199"/>
      <c r="H62" s="200"/>
      <c r="I62" s="199"/>
      <c r="J62" s="280"/>
    </row>
    <row r="63" spans="2:10" s="25" customFormat="1">
      <c r="B63" s="14"/>
      <c r="C63" s="14"/>
      <c r="D63" s="13"/>
      <c r="E63" s="198"/>
      <c r="F63" s="13"/>
      <c r="G63" s="199"/>
      <c r="H63" s="200"/>
      <c r="I63" s="199"/>
      <c r="J63" s="280"/>
    </row>
    <row r="64" spans="2:10" s="25" customFormat="1">
      <c r="B64" s="14"/>
      <c r="C64" s="14"/>
      <c r="D64" s="13"/>
      <c r="E64" s="198"/>
      <c r="F64" s="13"/>
      <c r="G64" s="199"/>
      <c r="H64" s="200"/>
      <c r="I64" s="199"/>
      <c r="J64" s="280"/>
    </row>
    <row r="65" spans="2:10" s="25" customFormat="1">
      <c r="B65" s="14"/>
      <c r="C65" s="14"/>
      <c r="D65" s="13"/>
      <c r="E65" s="198"/>
      <c r="F65" s="13"/>
      <c r="G65" s="199"/>
      <c r="H65" s="200"/>
      <c r="I65" s="199"/>
      <c r="J65" s="280"/>
    </row>
    <row r="66" spans="2:10" s="25" customFormat="1">
      <c r="B66" s="14"/>
      <c r="C66" s="14"/>
      <c r="D66" s="13"/>
      <c r="E66" s="198"/>
      <c r="F66" s="13"/>
      <c r="G66" s="199"/>
      <c r="H66" s="200"/>
      <c r="I66" s="199"/>
      <c r="J66" s="280"/>
    </row>
    <row r="67" spans="2:10" s="25" customFormat="1">
      <c r="B67" s="14"/>
      <c r="C67" s="14"/>
      <c r="D67" s="13"/>
      <c r="E67" s="198"/>
      <c r="F67" s="13"/>
      <c r="G67" s="199"/>
      <c r="H67" s="200"/>
      <c r="I67" s="199"/>
      <c r="J67" s="280"/>
    </row>
    <row r="68" spans="2:10" s="25" customFormat="1">
      <c r="B68" s="14"/>
      <c r="C68" s="14"/>
      <c r="D68" s="13"/>
      <c r="E68" s="198"/>
      <c r="F68" s="13"/>
      <c r="G68" s="199"/>
      <c r="H68" s="200"/>
      <c r="I68" s="199"/>
      <c r="J68" s="280"/>
    </row>
    <row r="69" spans="2:10" s="25" customFormat="1">
      <c r="B69" s="14"/>
      <c r="C69" s="14"/>
      <c r="D69" s="13"/>
      <c r="E69" s="198"/>
      <c r="F69" s="13"/>
      <c r="G69" s="199"/>
      <c r="H69" s="200"/>
      <c r="I69" s="199"/>
      <c r="J69" s="280"/>
    </row>
    <row r="70" spans="2:10" s="25" customFormat="1">
      <c r="B70" s="14"/>
      <c r="C70" s="14"/>
      <c r="D70" s="13"/>
      <c r="E70" s="198"/>
      <c r="F70" s="13"/>
      <c r="G70" s="199"/>
      <c r="H70" s="200"/>
      <c r="I70" s="199"/>
      <c r="J70" s="280"/>
    </row>
    <row r="71" spans="2:10" s="25" customFormat="1">
      <c r="B71" s="14"/>
      <c r="C71" s="14"/>
      <c r="D71" s="13"/>
      <c r="E71" s="322"/>
      <c r="F71" s="323"/>
      <c r="G71" s="233"/>
      <c r="H71" s="324"/>
      <c r="I71" s="233"/>
      <c r="J71" s="280"/>
    </row>
    <row r="72" spans="2:10" s="25" customFormat="1">
      <c r="B72" s="14"/>
      <c r="C72" s="14"/>
      <c r="D72" s="13"/>
      <c r="E72" s="322"/>
      <c r="F72" s="322"/>
      <c r="G72" s="322"/>
      <c r="H72" s="322"/>
      <c r="I72" s="322"/>
      <c r="J72" s="280"/>
    </row>
    <row r="73" spans="2:10" s="25" customFormat="1">
      <c r="B73" s="14"/>
      <c r="C73" s="14"/>
      <c r="D73" s="13"/>
      <c r="E73" s="322"/>
      <c r="F73" s="322"/>
      <c r="G73" s="322"/>
      <c r="H73" s="322"/>
      <c r="I73" s="322"/>
      <c r="J73" s="280"/>
    </row>
    <row r="74" spans="2:10" s="25" customFormat="1">
      <c r="B74" s="14"/>
      <c r="C74" s="14"/>
      <c r="D74" s="13"/>
      <c r="E74" s="205"/>
      <c r="F74" s="234"/>
      <c r="G74" s="322"/>
      <c r="H74" s="322"/>
      <c r="I74" s="322"/>
      <c r="J74" s="280"/>
    </row>
    <row r="75" spans="2:10" s="25" customFormat="1">
      <c r="B75" s="14"/>
      <c r="C75" s="14"/>
      <c r="D75" s="13"/>
      <c r="E75" s="323"/>
      <c r="F75" s="234"/>
      <c r="G75" s="322"/>
      <c r="H75" s="322"/>
      <c r="I75" s="322"/>
      <c r="J75" s="280"/>
    </row>
    <row r="76" spans="2:10" s="25" customFormat="1">
      <c r="B76" s="14"/>
      <c r="C76" s="14"/>
      <c r="D76" s="13"/>
      <c r="E76" s="322"/>
      <c r="F76" s="234"/>
      <c r="G76" s="322"/>
      <c r="H76" s="322"/>
      <c r="I76" s="322"/>
      <c r="J76" s="280"/>
    </row>
    <row r="77" spans="2:10" s="25" customFormat="1" ht="14">
      <c r="B77" s="14"/>
      <c r="C77" s="322"/>
      <c r="D77" s="323"/>
      <c r="E77" s="325"/>
      <c r="F77" s="325"/>
      <c r="G77" s="325"/>
      <c r="H77" s="325"/>
      <c r="I77" s="325"/>
      <c r="J77" s="280"/>
    </row>
    <row r="78" spans="2:10" s="25" customFormat="1" ht="14">
      <c r="B78" s="322"/>
      <c r="C78" s="33"/>
      <c r="D78" s="33"/>
      <c r="E78" s="325"/>
      <c r="F78" s="325"/>
      <c r="G78" s="325"/>
      <c r="H78" s="325"/>
      <c r="I78" s="325"/>
      <c r="J78" s="280"/>
    </row>
    <row r="79" spans="2:10" s="25" customFormat="1" ht="14">
      <c r="B79" s="33"/>
      <c r="C79" s="33"/>
      <c r="D79" s="33"/>
      <c r="E79" s="208"/>
      <c r="F79" s="235"/>
      <c r="G79" s="325"/>
      <c r="H79" s="325"/>
      <c r="I79" s="325"/>
      <c r="J79" s="280"/>
    </row>
    <row r="80" spans="2:10" s="25" customFormat="1" ht="14">
      <c r="B80" s="33"/>
      <c r="C80" s="205"/>
      <c r="D80" s="234"/>
      <c r="E80" s="326"/>
      <c r="F80" s="235"/>
      <c r="G80" s="325"/>
      <c r="H80" s="325"/>
      <c r="I80" s="325"/>
      <c r="J80" s="280"/>
    </row>
    <row r="81" spans="2:10" s="25" customFormat="1" ht="14">
      <c r="B81" s="205"/>
      <c r="C81" s="327"/>
      <c r="D81" s="234"/>
      <c r="E81" s="325"/>
      <c r="F81" s="235"/>
      <c r="G81" s="325"/>
      <c r="H81" s="325"/>
      <c r="I81" s="325"/>
      <c r="J81" s="280"/>
    </row>
    <row r="82" spans="2:10" s="25" customFormat="1">
      <c r="B82" s="327"/>
      <c r="D82" s="234"/>
      <c r="J82" s="280"/>
    </row>
    <row r="83" spans="2:10" s="25" customFormat="1">
      <c r="J83" s="280"/>
    </row>
    <row r="84" spans="2:10" s="25" customFormat="1">
      <c r="J84" s="280"/>
    </row>
    <row r="85" spans="2:10" s="25" customFormat="1">
      <c r="J85" s="280"/>
    </row>
    <row r="86" spans="2:10" s="25" customFormat="1">
      <c r="J86" s="280"/>
    </row>
    <row r="87" spans="2:10" s="25" customFormat="1">
      <c r="J87" s="280"/>
    </row>
    <row r="88" spans="2:10" s="25" customFormat="1">
      <c r="J88" s="280"/>
    </row>
    <row r="89" spans="2:10" s="25" customFormat="1">
      <c r="J89" s="280"/>
    </row>
    <row r="90" spans="2:10" s="25" customFormat="1">
      <c r="J90" s="280"/>
    </row>
    <row r="91" spans="2:10" s="25" customFormat="1">
      <c r="J91" s="280"/>
    </row>
    <row r="92" spans="2:10" s="25" customFormat="1">
      <c r="J92" s="280"/>
    </row>
    <row r="93" spans="2:10" s="25" customFormat="1">
      <c r="J93" s="280"/>
    </row>
    <row r="94" spans="2:10" s="25" customFormat="1">
      <c r="J94" s="280"/>
    </row>
    <row r="95" spans="2:10" s="25" customFormat="1">
      <c r="J95" s="280"/>
    </row>
    <row r="96" spans="2:10" s="25" customFormat="1">
      <c r="J96" s="280"/>
    </row>
    <row r="97" spans="10:10" s="25" customFormat="1">
      <c r="J97" s="280"/>
    </row>
    <row r="98" spans="10:10" s="25" customFormat="1">
      <c r="J98" s="280"/>
    </row>
    <row r="99" spans="10:10" s="25" customFormat="1">
      <c r="J99" s="280"/>
    </row>
    <row r="100" spans="10:10" s="25" customFormat="1">
      <c r="J100" s="280"/>
    </row>
    <row r="101" spans="10:10" s="25" customFormat="1">
      <c r="J101" s="280"/>
    </row>
    <row r="102" spans="10:10" s="25" customFormat="1">
      <c r="J102" s="280"/>
    </row>
    <row r="103" spans="10:10" s="25" customFormat="1">
      <c r="J103" s="280"/>
    </row>
    <row r="104" spans="10:10" s="25" customFormat="1">
      <c r="J104" s="280"/>
    </row>
    <row r="105" spans="10:10" s="25" customFormat="1">
      <c r="J105" s="280"/>
    </row>
    <row r="106" spans="10:10" s="25" customFormat="1">
      <c r="J106" s="280"/>
    </row>
    <row r="107" spans="10:10" s="25" customFormat="1">
      <c r="J107" s="280"/>
    </row>
    <row r="108" spans="10:10" s="25" customFormat="1">
      <c r="J108" s="280"/>
    </row>
    <row r="109" spans="10:10" s="25" customFormat="1">
      <c r="J109" s="280"/>
    </row>
    <row r="110" spans="10:10" s="25" customFormat="1">
      <c r="J110" s="280"/>
    </row>
    <row r="111" spans="10:10" s="25" customFormat="1">
      <c r="J111" s="280"/>
    </row>
    <row r="112" spans="10:10" s="25" customFormat="1">
      <c r="J112" s="280"/>
    </row>
    <row r="113" spans="10:10" s="25" customFormat="1">
      <c r="J113" s="280"/>
    </row>
    <row r="114" spans="10:10" s="25" customFormat="1">
      <c r="J114" s="280"/>
    </row>
    <row r="115" spans="10:10" s="25" customFormat="1">
      <c r="J115" s="280"/>
    </row>
    <row r="116" spans="10:10" s="25" customFormat="1">
      <c r="J116" s="280"/>
    </row>
    <row r="117" spans="10:10" s="25" customFormat="1">
      <c r="J117" s="280"/>
    </row>
    <row r="118" spans="10:10" s="25" customFormat="1">
      <c r="J118" s="280"/>
    </row>
    <row r="119" spans="10:10" s="25" customFormat="1">
      <c r="J119" s="280"/>
    </row>
    <row r="120" spans="10:10" s="25" customFormat="1">
      <c r="J120" s="280"/>
    </row>
    <row r="121" spans="10:10" s="25" customFormat="1">
      <c r="J121" s="280"/>
    </row>
    <row r="122" spans="10:10" s="25" customFormat="1">
      <c r="J122" s="280"/>
    </row>
    <row r="123" spans="10:10" s="25" customFormat="1">
      <c r="J123" s="280"/>
    </row>
    <row r="124" spans="10:10" s="25" customFormat="1">
      <c r="J124" s="280"/>
    </row>
    <row r="125" spans="10:10" s="25" customFormat="1">
      <c r="J125" s="280"/>
    </row>
    <row r="126" spans="10:10" s="25" customFormat="1">
      <c r="J126" s="280"/>
    </row>
    <row r="127" spans="10:10" s="25" customFormat="1">
      <c r="J127" s="280"/>
    </row>
    <row r="128" spans="10:10" s="25" customFormat="1">
      <c r="J128" s="280"/>
    </row>
    <row r="129" spans="10:10" s="25" customFormat="1">
      <c r="J129" s="280"/>
    </row>
    <row r="130" spans="10:10" s="25" customFormat="1">
      <c r="J130" s="280"/>
    </row>
    <row r="131" spans="10:10" s="25" customFormat="1">
      <c r="J131" s="280"/>
    </row>
    <row r="132" spans="10:10" s="25" customFormat="1">
      <c r="J132" s="280"/>
    </row>
    <row r="133" spans="10:10" s="25" customFormat="1">
      <c r="J133" s="280"/>
    </row>
    <row r="134" spans="10:10" s="25" customFormat="1">
      <c r="J134" s="280"/>
    </row>
    <row r="135" spans="10:10" s="25" customFormat="1">
      <c r="J135" s="280"/>
    </row>
    <row r="136" spans="10:10" s="25" customFormat="1">
      <c r="J136" s="280"/>
    </row>
    <row r="137" spans="10:10" s="25" customFormat="1">
      <c r="J137" s="280"/>
    </row>
    <row r="138" spans="10:10" s="25" customFormat="1">
      <c r="J138" s="280"/>
    </row>
    <row r="139" spans="10:10" s="25" customFormat="1">
      <c r="J139" s="280"/>
    </row>
    <row r="140" spans="10:10" s="25" customFormat="1">
      <c r="J140" s="280"/>
    </row>
    <row r="141" spans="10:10" s="25" customFormat="1">
      <c r="J141" s="280"/>
    </row>
    <row r="142" spans="10:10" s="25" customFormat="1">
      <c r="J142" s="280"/>
    </row>
    <row r="143" spans="10:10" s="25" customFormat="1">
      <c r="J143" s="280"/>
    </row>
    <row r="144" spans="10:10" s="25" customFormat="1">
      <c r="J144" s="280"/>
    </row>
    <row r="145" spans="10:10" s="25" customFormat="1">
      <c r="J145" s="280"/>
    </row>
    <row r="146" spans="10:10" s="25" customFormat="1">
      <c r="J146" s="280"/>
    </row>
    <row r="147" spans="10:10" s="25" customFormat="1">
      <c r="J147" s="280"/>
    </row>
    <row r="148" spans="10:10" s="25" customFormat="1">
      <c r="J148" s="280"/>
    </row>
    <row r="149" spans="10:10" s="25" customFormat="1">
      <c r="J149" s="280"/>
    </row>
    <row r="150" spans="10:10" s="25" customFormat="1">
      <c r="J150" s="280"/>
    </row>
    <row r="151" spans="10:10" s="25" customFormat="1">
      <c r="J151" s="280"/>
    </row>
    <row r="152" spans="10:10" s="25" customFormat="1">
      <c r="J152" s="280"/>
    </row>
    <row r="153" spans="10:10" s="25" customFormat="1">
      <c r="J153" s="280"/>
    </row>
    <row r="154" spans="10:10" s="25" customFormat="1">
      <c r="J154" s="280"/>
    </row>
    <row r="155" spans="10:10" s="25" customFormat="1">
      <c r="J155" s="280"/>
    </row>
    <row r="156" spans="10:10" s="25" customFormat="1">
      <c r="J156" s="280"/>
    </row>
    <row r="157" spans="10:10" s="25" customFormat="1">
      <c r="J157" s="280"/>
    </row>
    <row r="158" spans="10:10" s="25" customFormat="1">
      <c r="J158" s="280"/>
    </row>
    <row r="159" spans="10:10" s="25" customFormat="1">
      <c r="J159" s="280"/>
    </row>
    <row r="160" spans="10:10" s="25" customFormat="1">
      <c r="J160" s="280"/>
    </row>
    <row r="161" spans="10:10" s="25" customFormat="1">
      <c r="J161" s="280"/>
    </row>
    <row r="162" spans="10:10" s="25" customFormat="1">
      <c r="J162" s="280"/>
    </row>
    <row r="163" spans="10:10" s="25" customFormat="1">
      <c r="J163" s="280"/>
    </row>
    <row r="164" spans="10:10" s="25" customFormat="1">
      <c r="J164" s="280"/>
    </row>
    <row r="165" spans="10:10" s="25" customFormat="1">
      <c r="J165" s="280"/>
    </row>
    <row r="166" spans="10:10" s="25" customFormat="1">
      <c r="J166" s="280"/>
    </row>
    <row r="167" spans="10:10" s="25" customFormat="1">
      <c r="J167" s="280"/>
    </row>
    <row r="168" spans="10:10" s="25" customFormat="1">
      <c r="J168" s="280"/>
    </row>
    <row r="169" spans="10:10" s="25" customFormat="1">
      <c r="J169" s="280"/>
    </row>
    <row r="170" spans="10:10" s="25" customFormat="1">
      <c r="J170" s="280"/>
    </row>
    <row r="171" spans="10:10" s="25" customFormat="1">
      <c r="J171" s="280"/>
    </row>
    <row r="172" spans="10:10" s="25" customFormat="1">
      <c r="J172" s="280"/>
    </row>
    <row r="173" spans="10:10" s="25" customFormat="1">
      <c r="J173" s="280"/>
    </row>
    <row r="174" spans="10:10" s="25" customFormat="1">
      <c r="J174" s="280"/>
    </row>
    <row r="175" spans="10:10" s="25" customFormat="1">
      <c r="J175" s="280"/>
    </row>
    <row r="176" spans="10:10" s="25" customFormat="1">
      <c r="J176" s="280"/>
    </row>
    <row r="177" spans="10:10" s="25" customFormat="1">
      <c r="J177" s="280"/>
    </row>
    <row r="178" spans="10:10" s="25" customFormat="1">
      <c r="J178" s="280"/>
    </row>
    <row r="179" spans="10:10" s="25" customFormat="1">
      <c r="J179" s="280"/>
    </row>
    <row r="180" spans="10:10" s="25" customFormat="1">
      <c r="J180" s="280"/>
    </row>
    <row r="181" spans="10:10" s="25" customFormat="1">
      <c r="J181" s="280"/>
    </row>
    <row r="182" spans="10:10" s="25" customFormat="1">
      <c r="J182" s="280"/>
    </row>
    <row r="183" spans="10:10" s="25" customFormat="1">
      <c r="J183" s="280"/>
    </row>
    <row r="184" spans="10:10" s="25" customFormat="1">
      <c r="J184" s="280"/>
    </row>
    <row r="185" spans="10:10" s="25" customFormat="1">
      <c r="J185" s="280"/>
    </row>
    <row r="186" spans="10:10" s="25" customFormat="1">
      <c r="J186" s="280"/>
    </row>
    <row r="187" spans="10:10" s="25" customFormat="1">
      <c r="J187" s="280"/>
    </row>
    <row r="188" spans="10:10" s="25" customFormat="1">
      <c r="J188" s="280"/>
    </row>
    <row r="189" spans="10:10" s="25" customFormat="1">
      <c r="J189" s="280"/>
    </row>
    <row r="190" spans="10:10" s="25" customFormat="1">
      <c r="J190" s="280"/>
    </row>
    <row r="191" spans="10:10" s="25" customFormat="1">
      <c r="J191" s="280"/>
    </row>
    <row r="192" spans="10:10" s="25" customFormat="1">
      <c r="J192" s="280"/>
    </row>
    <row r="193" spans="10:10" s="25" customFormat="1">
      <c r="J193" s="280"/>
    </row>
    <row r="194" spans="10:10" s="25" customFormat="1">
      <c r="J194" s="280"/>
    </row>
    <row r="195" spans="10:10" s="25" customFormat="1">
      <c r="J195" s="280"/>
    </row>
    <row r="196" spans="10:10" s="25" customFormat="1">
      <c r="J196" s="280"/>
    </row>
    <row r="197" spans="10:10" s="25" customFormat="1">
      <c r="J197" s="280"/>
    </row>
    <row r="198" spans="10:10" s="25" customFormat="1">
      <c r="J198" s="280"/>
    </row>
    <row r="199" spans="10:10" s="25" customFormat="1">
      <c r="J199" s="280"/>
    </row>
    <row r="200" spans="10:10" s="25" customFormat="1">
      <c r="J200" s="280"/>
    </row>
    <row r="201" spans="10:10" s="25" customFormat="1">
      <c r="J201" s="280"/>
    </row>
    <row r="202" spans="10:10" s="25" customFormat="1">
      <c r="J202" s="280"/>
    </row>
    <row r="203" spans="10:10" s="25" customFormat="1">
      <c r="J203" s="280"/>
    </row>
    <row r="204" spans="10:10" s="25" customFormat="1">
      <c r="J204" s="280"/>
    </row>
    <row r="205" spans="10:10" s="25" customFormat="1">
      <c r="J205" s="280"/>
    </row>
    <row r="206" spans="10:10" s="25" customFormat="1">
      <c r="J206" s="280"/>
    </row>
    <row r="207" spans="10:10" s="25" customFormat="1">
      <c r="J207" s="280"/>
    </row>
    <row r="208" spans="10:10" s="25" customFormat="1">
      <c r="J208" s="280"/>
    </row>
    <row r="209" spans="10:10" s="25" customFormat="1">
      <c r="J209" s="280"/>
    </row>
    <row r="210" spans="10:10" s="25" customFormat="1">
      <c r="J210" s="280"/>
    </row>
    <row r="211" spans="10:10" s="25" customFormat="1">
      <c r="J211" s="280"/>
    </row>
    <row r="212" spans="10:10" s="25" customFormat="1">
      <c r="J212" s="280"/>
    </row>
    <row r="213" spans="10:10" s="25" customFormat="1">
      <c r="J213" s="280"/>
    </row>
    <row r="214" spans="10:10" s="25" customFormat="1">
      <c r="J214" s="280"/>
    </row>
    <row r="215" spans="10:10" s="25" customFormat="1">
      <c r="J215" s="280"/>
    </row>
    <row r="216" spans="10:10" s="25" customFormat="1">
      <c r="J216" s="280"/>
    </row>
    <row r="217" spans="10:10" s="25" customFormat="1">
      <c r="J217" s="280"/>
    </row>
    <row r="218" spans="10:10" s="25" customFormat="1">
      <c r="J218" s="280"/>
    </row>
    <row r="219" spans="10:10" s="25" customFormat="1">
      <c r="J219" s="280"/>
    </row>
    <row r="220" spans="10:10" s="25" customFormat="1">
      <c r="J220" s="280"/>
    </row>
    <row r="221" spans="10:10" s="25" customFormat="1">
      <c r="J221" s="280"/>
    </row>
    <row r="222" spans="10:10" s="25" customFormat="1">
      <c r="J222" s="280"/>
    </row>
    <row r="223" spans="10:10" s="25" customFormat="1">
      <c r="J223" s="280"/>
    </row>
    <row r="224" spans="10:10" s="25" customFormat="1">
      <c r="J224" s="280"/>
    </row>
    <row r="225" spans="10:10" s="25" customFormat="1">
      <c r="J225" s="280"/>
    </row>
    <row r="226" spans="10:10" s="25" customFormat="1">
      <c r="J226" s="280"/>
    </row>
    <row r="227" spans="10:10" s="25" customFormat="1">
      <c r="J227" s="280"/>
    </row>
    <row r="228" spans="10:10" s="25" customFormat="1">
      <c r="J228" s="280"/>
    </row>
    <row r="229" spans="10:10" s="25" customFormat="1">
      <c r="J229" s="280"/>
    </row>
    <row r="230" spans="10:10" s="25" customFormat="1">
      <c r="J230" s="280"/>
    </row>
    <row r="231" spans="10:10" s="25" customFormat="1">
      <c r="J231" s="280"/>
    </row>
    <row r="232" spans="10:10" s="25" customFormat="1">
      <c r="J232" s="280"/>
    </row>
    <row r="233" spans="10:10" s="25" customFormat="1">
      <c r="J233" s="280"/>
    </row>
    <row r="234" spans="10:10" s="25" customFormat="1">
      <c r="J234" s="280"/>
    </row>
    <row r="235" spans="10:10" s="25" customFormat="1">
      <c r="J235" s="280"/>
    </row>
    <row r="236" spans="10:10" s="25" customFormat="1">
      <c r="J236" s="280"/>
    </row>
    <row r="237" spans="10:10" s="25" customFormat="1">
      <c r="J237" s="280"/>
    </row>
    <row r="238" spans="10:10" s="25" customFormat="1">
      <c r="J238" s="280"/>
    </row>
    <row r="239" spans="10:10" s="25" customFormat="1">
      <c r="J239" s="280"/>
    </row>
    <row r="240" spans="10:10" s="25" customFormat="1">
      <c r="J240" s="280"/>
    </row>
    <row r="241" spans="10:10" s="25" customFormat="1">
      <c r="J241" s="280"/>
    </row>
    <row r="242" spans="10:10" s="25" customFormat="1">
      <c r="J242" s="280"/>
    </row>
    <row r="243" spans="10:10" s="25" customFormat="1">
      <c r="J243" s="280"/>
    </row>
    <row r="244" spans="10:10" s="25" customFormat="1">
      <c r="J244" s="280"/>
    </row>
    <row r="245" spans="10:10" s="25" customFormat="1">
      <c r="J245" s="280"/>
    </row>
    <row r="246" spans="10:10" s="25" customFormat="1">
      <c r="J246" s="280"/>
    </row>
    <row r="247" spans="10:10" s="25" customFormat="1">
      <c r="J247" s="280"/>
    </row>
    <row r="248" spans="10:10" s="25" customFormat="1">
      <c r="J248" s="280"/>
    </row>
    <row r="249" spans="10:10" s="25" customFormat="1">
      <c r="J249" s="280"/>
    </row>
    <row r="250" spans="10:10" s="25" customFormat="1">
      <c r="J250" s="280"/>
    </row>
    <row r="251" spans="10:10" s="25" customFormat="1">
      <c r="J251" s="280"/>
    </row>
    <row r="252" spans="10:10" s="25" customFormat="1">
      <c r="J252" s="280"/>
    </row>
    <row r="253" spans="10:10" s="25" customFormat="1">
      <c r="J253" s="280"/>
    </row>
    <row r="254" spans="10:10" s="25" customFormat="1">
      <c r="J254" s="280"/>
    </row>
    <row r="255" spans="10:10" s="25" customFormat="1">
      <c r="J255" s="280"/>
    </row>
    <row r="256" spans="10:10" s="25" customFormat="1">
      <c r="J256" s="280"/>
    </row>
    <row r="257" spans="10:10" s="25" customFormat="1">
      <c r="J257" s="280"/>
    </row>
    <row r="258" spans="10:10" s="25" customFormat="1">
      <c r="J258" s="280"/>
    </row>
    <row r="259" spans="10:10" s="25" customFormat="1">
      <c r="J259" s="280"/>
    </row>
    <row r="260" spans="10:10" s="25" customFormat="1">
      <c r="J260" s="280"/>
    </row>
    <row r="261" spans="10:10" s="25" customFormat="1">
      <c r="J261" s="280"/>
    </row>
    <row r="262" spans="10:10" s="25" customFormat="1">
      <c r="J262" s="280"/>
    </row>
    <row r="263" spans="10:10" s="25" customFormat="1">
      <c r="J263" s="280"/>
    </row>
    <row r="264" spans="10:10" s="25" customFormat="1">
      <c r="J264" s="280"/>
    </row>
    <row r="265" spans="10:10" s="25" customFormat="1">
      <c r="J265" s="280"/>
    </row>
    <row r="266" spans="10:10" s="25" customFormat="1">
      <c r="J266" s="280"/>
    </row>
    <row r="267" spans="10:10" s="25" customFormat="1">
      <c r="J267" s="280"/>
    </row>
    <row r="268" spans="10:10" s="25" customFormat="1">
      <c r="J268" s="280"/>
    </row>
    <row r="269" spans="10:10" s="25" customFormat="1">
      <c r="J269" s="280"/>
    </row>
    <row r="270" spans="10:10" s="25" customFormat="1">
      <c r="J270" s="280"/>
    </row>
    <row r="271" spans="10:10" s="25" customFormat="1">
      <c r="J271" s="280"/>
    </row>
    <row r="272" spans="10:10" s="25" customFormat="1">
      <c r="J272" s="280"/>
    </row>
    <row r="273" spans="10:10" s="25" customFormat="1">
      <c r="J273" s="280"/>
    </row>
    <row r="274" spans="10:10" s="25" customFormat="1">
      <c r="J274" s="280"/>
    </row>
    <row r="275" spans="10:10" s="25" customFormat="1">
      <c r="J275" s="280"/>
    </row>
    <row r="276" spans="10:10" s="25" customFormat="1">
      <c r="J276" s="280"/>
    </row>
    <row r="277" spans="10:10" s="25" customFormat="1">
      <c r="J277" s="280"/>
    </row>
    <row r="278" spans="10:10" s="25" customFormat="1">
      <c r="J278" s="280"/>
    </row>
    <row r="279" spans="10:10" s="25" customFormat="1">
      <c r="J279" s="280"/>
    </row>
    <row r="280" spans="10:10" s="25" customFormat="1">
      <c r="J280" s="280"/>
    </row>
    <row r="281" spans="10:10" s="25" customFormat="1">
      <c r="J281" s="280"/>
    </row>
    <row r="282" spans="10:10" s="25" customFormat="1">
      <c r="J282" s="280"/>
    </row>
    <row r="283" spans="10:10" s="25" customFormat="1">
      <c r="J283" s="280"/>
    </row>
    <row r="284" spans="10:10" s="25" customFormat="1">
      <c r="J284" s="280"/>
    </row>
    <row r="285" spans="10:10" s="25" customFormat="1">
      <c r="J285" s="280"/>
    </row>
    <row r="286" spans="10:10" s="25" customFormat="1">
      <c r="J286" s="280"/>
    </row>
    <row r="287" spans="10:10" s="25" customFormat="1">
      <c r="J287" s="280"/>
    </row>
    <row r="288" spans="10:10" s="25" customFormat="1">
      <c r="J288" s="280"/>
    </row>
    <row r="289" spans="10:10" s="25" customFormat="1">
      <c r="J289" s="280"/>
    </row>
    <row r="290" spans="10:10" s="25" customFormat="1">
      <c r="J290" s="280"/>
    </row>
    <row r="291" spans="10:10" s="25" customFormat="1">
      <c r="J291" s="280"/>
    </row>
    <row r="292" spans="10:10" s="25" customFormat="1">
      <c r="J292" s="280"/>
    </row>
    <row r="293" spans="10:10" s="25" customFormat="1">
      <c r="J293" s="280"/>
    </row>
    <row r="294" spans="10:10" s="25" customFormat="1">
      <c r="J294" s="280"/>
    </row>
    <row r="295" spans="10:10" s="25" customFormat="1">
      <c r="J295" s="280"/>
    </row>
    <row r="296" spans="10:10" s="25" customFormat="1">
      <c r="J296" s="280"/>
    </row>
    <row r="297" spans="10:10" s="25" customFormat="1">
      <c r="J297" s="280"/>
    </row>
    <row r="298" spans="10:10" s="25" customFormat="1">
      <c r="J298" s="280"/>
    </row>
    <row r="299" spans="10:10" s="25" customFormat="1">
      <c r="J299" s="280"/>
    </row>
    <row r="300" spans="10:10" s="25" customFormat="1">
      <c r="J300" s="280"/>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27.81640625" style="146" customWidth="1"/>
    <col min="3" max="3" width="20.81640625" style="146" customWidth="1"/>
    <col min="4" max="4" width="10.81640625" style="146" customWidth="1"/>
    <col min="5" max="5" width="12.1796875" style="146" customWidth="1"/>
    <col min="6" max="6" width="10.1796875" style="146" customWidth="1"/>
    <col min="7" max="7" width="10.81640625" style="146" customWidth="1"/>
    <col min="8" max="8" width="13.1796875" style="146" customWidth="1"/>
    <col min="9" max="9" width="10.81640625" style="146" customWidth="1"/>
    <col min="10" max="10" width="12.81640625" style="146" customWidth="1"/>
    <col min="11" max="12" width="10.81640625" style="146" customWidth="1"/>
    <col min="13" max="16384" width="9.1796875" style="146"/>
  </cols>
  <sheetData>
    <row r="1" spans="1:15" ht="6" customHeight="1">
      <c r="A1" s="155"/>
      <c r="B1" s="49"/>
      <c r="C1" s="49"/>
      <c r="D1" s="49"/>
      <c r="E1" s="49"/>
      <c r="F1" s="49"/>
      <c r="G1" s="49"/>
      <c r="H1" s="49"/>
      <c r="I1" s="49"/>
      <c r="J1" s="49"/>
      <c r="K1" s="49"/>
      <c r="L1" s="49"/>
      <c r="M1" s="156"/>
      <c r="N1" s="21"/>
      <c r="O1" s="21"/>
    </row>
    <row r="2" spans="1:15" s="106" customFormat="1" ht="18">
      <c r="A2" s="107"/>
      <c r="B2" s="108" t="str">
        <f>'Cover Sheet'!B2</f>
        <v>SC Germany Consumer 2020-1</v>
      </c>
      <c r="C2" s="108"/>
      <c r="D2" s="101"/>
      <c r="E2" s="1010" t="str">
        <f>'Cover Sheet'!D2</f>
        <v>Calculation Date</v>
      </c>
      <c r="F2" s="1011"/>
      <c r="G2" s="110"/>
      <c r="H2" s="111">
        <f>'Cover Sheet'!F2</f>
        <v>45820</v>
      </c>
      <c r="I2" s="157"/>
      <c r="J2" s="110"/>
      <c r="K2" s="110"/>
      <c r="L2" s="112"/>
      <c r="M2" s="113"/>
      <c r="N2" s="101"/>
      <c r="O2" s="101"/>
    </row>
    <row r="3" spans="1:15" s="106" customFormat="1" ht="18">
      <c r="A3" s="107"/>
      <c r="B3" s="108" t="str">
        <f>'Cover Sheet'!B3</f>
        <v>Monthly Investor Report</v>
      </c>
      <c r="C3" s="108"/>
      <c r="D3" s="101"/>
      <c r="E3" s="1012" t="str">
        <f>'Cover Sheet'!D3</f>
        <v>Payment Date</v>
      </c>
      <c r="F3" s="1013"/>
      <c r="G3" s="117"/>
      <c r="H3" s="117">
        <f>'Cover Sheet'!F3</f>
        <v>45824</v>
      </c>
      <c r="I3" s="158"/>
      <c r="J3" s="116"/>
      <c r="K3" s="116"/>
      <c r="L3" s="118"/>
      <c r="M3" s="113"/>
      <c r="N3" s="101"/>
      <c r="O3" s="101"/>
    </row>
    <row r="4" spans="1:15" s="106" customFormat="1">
      <c r="A4" s="107"/>
      <c r="B4" s="159"/>
      <c r="C4" s="160"/>
      <c r="D4" s="101"/>
      <c r="E4" s="1012" t="str">
        <f>'Cover Sheet'!D4</f>
        <v>Period  No</v>
      </c>
      <c r="F4" s="1013"/>
      <c r="G4" s="120"/>
      <c r="H4" s="120">
        <f>'Cover Sheet'!F4</f>
        <v>55</v>
      </c>
      <c r="I4" s="161"/>
      <c r="J4" s="121"/>
      <c r="K4" s="116"/>
      <c r="L4" s="122"/>
      <c r="M4" s="113"/>
      <c r="N4" s="101"/>
      <c r="O4" s="101"/>
    </row>
    <row r="5" spans="1:15" s="106" customFormat="1" ht="18">
      <c r="A5" s="107"/>
      <c r="B5" s="162" t="s">
        <v>455</v>
      </c>
      <c r="C5" s="123"/>
      <c r="D5" s="101"/>
      <c r="E5" s="1012" t="str">
        <f>'Cover Sheet'!D5</f>
        <v>Monthly Period</v>
      </c>
      <c r="F5" s="1013"/>
      <c r="G5" s="163"/>
      <c r="H5" s="124">
        <f>'Cover Sheet'!F5</f>
        <v>45824</v>
      </c>
      <c r="I5" s="116"/>
      <c r="J5" s="121"/>
      <c r="K5" s="116"/>
      <c r="L5" s="122"/>
      <c r="M5" s="113"/>
      <c r="N5" s="101"/>
      <c r="O5" s="101"/>
    </row>
    <row r="6" spans="1:15" s="106" customFormat="1" ht="15" customHeight="1">
      <c r="A6" s="107"/>
      <c r="B6" s="125"/>
      <c r="C6" s="114"/>
      <c r="D6" s="101"/>
      <c r="E6" s="1006" t="str">
        <f>'Cover Sheet'!D6</f>
        <v>Interest Period</v>
      </c>
      <c r="F6" s="1007"/>
      <c r="G6" s="117" t="s">
        <v>34</v>
      </c>
      <c r="H6" s="117">
        <f>'Cover Sheet'!F6</f>
        <v>45791</v>
      </c>
      <c r="I6" s="117" t="s">
        <v>4</v>
      </c>
      <c r="J6" s="117">
        <f>'Cover Sheet'!$H$6</f>
        <v>45824</v>
      </c>
      <c r="K6" s="117" t="s">
        <v>15</v>
      </c>
      <c r="L6" s="164" t="str">
        <f>'Cover Sheet'!$J$6</f>
        <v>33 days</v>
      </c>
      <c r="M6" s="165"/>
      <c r="N6" s="101"/>
      <c r="O6" s="101"/>
    </row>
    <row r="7" spans="1:15" s="106" customFormat="1" ht="13">
      <c r="A7" s="107"/>
      <c r="B7" s="101"/>
      <c r="C7" s="101"/>
      <c r="D7" s="166"/>
      <c r="E7" s="1008" t="str">
        <f>'Cover Sheet'!D7</f>
        <v>Collection Period</v>
      </c>
      <c r="F7" s="1009"/>
      <c r="G7" s="132" t="s">
        <v>34</v>
      </c>
      <c r="H7" s="132" t="str">
        <f>'Cover Sheet'!F7</f>
        <v>01.05.2025</v>
      </c>
      <c r="I7" s="132" t="s">
        <v>4</v>
      </c>
      <c r="J7" s="132">
        <f>'Cover Sheet'!H7</f>
        <v>45808</v>
      </c>
      <c r="K7" s="167"/>
      <c r="L7" s="168"/>
      <c r="M7" s="113"/>
      <c r="N7" s="101"/>
      <c r="O7" s="101"/>
    </row>
    <row r="8" spans="1:15" s="106" customFormat="1" ht="13">
      <c r="A8" s="107"/>
      <c r="B8" s="101"/>
      <c r="C8" s="101"/>
      <c r="D8" s="21"/>
      <c r="E8" s="137"/>
      <c r="F8" s="136"/>
      <c r="G8" s="137"/>
      <c r="H8" s="101"/>
      <c r="I8" s="169"/>
      <c r="J8" s="101"/>
      <c r="K8" s="138"/>
      <c r="L8" s="101"/>
      <c r="M8" s="113"/>
      <c r="N8" s="101"/>
      <c r="O8" s="101"/>
    </row>
    <row r="9" spans="1:15" s="106" customFormat="1" ht="13">
      <c r="A9" s="107"/>
      <c r="B9" s="101"/>
      <c r="C9" s="101"/>
      <c r="D9" s="21"/>
      <c r="E9" s="101"/>
      <c r="F9" s="101"/>
      <c r="G9" s="101"/>
      <c r="H9" s="101"/>
      <c r="I9" s="101"/>
      <c r="J9" s="101"/>
      <c r="K9" s="101"/>
      <c r="L9" s="101"/>
      <c r="M9" s="170"/>
      <c r="N9" s="101"/>
      <c r="O9" s="101"/>
    </row>
    <row r="10" spans="1:15" s="106" customFormat="1">
      <c r="A10" s="107"/>
      <c r="B10" s="101"/>
      <c r="C10" s="101"/>
      <c r="D10" s="21"/>
      <c r="E10" s="101"/>
      <c r="F10" s="147"/>
      <c r="G10" s="101"/>
      <c r="H10" s="101"/>
      <c r="I10" s="21"/>
      <c r="J10" s="21"/>
      <c r="K10" s="101"/>
      <c r="L10" s="101"/>
      <c r="M10" s="113"/>
      <c r="N10" s="101"/>
      <c r="O10" s="101"/>
    </row>
    <row r="11" spans="1:15" s="106" customFormat="1" ht="12.75" customHeight="1">
      <c r="A11" s="107"/>
      <c r="B11" s="171"/>
      <c r="C11" s="101"/>
      <c r="D11" s="10"/>
      <c r="E11" s="10"/>
      <c r="F11" s="10"/>
      <c r="G11" s="10"/>
      <c r="H11" s="10"/>
      <c r="I11" s="10"/>
      <c r="J11" s="10"/>
      <c r="K11" s="10"/>
      <c r="L11" s="10"/>
      <c r="M11" s="172"/>
      <c r="N11" s="101"/>
      <c r="O11" s="101"/>
    </row>
    <row r="12" spans="1:15" s="106" customFormat="1" ht="12.75" customHeight="1">
      <c r="A12" s="107"/>
      <c r="B12" s="171"/>
      <c r="C12" s="101"/>
      <c r="D12" s="10"/>
      <c r="E12" s="10"/>
      <c r="F12" s="10"/>
      <c r="G12" s="10"/>
      <c r="H12" s="10"/>
      <c r="I12" s="10"/>
      <c r="J12" s="10"/>
      <c r="K12" s="10"/>
      <c r="L12" s="10"/>
      <c r="M12" s="172"/>
      <c r="N12" s="101"/>
      <c r="O12" s="101"/>
    </row>
    <row r="13" spans="1:15" s="106" customFormat="1" ht="18">
      <c r="A13" s="107"/>
      <c r="B13" s="212"/>
      <c r="C13" s="21"/>
      <c r="D13" s="213"/>
      <c r="E13" s="213"/>
      <c r="F13" s="173"/>
      <c r="G13" s="173"/>
      <c r="H13" s="173"/>
      <c r="I13" s="173"/>
      <c r="J13" s="174"/>
      <c r="K13" s="174"/>
      <c r="L13" s="175"/>
      <c r="M13" s="176"/>
      <c r="O13" s="177"/>
    </row>
    <row r="14" spans="1:15" s="106" customFormat="1" ht="18">
      <c r="A14" s="107"/>
      <c r="B14" s="931" t="s">
        <v>545</v>
      </c>
      <c r="C14"/>
      <c r="D14" s="215"/>
      <c r="E14" s="216"/>
      <c r="F14" s="217"/>
      <c r="G14" s="217"/>
      <c r="H14" s="217"/>
      <c r="I14" s="217"/>
      <c r="J14" s="217"/>
      <c r="K14" s="218"/>
      <c r="L14" s="174"/>
      <c r="M14" s="176"/>
      <c r="O14" s="177"/>
    </row>
    <row r="15" spans="1:15" ht="14.5">
      <c r="A15" s="182"/>
      <c r="B15" s="932" t="s">
        <v>546</v>
      </c>
      <c r="C15" s="933" t="s">
        <v>547</v>
      </c>
      <c r="D15" s="219"/>
      <c r="E15" s="219"/>
      <c r="F15" s="219"/>
      <c r="G15" s="219"/>
      <c r="H15" s="219"/>
      <c r="I15" s="219"/>
      <c r="J15" s="217"/>
      <c r="K15" s="220"/>
      <c r="L15" s="220"/>
      <c r="M15" s="176"/>
      <c r="O15" s="177"/>
    </row>
    <row r="16" spans="1:15">
      <c r="A16" s="182"/>
      <c r="B16" s="45"/>
      <c r="C16" s="194"/>
      <c r="D16" s="219"/>
      <c r="E16" s="219"/>
      <c r="F16" s="219"/>
      <c r="G16" s="219"/>
      <c r="H16" s="219"/>
      <c r="I16" s="219"/>
      <c r="J16" s="219"/>
      <c r="K16" s="220"/>
      <c r="L16" s="220"/>
      <c r="M16" s="176"/>
      <c r="O16" s="177"/>
    </row>
    <row r="17" spans="1:15">
      <c r="A17" s="182"/>
      <c r="C17" s="221"/>
      <c r="D17" s="222"/>
      <c r="F17" s="219"/>
      <c r="G17" s="219"/>
      <c r="H17" s="219"/>
      <c r="I17" s="219"/>
      <c r="J17" s="219"/>
      <c r="K17" s="220"/>
      <c r="L17" s="220"/>
      <c r="M17" s="176"/>
      <c r="O17" s="177"/>
    </row>
    <row r="18" spans="1:15">
      <c r="A18" s="182"/>
      <c r="B18" s="45"/>
      <c r="C18" s="194"/>
      <c r="D18" s="219"/>
      <c r="E18" s="219"/>
      <c r="G18" s="219"/>
      <c r="H18" s="219"/>
      <c r="I18" s="219"/>
      <c r="J18" s="219"/>
      <c r="K18" s="220"/>
      <c r="L18" s="220"/>
      <c r="M18" s="176"/>
      <c r="O18" s="177"/>
    </row>
    <row r="19" spans="1:15">
      <c r="A19" s="182"/>
      <c r="C19" s="194"/>
      <c r="D19" s="222"/>
      <c r="E19" s="219"/>
      <c r="F19" s="219"/>
      <c r="G19" s="219"/>
      <c r="H19" s="219"/>
      <c r="I19" s="219"/>
      <c r="J19" s="219"/>
      <c r="K19" s="220"/>
      <c r="L19" s="220"/>
      <c r="M19" s="176"/>
      <c r="O19" s="177"/>
    </row>
    <row r="20" spans="1:15" ht="12.75" customHeight="1">
      <c r="A20" s="182"/>
      <c r="B20" s="45"/>
      <c r="C20" s="194"/>
      <c r="D20" s="219"/>
      <c r="F20" s="219"/>
      <c r="G20" s="223"/>
      <c r="H20" s="223"/>
      <c r="I20" s="223"/>
      <c r="J20" s="219"/>
      <c r="K20" s="220"/>
      <c r="L20" s="220"/>
      <c r="M20" s="176"/>
      <c r="O20" s="177"/>
    </row>
    <row r="21" spans="1:15">
      <c r="A21" s="182"/>
      <c r="D21" s="219"/>
      <c r="E21" s="219"/>
      <c r="F21" s="219"/>
      <c r="G21" s="21"/>
      <c r="H21" s="21"/>
      <c r="I21" s="21"/>
      <c r="J21" s="21"/>
      <c r="K21" s="21"/>
      <c r="L21" s="21"/>
      <c r="M21" s="176"/>
    </row>
    <row r="22" spans="1:15">
      <c r="A22" s="182"/>
      <c r="D22" s="219"/>
      <c r="E22" s="219"/>
      <c r="F22" s="219"/>
      <c r="G22" s="219"/>
      <c r="H22" s="219"/>
      <c r="I22" s="219"/>
      <c r="J22" s="224"/>
      <c r="K22" s="220"/>
      <c r="L22" s="220"/>
      <c r="M22" s="176"/>
      <c r="O22" s="177"/>
    </row>
    <row r="23" spans="1:15">
      <c r="A23" s="182"/>
      <c r="B23" s="45"/>
      <c r="C23" s="194"/>
      <c r="D23" s="219"/>
      <c r="E23" s="219"/>
      <c r="F23" s="219"/>
      <c r="G23" s="219"/>
      <c r="H23" s="219"/>
      <c r="I23" s="219"/>
      <c r="J23" s="219"/>
      <c r="K23" s="220"/>
      <c r="L23" s="225"/>
      <c r="M23" s="176"/>
      <c r="O23" s="177"/>
    </row>
    <row r="24" spans="1:15" ht="13">
      <c r="A24" s="182"/>
      <c r="B24" s="14"/>
      <c r="C24" s="226"/>
      <c r="D24" s="227"/>
      <c r="E24" s="101"/>
      <c r="F24" s="101"/>
      <c r="G24" s="101"/>
      <c r="H24" s="101"/>
      <c r="I24" s="101"/>
      <c r="J24" s="219"/>
      <c r="K24" s="228"/>
      <c r="L24" s="21"/>
      <c r="M24" s="176"/>
      <c r="O24" s="177"/>
    </row>
    <row r="25" spans="1:15" ht="18" customHeight="1">
      <c r="A25" s="182"/>
      <c r="B25" s="212" t="s">
        <v>110</v>
      </c>
      <c r="C25" s="214"/>
      <c r="D25" s="1016" t="s">
        <v>257</v>
      </c>
      <c r="E25" s="1017"/>
      <c r="F25" s="1018"/>
      <c r="G25" s="1021" t="s">
        <v>258</v>
      </c>
      <c r="H25" s="1022"/>
      <c r="I25" s="1023"/>
      <c r="J25" s="1003"/>
      <c r="K25" s="1003"/>
      <c r="L25" s="1003"/>
      <c r="M25" s="176"/>
      <c r="O25" s="177"/>
    </row>
    <row r="26" spans="1:15" s="106" customFormat="1" ht="36" customHeight="1">
      <c r="A26" s="107"/>
      <c r="B26" s="16"/>
      <c r="C26" s="10"/>
      <c r="D26" s="2" t="s">
        <v>111</v>
      </c>
      <c r="E26" s="2" t="s">
        <v>112</v>
      </c>
      <c r="F26" s="2" t="s">
        <v>113</v>
      </c>
      <c r="G26" s="2" t="s">
        <v>111</v>
      </c>
      <c r="H26" s="2" t="s">
        <v>112</v>
      </c>
      <c r="I26" s="2" t="s">
        <v>113</v>
      </c>
      <c r="J26" s="229"/>
      <c r="K26" s="229"/>
      <c r="L26" s="229"/>
      <c r="M26" s="172"/>
      <c r="N26" s="101"/>
      <c r="O26" s="101"/>
    </row>
    <row r="27" spans="1:15" s="106" customFormat="1" ht="15" customHeight="1">
      <c r="A27" s="107"/>
      <c r="B27" s="1004"/>
      <c r="C27" s="1005"/>
      <c r="D27" s="17"/>
      <c r="E27" s="17"/>
      <c r="F27" s="17"/>
      <c r="G27" s="17"/>
      <c r="H27" s="17"/>
      <c r="I27" s="17"/>
      <c r="J27" s="21"/>
      <c r="K27" s="21"/>
      <c r="L27" s="21"/>
      <c r="M27" s="172"/>
      <c r="N27" s="101"/>
      <c r="O27" s="101"/>
    </row>
    <row r="28" spans="1:15" ht="13">
      <c r="A28" s="182"/>
      <c r="B28" s="1019" t="s">
        <v>108</v>
      </c>
      <c r="C28" s="1020"/>
      <c r="D28" s="1" t="str">
        <f>IF(VLOOKUP(B28,rating_c20,7,FALSE)="-",VLOOKUP(B28,rating_c20,8,FALSE),VLOOKUP(B28,rating_c20,7,FALSE))</f>
        <v>A</v>
      </c>
      <c r="E28" s="1" t="str">
        <f>IF(VLOOKUP(B28,rating_c20,9,FALSE)="-",VLOOKUP(B28,rating_c20,10,FALSE),VLOOKUP(B28,rating_c20,9,FALSE))</f>
        <v>F1</v>
      </c>
      <c r="F28" s="1" t="str">
        <f>VLOOKUP($B$28,rating_c20,11,FALSE)</f>
        <v>STABLE</v>
      </c>
      <c r="G28" s="1" t="str">
        <f>IF(VLOOKUP(B28,rating_c20,2,FALSE)="-",VLOOKUP(B28,rating_c20,3,FALSE),VLOOKUP(B28,rating_c20,2,FALSE))</f>
        <v>A3(cr)</v>
      </c>
      <c r="H28" s="1" t="str">
        <f>IF(VLOOKUP(B28,rating_c20,4,FALSE)="-",VLOOKUP(B28,rating_c20,5,FALSE),VLOOKUP(B28,rating_c20,4,FALSE))</f>
        <v>P-2(cr)</v>
      </c>
      <c r="I28" s="1" t="str">
        <f>VLOOKUP($B$28,rating_c20,6,FALSE)</f>
        <v>POS</v>
      </c>
      <c r="J28" s="230"/>
      <c r="K28" s="230"/>
      <c r="L28" s="230"/>
      <c r="M28" s="172"/>
      <c r="N28" s="21"/>
      <c r="O28" s="21"/>
    </row>
    <row r="29" spans="1:15" s="21" customFormat="1" ht="12.75" customHeight="1">
      <c r="A29" s="182"/>
      <c r="B29" s="18"/>
      <c r="C29" s="19"/>
      <c r="D29" s="20"/>
      <c r="E29" s="20"/>
      <c r="F29" s="20"/>
      <c r="G29" s="20"/>
      <c r="H29" s="20"/>
      <c r="I29" s="20"/>
      <c r="M29" s="176"/>
    </row>
    <row r="30" spans="1:15" s="21" customFormat="1" ht="13">
      <c r="A30" s="182"/>
      <c r="B30" s="1014" t="s">
        <v>114</v>
      </c>
      <c r="C30" s="1015"/>
      <c r="D30" s="1" t="str">
        <f>IF(VLOOKUP(B30,rating_c20,7,FALSE)="-",VLOOKUP(B30,rating_c20,8,FALSE),VLOOKUP(B30,rating_c20,7,FALSE))</f>
        <v>A+</v>
      </c>
      <c r="E30" s="1" t="str">
        <f>IF(VLOOKUP(B30,rating_c20,9,FALSE)="-",VLOOKUP(B30,rating_c20,10,FALSE),VLOOKUP(B30,rating_c20,9,FALSE))</f>
        <v>F1</v>
      </c>
      <c r="F30" s="1" t="str">
        <f>VLOOKUP($B$30,rating_c20,11,FALSE)</f>
        <v>STABLE</v>
      </c>
      <c r="G30" s="1" t="str">
        <f>IF(VLOOKUP(B30,rating_c20,2,FALSE)="-",VLOOKUP(B30,rating_c20,3,FALSE),VLOOKUP(B30,rating_c20,2,FALSE))</f>
        <v>A3(cr)</v>
      </c>
      <c r="H30" s="1" t="str">
        <f>IF(VLOOKUP(B30,rating_c20,4,FALSE)="-",VLOOKUP(B30,rating_c20,5,FALSE),VLOOKUP(B30,rating_c20,4,FALSE))</f>
        <v>P-2(cr)</v>
      </c>
      <c r="I30" s="1" t="str">
        <f>VLOOKUP($B$30,rating_c20,6,FALSE)</f>
        <v>POS</v>
      </c>
      <c r="J30" s="230"/>
      <c r="K30" s="230"/>
      <c r="L30" s="230"/>
      <c r="M30" s="176"/>
    </row>
    <row r="31" spans="1:15" s="21" customFormat="1" ht="13">
      <c r="A31" s="182"/>
      <c r="B31" s="231"/>
      <c r="C31" s="231"/>
      <c r="D31" s="1"/>
      <c r="E31" s="1"/>
      <c r="F31" s="1"/>
      <c r="G31" s="1"/>
      <c r="H31" s="1"/>
      <c r="I31" s="1"/>
      <c r="J31" s="230"/>
      <c r="K31" s="230"/>
      <c r="L31" s="230"/>
      <c r="M31" s="176"/>
    </row>
    <row r="32" spans="1:15" s="21" customFormat="1" ht="13">
      <c r="A32" s="182"/>
      <c r="B32" s="1014" t="s">
        <v>209</v>
      </c>
      <c r="C32" s="1015"/>
      <c r="D32" s="1" t="str">
        <f>IF(VLOOKUP(B32,rating_c20,7,FALSE)="-",VLOOKUP(B32,rating_c20,8,FALSE),VLOOKUP(B32,rating_c20,7,FALSE))</f>
        <v>A</v>
      </c>
      <c r="E32" s="1" t="str">
        <f>IF(VLOOKUP(B32,rating_c20,9,FALSE)="-",VLOOKUP(B32,rating_c20,10,FALSE),VLOOKUP(B32,rating_c20,9,FALSE))</f>
        <v>F1</v>
      </c>
      <c r="F32" s="1" t="str">
        <f>VLOOKUP($B$32,rating_c20,11,FALSE)</f>
        <v>STABLE</v>
      </c>
      <c r="G32" s="1" t="str">
        <f>IF(VLOOKUP(B32,rating_c20,2,FALSE)="-",VLOOKUP(B32,rating_c20,3,FALSE),VLOOKUP(B32,rating_c20,2,FALSE))</f>
        <v>A1(cr)</v>
      </c>
      <c r="H32" s="1" t="str">
        <f>IF(VLOOKUP(B32,rating_c20,4,FALSE)="-",VLOOKUP(B32,rating_c20,5,FALSE),VLOOKUP(B32,rating_c20,4,FALSE))</f>
        <v>P-1(cr)</v>
      </c>
      <c r="I32" s="1" t="str">
        <f>VLOOKUP($B$32,rating_c20,6,FALSE)</f>
        <v>STABLE</v>
      </c>
      <c r="J32" s="230"/>
      <c r="K32" s="230"/>
      <c r="L32" s="230"/>
      <c r="M32" s="176"/>
    </row>
    <row r="33" spans="1:13" s="21" customFormat="1" ht="15.5">
      <c r="A33" s="182"/>
      <c r="B33" s="232"/>
      <c r="D33" s="22"/>
      <c r="E33" s="22"/>
      <c r="F33" s="22"/>
      <c r="G33" s="22"/>
      <c r="H33" s="22"/>
      <c r="I33" s="22"/>
      <c r="J33" s="10"/>
      <c r="K33" s="10"/>
      <c r="L33" s="10"/>
      <c r="M33" s="176"/>
    </row>
    <row r="34" spans="1:13" s="21" customFormat="1" ht="15.5">
      <c r="A34" s="182"/>
      <c r="B34" s="15"/>
      <c r="D34" s="10"/>
      <c r="E34" s="10"/>
      <c r="F34" s="10"/>
      <c r="G34" s="10"/>
      <c r="H34" s="10"/>
      <c r="I34" s="10"/>
      <c r="J34" s="10"/>
      <c r="K34" s="10"/>
      <c r="L34" s="10"/>
      <c r="M34" s="176"/>
    </row>
    <row r="35" spans="1:13" s="21" customFormat="1" ht="15.5">
      <c r="A35" s="182"/>
      <c r="C35" s="13"/>
      <c r="D35" s="10"/>
      <c r="E35" s="10"/>
      <c r="F35" s="10"/>
      <c r="G35" s="10"/>
      <c r="H35" s="10"/>
      <c r="I35" s="10"/>
      <c r="J35" s="10"/>
      <c r="K35" s="10"/>
      <c r="L35" s="10"/>
      <c r="M35" s="176"/>
    </row>
    <row r="36" spans="1:13" s="21" customFormat="1" ht="15.5">
      <c r="A36" s="196"/>
      <c r="B36" s="943" t="str">
        <f>'23. Swap Counterparty Data'!B41</f>
        <v>Ratings as of 31.05.2025, data source: Bloomberg</v>
      </c>
      <c r="C36" s="11"/>
      <c r="D36" s="12"/>
      <c r="E36" s="12"/>
      <c r="F36" s="12"/>
      <c r="G36" s="12"/>
      <c r="H36" s="12"/>
      <c r="I36" s="12"/>
      <c r="J36" s="12"/>
      <c r="K36" s="12"/>
      <c r="L36" s="12"/>
      <c r="M36" s="197"/>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8"/>
      <c r="E40" s="13"/>
      <c r="F40" s="199"/>
      <c r="G40" s="200"/>
      <c r="H40" s="199"/>
      <c r="I40" s="175"/>
    </row>
    <row r="41" spans="1:13" s="21" customFormat="1">
      <c r="B41" s="14"/>
      <c r="C41" s="13"/>
      <c r="D41" s="198"/>
      <c r="E41" s="13"/>
      <c r="F41" s="199"/>
      <c r="G41" s="200"/>
      <c r="H41" s="199"/>
      <c r="I41" s="175"/>
    </row>
    <row r="42" spans="1:13" s="21" customFormat="1">
      <c r="B42" s="14"/>
      <c r="C42" s="13"/>
      <c r="D42" s="198"/>
      <c r="E42" s="13"/>
      <c r="F42" s="199"/>
      <c r="G42" s="200"/>
      <c r="H42" s="199"/>
      <c r="I42" s="175"/>
    </row>
    <row r="43" spans="1:13" s="21" customFormat="1">
      <c r="B43" s="14"/>
      <c r="C43" s="13"/>
      <c r="D43" s="198"/>
      <c r="E43" s="13"/>
      <c r="F43" s="199"/>
      <c r="G43" s="200"/>
      <c r="H43" s="199"/>
      <c r="I43" s="175"/>
    </row>
    <row r="44" spans="1:13" s="21" customFormat="1">
      <c r="B44" s="14"/>
      <c r="C44" s="13"/>
      <c r="D44" s="198"/>
      <c r="E44" s="13"/>
      <c r="F44" s="199"/>
      <c r="G44" s="200"/>
      <c r="H44" s="199"/>
      <c r="I44" s="175"/>
    </row>
    <row r="45" spans="1:13" s="21" customFormat="1">
      <c r="B45" s="14"/>
      <c r="C45" s="13"/>
      <c r="D45" s="198"/>
      <c r="E45" s="13"/>
      <c r="F45" s="199"/>
      <c r="G45" s="200"/>
      <c r="H45" s="199"/>
      <c r="I45" s="175"/>
    </row>
    <row r="46" spans="1:13" s="21" customFormat="1">
      <c r="B46" s="14"/>
      <c r="C46" s="13"/>
      <c r="D46" s="198"/>
      <c r="E46" s="13"/>
      <c r="F46" s="199"/>
      <c r="G46" s="200"/>
      <c r="H46" s="199"/>
      <c r="I46" s="175"/>
    </row>
    <row r="47" spans="1:13" s="21" customFormat="1">
      <c r="B47" s="14"/>
      <c r="C47" s="13"/>
      <c r="D47" s="198"/>
      <c r="E47" s="13"/>
      <c r="F47" s="199"/>
      <c r="G47" s="200"/>
      <c r="H47" s="199"/>
      <c r="I47" s="175"/>
    </row>
    <row r="48" spans="1:13"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ht="15.5">
      <c r="B55" s="15"/>
      <c r="C55" s="13"/>
      <c r="D55" s="198"/>
      <c r="E55" s="13"/>
      <c r="F55" s="199"/>
      <c r="G55" s="200"/>
      <c r="H55" s="199"/>
      <c r="I55" s="175"/>
    </row>
    <row r="56" spans="2:9" s="21" customFormat="1" ht="15.5">
      <c r="B56" s="15"/>
      <c r="C56" s="13"/>
      <c r="D56" s="201"/>
      <c r="E56" s="202"/>
      <c r="F56" s="233"/>
      <c r="G56" s="204"/>
      <c r="H56" s="233"/>
      <c r="I56" s="175"/>
    </row>
    <row r="57" spans="2:9" s="21" customFormat="1" ht="15.5">
      <c r="B57" s="15"/>
      <c r="C57" s="13"/>
      <c r="D57" s="201"/>
      <c r="E57" s="201"/>
      <c r="F57" s="201"/>
      <c r="G57" s="201"/>
      <c r="H57" s="201"/>
      <c r="I57" s="175"/>
    </row>
    <row r="58" spans="2:9" s="21" customFormat="1" ht="15.5">
      <c r="B58" s="15"/>
      <c r="C58" s="13"/>
      <c r="D58" s="201"/>
      <c r="E58" s="201"/>
      <c r="F58" s="201"/>
      <c r="G58" s="201"/>
      <c r="H58" s="201"/>
      <c r="I58" s="175"/>
    </row>
    <row r="59" spans="2:9" s="21" customFormat="1" ht="15.5">
      <c r="B59" s="15"/>
      <c r="C59" s="13"/>
      <c r="D59" s="205"/>
      <c r="E59" s="234"/>
      <c r="F59" s="201"/>
      <c r="G59" s="201"/>
      <c r="H59" s="201"/>
      <c r="I59" s="175"/>
    </row>
    <row r="60" spans="2:9" s="21" customFormat="1">
      <c r="B60" s="14"/>
      <c r="C60" s="13"/>
      <c r="D60" s="202"/>
      <c r="E60" s="234"/>
      <c r="F60" s="201"/>
      <c r="G60" s="201"/>
      <c r="H60" s="201"/>
      <c r="I60" s="175"/>
    </row>
    <row r="61" spans="2:9" s="21" customFormat="1">
      <c r="B61" s="14"/>
      <c r="C61" s="13"/>
      <c r="D61" s="201"/>
      <c r="E61" s="234"/>
      <c r="F61" s="201"/>
      <c r="G61" s="201"/>
      <c r="H61" s="201"/>
      <c r="I61" s="175"/>
    </row>
    <row r="62" spans="2:9" s="21" customFormat="1" ht="14">
      <c r="B62" s="201"/>
      <c r="C62" s="202"/>
      <c r="D62" s="207"/>
      <c r="E62" s="207"/>
      <c r="F62" s="207"/>
      <c r="G62" s="207"/>
      <c r="H62" s="207"/>
      <c r="I62" s="175"/>
    </row>
    <row r="63" spans="2:9" s="21" customFormat="1" ht="14">
      <c r="B63" s="101"/>
      <c r="C63" s="101"/>
      <c r="D63" s="207"/>
      <c r="E63" s="207"/>
      <c r="F63" s="207"/>
      <c r="G63" s="207"/>
      <c r="H63" s="207"/>
      <c r="I63" s="175"/>
    </row>
    <row r="64" spans="2:9" s="21" customFormat="1" ht="14">
      <c r="B64" s="101"/>
      <c r="C64" s="101"/>
      <c r="D64" s="208"/>
      <c r="E64" s="235"/>
      <c r="F64" s="207"/>
      <c r="G64" s="207"/>
      <c r="H64" s="207"/>
      <c r="I64" s="175"/>
    </row>
    <row r="65" spans="2:9" s="21" customFormat="1" ht="14">
      <c r="B65" s="205"/>
      <c r="C65" s="234"/>
      <c r="D65" s="210"/>
      <c r="E65" s="235"/>
      <c r="F65" s="207"/>
      <c r="G65" s="207"/>
      <c r="H65" s="207"/>
      <c r="I65" s="175"/>
    </row>
    <row r="66" spans="2:9" s="21" customFormat="1" ht="14">
      <c r="B66" s="211"/>
      <c r="C66" s="234"/>
      <c r="D66" s="207"/>
      <c r="E66" s="235"/>
      <c r="F66" s="207"/>
      <c r="G66" s="207"/>
      <c r="H66" s="207"/>
      <c r="I66" s="175"/>
    </row>
    <row r="67" spans="2:9" s="21" customFormat="1">
      <c r="C67" s="234"/>
      <c r="I67" s="175"/>
    </row>
    <row r="68" spans="2:9" s="21" customFormat="1">
      <c r="I68" s="175"/>
    </row>
    <row r="69" spans="2:9" s="21" customFormat="1">
      <c r="I69" s="175"/>
    </row>
    <row r="70" spans="2:9" s="21" customFormat="1">
      <c r="I70" s="175"/>
    </row>
    <row r="71" spans="2:9" s="21" customFormat="1">
      <c r="I71" s="175"/>
    </row>
    <row r="72" spans="2:9" s="21" customFormat="1">
      <c r="I72" s="175"/>
    </row>
    <row r="73" spans="2:9" s="21" customFormat="1">
      <c r="I73" s="175"/>
    </row>
    <row r="74" spans="2:9" s="21" customFormat="1">
      <c r="I74" s="175"/>
    </row>
    <row r="75" spans="2:9" s="21" customFormat="1">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40.54296875" style="146" customWidth="1"/>
    <col min="3" max="3" width="8.81640625" style="146" customWidth="1"/>
    <col min="4" max="4" width="7.1796875" style="146" customWidth="1"/>
    <col min="5" max="5" width="12.1796875" style="146" customWidth="1"/>
    <col min="6" max="6" width="10.1796875" style="146" customWidth="1"/>
    <col min="7" max="7" width="10.81640625" style="146" customWidth="1"/>
    <col min="8" max="8" width="14.81640625" style="146" customWidth="1"/>
    <col min="9" max="9" width="13" style="146" customWidth="1"/>
    <col min="10" max="10" width="16.1796875" style="146" customWidth="1"/>
    <col min="11" max="11" width="13" style="146" customWidth="1"/>
    <col min="12" max="12" width="15.1796875" style="146" customWidth="1"/>
    <col min="13" max="13" width="8" style="146" customWidth="1"/>
    <col min="14" max="14" width="22.81640625" style="146" customWidth="1"/>
    <col min="15" max="16384" width="9.1796875" style="146"/>
  </cols>
  <sheetData>
    <row r="1" spans="1:16" ht="6" customHeight="1">
      <c r="A1" s="155"/>
      <c r="B1" s="49"/>
      <c r="C1" s="49"/>
      <c r="D1" s="49"/>
      <c r="E1" s="49"/>
      <c r="F1" s="49"/>
      <c r="G1" s="49"/>
      <c r="H1" s="49"/>
      <c r="I1" s="49"/>
      <c r="J1" s="49"/>
      <c r="K1" s="49"/>
      <c r="L1" s="49"/>
      <c r="M1" s="49"/>
      <c r="N1" s="156"/>
      <c r="O1" s="21"/>
      <c r="P1" s="21"/>
    </row>
    <row r="2" spans="1:16" s="106" customFormat="1" ht="18">
      <c r="A2" s="107"/>
      <c r="B2" s="108" t="str">
        <f>'Cover Sheet'!B2</f>
        <v>SC Germany Consumer 2020-1</v>
      </c>
      <c r="C2" s="108"/>
      <c r="D2" s="101"/>
      <c r="E2" s="1024" t="str">
        <f>'Cover Sheet'!D2</f>
        <v>Calculation Date</v>
      </c>
      <c r="F2" s="1011"/>
      <c r="G2" s="110"/>
      <c r="H2" s="111">
        <f>'Cover Sheet'!F2</f>
        <v>45820</v>
      </c>
      <c r="I2" s="157"/>
      <c r="J2" s="110"/>
      <c r="K2" s="110"/>
      <c r="L2" s="112"/>
      <c r="M2" s="10"/>
      <c r="N2" s="113"/>
      <c r="O2" s="101"/>
      <c r="P2" s="101"/>
    </row>
    <row r="3" spans="1:16" s="106" customFormat="1" ht="18">
      <c r="A3" s="107"/>
      <c r="B3" s="108" t="str">
        <f>'Cover Sheet'!B3</f>
        <v>Monthly Investor Report</v>
      </c>
      <c r="C3" s="108"/>
      <c r="D3" s="101"/>
      <c r="E3" s="1025" t="str">
        <f>'Cover Sheet'!D3</f>
        <v>Payment Date</v>
      </c>
      <c r="F3" s="1026"/>
      <c r="G3" s="117"/>
      <c r="H3" s="117">
        <f>'Cover Sheet'!F3</f>
        <v>45824</v>
      </c>
      <c r="I3" s="158"/>
      <c r="J3" s="116"/>
      <c r="K3" s="116"/>
      <c r="L3" s="118"/>
      <c r="M3" s="10"/>
      <c r="N3" s="113"/>
      <c r="O3" s="101"/>
      <c r="P3" s="101"/>
    </row>
    <row r="4" spans="1:16" s="106" customFormat="1" ht="15.5">
      <c r="A4" s="107"/>
      <c r="B4" s="159"/>
      <c r="C4" s="160"/>
      <c r="D4" s="101"/>
      <c r="E4" s="1025" t="str">
        <f>'Cover Sheet'!D4</f>
        <v>Period  No</v>
      </c>
      <c r="F4" s="1026"/>
      <c r="G4" s="120"/>
      <c r="H4" s="120">
        <f>'Cover Sheet'!F4</f>
        <v>55</v>
      </c>
      <c r="I4" s="161"/>
      <c r="J4" s="121"/>
      <c r="K4" s="116"/>
      <c r="L4" s="122"/>
      <c r="M4" s="10"/>
      <c r="N4" s="113"/>
      <c r="O4" s="101"/>
      <c r="P4" s="101"/>
    </row>
    <row r="5" spans="1:16" s="106" customFormat="1" ht="18">
      <c r="A5" s="107"/>
      <c r="B5" s="162" t="s">
        <v>456</v>
      </c>
      <c r="C5" s="123"/>
      <c r="D5" s="101"/>
      <c r="E5" s="1025" t="str">
        <f>'Cover Sheet'!D5</f>
        <v>Monthly Period</v>
      </c>
      <c r="F5" s="1026"/>
      <c r="G5" s="163"/>
      <c r="H5" s="124">
        <f>'Cover Sheet'!F5</f>
        <v>45824</v>
      </c>
      <c r="I5" s="116"/>
      <c r="J5" s="121"/>
      <c r="K5" s="116"/>
      <c r="L5" s="122"/>
      <c r="M5" s="10"/>
      <c r="N5" s="113"/>
      <c r="O5" s="101"/>
      <c r="P5" s="101"/>
    </row>
    <row r="6" spans="1:16" s="106" customFormat="1" ht="15" customHeight="1">
      <c r="A6" s="107"/>
      <c r="B6" s="125"/>
      <c r="C6" s="114"/>
      <c r="D6" s="101"/>
      <c r="E6" s="1006" t="str">
        <f>'Cover Sheet'!D6</f>
        <v>Interest Period</v>
      </c>
      <c r="F6" s="1007"/>
      <c r="G6" s="117" t="s">
        <v>34</v>
      </c>
      <c r="H6" s="117">
        <f>'Cover Sheet'!F6</f>
        <v>45791</v>
      </c>
      <c r="I6" s="117" t="s">
        <v>4</v>
      </c>
      <c r="J6" s="117">
        <f>'Cover Sheet'!$H$6</f>
        <v>45824</v>
      </c>
      <c r="K6" s="117" t="s">
        <v>15</v>
      </c>
      <c r="L6" s="164" t="str">
        <f>'Cover Sheet'!$J$6</f>
        <v>33 days</v>
      </c>
      <c r="M6" s="10"/>
      <c r="N6" s="165"/>
      <c r="O6" s="101"/>
      <c r="P6" s="101"/>
    </row>
    <row r="7" spans="1:16" s="106" customFormat="1" ht="15.5">
      <c r="A7" s="107"/>
      <c r="B7" s="101"/>
      <c r="C7" s="101"/>
      <c r="D7" s="166"/>
      <c r="E7" s="1008" t="str">
        <f>'Cover Sheet'!D7</f>
        <v>Collection Period</v>
      </c>
      <c r="F7" s="1009"/>
      <c r="G7" s="132" t="s">
        <v>34</v>
      </c>
      <c r="H7" s="132" t="str">
        <f>'Cover Sheet'!F7</f>
        <v>01.05.2025</v>
      </c>
      <c r="I7" s="132" t="s">
        <v>4</v>
      </c>
      <c r="J7" s="132">
        <f>'Cover Sheet'!H7</f>
        <v>45808</v>
      </c>
      <c r="K7" s="167"/>
      <c r="L7" s="168"/>
      <c r="M7" s="10"/>
      <c r="N7" s="113"/>
      <c r="O7" s="101"/>
      <c r="P7" s="101"/>
    </row>
    <row r="8" spans="1:16" s="106" customFormat="1" ht="13">
      <c r="A8" s="107"/>
      <c r="B8" s="101"/>
      <c r="C8" s="101"/>
      <c r="D8" s="21"/>
      <c r="E8" s="137"/>
      <c r="F8" s="136"/>
      <c r="G8" s="137"/>
      <c r="H8" s="101"/>
      <c r="I8" s="169"/>
      <c r="J8" s="101"/>
      <c r="K8" s="138"/>
      <c r="L8" s="101"/>
      <c r="M8" s="101"/>
      <c r="N8" s="113"/>
      <c r="O8" s="101"/>
      <c r="P8" s="101"/>
    </row>
    <row r="9" spans="1:16" s="106" customFormat="1" ht="13">
      <c r="A9" s="107"/>
      <c r="B9" s="101"/>
      <c r="C9" s="101"/>
      <c r="D9" s="21"/>
      <c r="E9" s="101"/>
      <c r="F9" s="101"/>
      <c r="G9" s="101"/>
      <c r="H9" s="101"/>
      <c r="I9" s="101"/>
      <c r="J9" s="101"/>
      <c r="K9" s="101"/>
      <c r="L9" s="101"/>
      <c r="M9" s="101"/>
      <c r="N9" s="170"/>
      <c r="O9" s="101"/>
      <c r="P9" s="101"/>
    </row>
    <row r="10" spans="1:16" s="106" customFormat="1">
      <c r="A10" s="107"/>
      <c r="B10" s="101"/>
      <c r="C10" s="101"/>
      <c r="D10" s="21"/>
      <c r="E10" s="101"/>
      <c r="F10" s="147"/>
      <c r="G10" s="101"/>
      <c r="H10" s="101"/>
      <c r="I10" s="21"/>
      <c r="J10" s="21"/>
      <c r="K10" s="101"/>
      <c r="L10" s="101"/>
      <c r="M10" s="101"/>
      <c r="N10" s="113"/>
      <c r="O10" s="101"/>
      <c r="P10" s="101"/>
    </row>
    <row r="11" spans="1:16" s="106" customFormat="1" ht="12.75" customHeight="1">
      <c r="A11" s="107"/>
      <c r="B11" s="171"/>
      <c r="C11" s="101"/>
      <c r="D11" s="10"/>
      <c r="E11" s="10"/>
      <c r="F11" s="10"/>
      <c r="G11" s="10"/>
      <c r="H11" s="10"/>
      <c r="I11" s="10"/>
      <c r="J11" s="10"/>
      <c r="K11" s="10"/>
      <c r="L11" s="10"/>
      <c r="M11" s="10"/>
      <c r="N11" s="172"/>
      <c r="O11" s="101"/>
      <c r="P11" s="101"/>
    </row>
    <row r="12" spans="1:16" s="106" customFormat="1" ht="12.75" customHeight="1">
      <c r="A12" s="107"/>
      <c r="B12" s="171"/>
      <c r="C12" s="101"/>
      <c r="D12" s="10"/>
      <c r="E12" s="10"/>
      <c r="F12" s="10"/>
      <c r="G12" s="10"/>
      <c r="H12" s="10"/>
      <c r="I12" s="10"/>
      <c r="J12" s="10"/>
      <c r="K12" s="10"/>
      <c r="L12" s="10"/>
      <c r="M12" s="10"/>
      <c r="N12" s="172"/>
      <c r="O12" s="101"/>
      <c r="P12" s="101"/>
    </row>
    <row r="13" spans="1:16" s="106" customFormat="1" ht="12.75" customHeight="1">
      <c r="A13" s="107"/>
      <c r="B13" s="171"/>
      <c r="C13" s="171"/>
      <c r="D13" s="171"/>
      <c r="E13" s="171"/>
      <c r="F13" s="10"/>
      <c r="G13" s="10"/>
      <c r="H13" s="10"/>
      <c r="I13" s="10"/>
      <c r="J13" s="10"/>
      <c r="K13" s="10"/>
      <c r="L13" s="10"/>
      <c r="M13" s="10"/>
      <c r="N13" s="172"/>
      <c r="O13" s="101"/>
      <c r="P13" s="101"/>
    </row>
    <row r="14" spans="1:16" s="106" customFormat="1" ht="12.75" customHeight="1">
      <c r="A14" s="107"/>
      <c r="B14" s="171"/>
      <c r="C14" s="171"/>
      <c r="D14" s="171"/>
      <c r="E14" s="171"/>
      <c r="F14" s="173"/>
      <c r="G14" s="173"/>
      <c r="H14" s="173"/>
      <c r="I14" s="173"/>
      <c r="J14" s="174"/>
      <c r="K14" s="174"/>
      <c r="L14" s="175"/>
      <c r="M14" s="175"/>
      <c r="N14" s="176"/>
      <c r="P14" s="177"/>
    </row>
    <row r="15" spans="1:16" s="106" customFormat="1" ht="13.5" customHeight="1">
      <c r="A15" s="107"/>
      <c r="B15" s="24" t="s">
        <v>220</v>
      </c>
      <c r="C15" s="25"/>
      <c r="D15" s="73" t="s">
        <v>221</v>
      </c>
      <c r="E15" s="73"/>
      <c r="F15" s="78"/>
      <c r="G15" s="178"/>
      <c r="H15" s="178"/>
      <c r="I15" s="178"/>
      <c r="J15" s="178"/>
      <c r="K15" s="179"/>
      <c r="L15" s="180"/>
      <c r="M15" s="180"/>
      <c r="N15" s="181"/>
      <c r="P15" s="177"/>
    </row>
    <row r="16" spans="1:16">
      <c r="A16" s="182"/>
      <c r="B16" s="25"/>
      <c r="C16" s="25"/>
      <c r="D16" s="73" t="s">
        <v>222</v>
      </c>
      <c r="E16" s="73"/>
      <c r="F16" s="183"/>
      <c r="G16" s="79"/>
      <c r="H16" s="79"/>
      <c r="I16" s="79"/>
      <c r="J16" s="79"/>
      <c r="K16" s="184"/>
      <c r="L16" s="184"/>
      <c r="M16" s="184"/>
      <c r="N16" s="181"/>
      <c r="P16" s="177"/>
    </row>
    <row r="17" spans="1:16">
      <c r="A17" s="182"/>
      <c r="B17" s="25"/>
      <c r="C17" s="25"/>
      <c r="D17" s="73"/>
      <c r="E17" s="73"/>
      <c r="F17" s="79"/>
      <c r="G17" s="79"/>
      <c r="H17" s="79"/>
      <c r="I17" s="79"/>
      <c r="J17" s="79"/>
      <c r="K17" s="184"/>
      <c r="L17" s="184"/>
      <c r="M17" s="184"/>
      <c r="N17" s="181"/>
      <c r="P17" s="177"/>
    </row>
    <row r="18" spans="1:16" ht="13">
      <c r="A18" s="182"/>
      <c r="B18" s="24" t="s">
        <v>223</v>
      </c>
      <c r="C18" s="25"/>
      <c r="D18" s="73" t="s">
        <v>224</v>
      </c>
      <c r="E18" s="73"/>
      <c r="F18" s="79"/>
      <c r="G18" s="79"/>
      <c r="H18" s="79"/>
      <c r="I18" s="79"/>
      <c r="J18" s="79"/>
      <c r="K18" s="184"/>
      <c r="L18" s="184"/>
      <c r="M18" s="184"/>
      <c r="N18" s="181"/>
      <c r="P18" s="177"/>
    </row>
    <row r="19" spans="1:16" ht="13">
      <c r="A19" s="182"/>
      <c r="B19" s="24"/>
      <c r="C19" s="25"/>
      <c r="D19" s="73" t="s">
        <v>225</v>
      </c>
      <c r="E19" s="73"/>
      <c r="F19" s="79"/>
      <c r="G19" s="79"/>
      <c r="H19" s="79"/>
      <c r="I19" s="79"/>
      <c r="J19" s="79"/>
      <c r="K19" s="184"/>
      <c r="L19" s="184"/>
      <c r="M19" s="184"/>
      <c r="N19" s="181"/>
      <c r="P19" s="177"/>
    </row>
    <row r="20" spans="1:16" ht="13">
      <c r="A20" s="182"/>
      <c r="B20" s="24"/>
      <c r="C20" s="25"/>
      <c r="D20" s="73"/>
      <c r="E20" s="73"/>
      <c r="F20" s="79"/>
      <c r="G20" s="79"/>
      <c r="H20" s="79"/>
      <c r="I20" s="79"/>
      <c r="J20" s="79"/>
      <c r="K20" s="184"/>
      <c r="L20" s="184"/>
      <c r="M20" s="184"/>
      <c r="N20" s="181"/>
      <c r="P20" s="177"/>
    </row>
    <row r="21" spans="1:16" ht="15.75" customHeight="1">
      <c r="A21" s="182"/>
      <c r="B21" s="24" t="s">
        <v>226</v>
      </c>
      <c r="C21" s="25"/>
      <c r="D21" s="73" t="s">
        <v>227</v>
      </c>
      <c r="E21" s="73"/>
      <c r="F21" s="185"/>
      <c r="G21" s="185"/>
      <c r="H21" s="185"/>
      <c r="I21" s="185"/>
      <c r="J21" s="79"/>
      <c r="K21" s="184"/>
      <c r="L21" s="184"/>
      <c r="M21" s="184"/>
      <c r="N21" s="181"/>
      <c r="P21" s="177"/>
    </row>
    <row r="22" spans="1:16" ht="13">
      <c r="A22" s="182"/>
      <c r="B22" s="24"/>
      <c r="C22" s="25"/>
      <c r="D22" s="73"/>
      <c r="E22" s="73"/>
      <c r="F22" s="79"/>
      <c r="G22" s="79"/>
      <c r="H22" s="79"/>
      <c r="I22" s="79"/>
      <c r="J22" s="186"/>
      <c r="K22" s="184"/>
      <c r="L22" s="184"/>
      <c r="M22" s="184"/>
      <c r="N22" s="181"/>
      <c r="P22" s="177"/>
    </row>
    <row r="23" spans="1:16" ht="13">
      <c r="A23" s="182"/>
      <c r="B23" s="24" t="s">
        <v>228</v>
      </c>
      <c r="C23" s="25"/>
      <c r="D23" s="73" t="s">
        <v>953</v>
      </c>
      <c r="E23" s="73"/>
      <c r="F23" s="187"/>
      <c r="G23" s="187"/>
      <c r="H23" s="187"/>
      <c r="I23" s="187"/>
      <c r="J23" s="187"/>
      <c r="K23" s="187"/>
      <c r="L23" s="187"/>
      <c r="M23" s="187"/>
      <c r="N23" s="181"/>
      <c r="P23" s="177"/>
    </row>
    <row r="24" spans="1:16" ht="12.75" customHeight="1">
      <c r="A24" s="182"/>
      <c r="B24" s="24"/>
      <c r="C24" s="25"/>
      <c r="D24" s="73"/>
      <c r="E24" s="73"/>
      <c r="F24" s="187"/>
      <c r="G24" s="187"/>
      <c r="H24" s="187"/>
      <c r="I24" s="187"/>
      <c r="J24" s="187"/>
      <c r="K24" s="187"/>
      <c r="L24" s="187"/>
      <c r="M24" s="187"/>
      <c r="N24" s="181"/>
      <c r="P24" s="177"/>
    </row>
    <row r="25" spans="1:16" s="106" customFormat="1" ht="12.75" customHeight="1">
      <c r="A25" s="107"/>
      <c r="B25" s="24" t="s">
        <v>229</v>
      </c>
      <c r="C25" s="25"/>
      <c r="D25" s="73" t="s">
        <v>230</v>
      </c>
      <c r="E25" s="73"/>
      <c r="F25" s="187"/>
      <c r="G25" s="187"/>
      <c r="H25" s="187"/>
      <c r="I25" s="187"/>
      <c r="J25" s="187"/>
      <c r="K25" s="187"/>
      <c r="L25" s="187"/>
      <c r="M25" s="187"/>
      <c r="N25" s="188"/>
      <c r="O25" s="101"/>
      <c r="P25" s="101"/>
    </row>
    <row r="26" spans="1:16" s="106" customFormat="1" ht="12.75" customHeight="1">
      <c r="A26" s="107"/>
      <c r="B26" s="24"/>
      <c r="C26" s="25"/>
      <c r="D26" s="73"/>
      <c r="E26" s="73"/>
      <c r="F26" s="187"/>
      <c r="G26" s="187"/>
      <c r="H26" s="187"/>
      <c r="I26" s="187"/>
      <c r="J26" s="187"/>
      <c r="K26" s="187"/>
      <c r="L26" s="187"/>
      <c r="M26" s="187"/>
      <c r="N26" s="188"/>
      <c r="O26" s="101"/>
      <c r="P26" s="101"/>
    </row>
    <row r="27" spans="1:16" s="106" customFormat="1" ht="12.75" customHeight="1">
      <c r="A27" s="107"/>
      <c r="B27" s="24" t="s">
        <v>231</v>
      </c>
      <c r="C27" s="25"/>
      <c r="D27" s="73" t="s">
        <v>949</v>
      </c>
      <c r="E27" s="73"/>
      <c r="F27" s="187"/>
      <c r="G27" s="187"/>
      <c r="H27" s="187"/>
      <c r="I27" s="187"/>
      <c r="J27" s="187"/>
      <c r="K27" s="187"/>
      <c r="L27" s="187"/>
      <c r="M27" s="187"/>
      <c r="N27" s="189"/>
      <c r="O27" s="101"/>
      <c r="P27" s="101"/>
    </row>
    <row r="28" spans="1:16" s="106" customFormat="1" ht="12.75" customHeight="1">
      <c r="A28" s="107"/>
      <c r="B28" s="24"/>
      <c r="C28" s="25"/>
      <c r="D28" s="73"/>
      <c r="E28" s="73"/>
      <c r="F28" s="187"/>
      <c r="G28" s="187"/>
      <c r="H28" s="187"/>
      <c r="I28" s="187"/>
      <c r="J28" s="187"/>
      <c r="K28" s="187"/>
      <c r="L28" s="187"/>
      <c r="M28" s="187"/>
      <c r="N28" s="188"/>
      <c r="O28" s="101"/>
      <c r="P28" s="101"/>
    </row>
    <row r="29" spans="1:16" s="106" customFormat="1" ht="12.75" customHeight="1">
      <c r="A29" s="107"/>
      <c r="B29" s="24" t="s">
        <v>232</v>
      </c>
      <c r="C29" s="25"/>
      <c r="D29" s="73" t="s">
        <v>233</v>
      </c>
      <c r="E29" s="73"/>
      <c r="F29" s="187"/>
      <c r="G29" s="187"/>
      <c r="H29" s="187"/>
      <c r="I29" s="187"/>
      <c r="J29" s="187"/>
      <c r="K29" s="187"/>
      <c r="L29" s="187"/>
      <c r="M29" s="187"/>
      <c r="N29" s="188"/>
      <c r="O29" s="101"/>
      <c r="P29" s="101"/>
    </row>
    <row r="30" spans="1:16" s="106" customFormat="1" ht="12.75" customHeight="1">
      <c r="A30" s="107"/>
      <c r="B30" s="25"/>
      <c r="C30" s="25"/>
      <c r="D30" s="73" t="s">
        <v>950</v>
      </c>
      <c r="E30" s="73"/>
      <c r="F30" s="187"/>
      <c r="G30" s="187"/>
      <c r="H30" s="187"/>
      <c r="I30" s="187"/>
      <c r="J30" s="187"/>
      <c r="K30" s="187"/>
      <c r="L30" s="187"/>
      <c r="M30" s="187"/>
      <c r="N30" s="188"/>
      <c r="O30" s="101"/>
      <c r="P30" s="101"/>
    </row>
    <row r="31" spans="1:16" s="106" customFormat="1" ht="12.75" customHeight="1">
      <c r="A31" s="107"/>
      <c r="B31" s="25"/>
      <c r="C31" s="25"/>
      <c r="D31" s="73"/>
      <c r="E31" s="73"/>
      <c r="F31" s="187"/>
      <c r="G31" s="187"/>
      <c r="H31" s="187"/>
      <c r="I31" s="187"/>
      <c r="J31" s="187"/>
      <c r="K31" s="187"/>
      <c r="L31" s="187"/>
      <c r="M31" s="187"/>
      <c r="N31" s="188"/>
      <c r="O31" s="101"/>
      <c r="P31" s="101"/>
    </row>
    <row r="32" spans="1:16" s="106" customFormat="1" ht="12.75" customHeight="1">
      <c r="A32" s="107"/>
      <c r="B32" s="24" t="s">
        <v>234</v>
      </c>
      <c r="C32" s="25"/>
      <c r="D32" s="73" t="s">
        <v>951</v>
      </c>
      <c r="E32" s="190"/>
      <c r="F32" s="187"/>
      <c r="G32" s="187"/>
      <c r="H32" s="191"/>
      <c r="I32" s="191"/>
      <c r="J32" s="191"/>
      <c r="K32" s="191"/>
      <c r="L32" s="191"/>
      <c r="M32" s="191"/>
      <c r="N32" s="192"/>
      <c r="O32" s="101"/>
      <c r="P32" s="101"/>
    </row>
    <row r="33" spans="1:16" s="106" customFormat="1" ht="12.75" customHeight="1">
      <c r="A33" s="107"/>
      <c r="B33" s="24"/>
      <c r="C33" s="101"/>
      <c r="D33" s="191"/>
      <c r="E33" s="191"/>
      <c r="F33" s="191"/>
      <c r="G33" s="191"/>
      <c r="H33" s="191"/>
      <c r="I33" s="191"/>
      <c r="J33" s="191"/>
      <c r="K33" s="191"/>
      <c r="L33" s="191"/>
      <c r="M33" s="191"/>
      <c r="N33" s="192"/>
      <c r="O33" s="101"/>
      <c r="P33" s="101"/>
    </row>
    <row r="34" spans="1:16" s="106" customFormat="1" ht="12.75" customHeight="1">
      <c r="A34" s="107"/>
      <c r="B34" s="24" t="s">
        <v>235</v>
      </c>
      <c r="C34" s="193"/>
      <c r="D34" s="73" t="s">
        <v>952</v>
      </c>
      <c r="E34" s="187"/>
      <c r="F34" s="187"/>
      <c r="G34" s="187"/>
      <c r="H34" s="187"/>
      <c r="I34" s="187"/>
      <c r="J34" s="191"/>
      <c r="K34" s="191"/>
      <c r="L34" s="191"/>
      <c r="M34" s="191"/>
      <c r="N34" s="192"/>
      <c r="O34" s="101"/>
      <c r="P34" s="101"/>
    </row>
    <row r="35" spans="1:16" s="106" customFormat="1" ht="12.75" customHeight="1">
      <c r="A35" s="107"/>
      <c r="B35" s="101"/>
      <c r="C35" s="101"/>
      <c r="D35" s="101"/>
      <c r="E35" s="101"/>
      <c r="F35" s="101"/>
      <c r="G35" s="101"/>
      <c r="H35" s="101"/>
      <c r="I35" s="101"/>
      <c r="J35" s="101"/>
      <c r="K35" s="101"/>
      <c r="L35" s="101"/>
      <c r="M35" s="101"/>
      <c r="N35" s="113"/>
      <c r="O35" s="101"/>
      <c r="P35" s="101"/>
    </row>
    <row r="36" spans="1:16" s="106" customFormat="1" ht="12.75" customHeight="1">
      <c r="A36" s="107"/>
      <c r="B36" s="25"/>
      <c r="C36" s="25"/>
      <c r="D36" s="25"/>
      <c r="E36" s="25"/>
      <c r="F36" s="194"/>
      <c r="G36" s="194"/>
      <c r="H36" s="194"/>
      <c r="I36" s="194"/>
      <c r="J36" s="194"/>
      <c r="K36" s="194"/>
      <c r="L36" s="194"/>
      <c r="M36" s="194"/>
      <c r="N36" s="172"/>
      <c r="O36" s="101"/>
      <c r="P36" s="101"/>
    </row>
    <row r="37" spans="1:16" s="106" customFormat="1" ht="12.75" customHeight="1">
      <c r="A37" s="107"/>
      <c r="B37" s="194"/>
      <c r="C37" s="194"/>
      <c r="D37" s="194"/>
      <c r="E37" s="194"/>
      <c r="F37" s="194"/>
      <c r="G37" s="194"/>
      <c r="H37" s="194"/>
      <c r="I37" s="194"/>
      <c r="J37" s="194"/>
      <c r="K37" s="194"/>
      <c r="L37" s="194"/>
      <c r="M37" s="194"/>
      <c r="N37" s="195"/>
      <c r="O37" s="101"/>
      <c r="P37" s="101"/>
    </row>
    <row r="38" spans="1:16" s="106" customFormat="1" ht="12.75" customHeight="1">
      <c r="A38" s="107"/>
      <c r="B38" s="194"/>
      <c r="C38" s="194"/>
      <c r="D38" s="194"/>
      <c r="E38" s="194"/>
      <c r="F38" s="194"/>
      <c r="G38" s="194"/>
      <c r="H38" s="194"/>
      <c r="I38" s="194"/>
      <c r="J38" s="194"/>
      <c r="K38" s="194"/>
      <c r="L38" s="194"/>
      <c r="M38" s="194"/>
      <c r="N38" s="195"/>
      <c r="O38" s="101"/>
      <c r="P38" s="101"/>
    </row>
    <row r="39" spans="1:16" s="106" customFormat="1" ht="12.75" customHeight="1">
      <c r="A39" s="107"/>
      <c r="B39" s="194"/>
      <c r="C39" s="194"/>
      <c r="D39" s="194"/>
      <c r="E39" s="194"/>
      <c r="F39" s="194"/>
      <c r="G39" s="194"/>
      <c r="H39" s="194"/>
      <c r="I39" s="194"/>
      <c r="J39" s="194"/>
      <c r="K39" s="194"/>
      <c r="L39" s="194"/>
      <c r="M39" s="194"/>
      <c r="N39" s="195"/>
      <c r="O39" s="101"/>
      <c r="P39" s="101"/>
    </row>
    <row r="40" spans="1:16" s="106" customFormat="1" ht="12.75" customHeight="1">
      <c r="A40" s="107"/>
      <c r="B40" s="194"/>
      <c r="C40" s="194"/>
      <c r="D40" s="194"/>
      <c r="E40" s="194"/>
      <c r="F40" s="194"/>
      <c r="G40" s="194"/>
      <c r="H40" s="194"/>
      <c r="I40" s="194"/>
      <c r="J40" s="194"/>
      <c r="K40" s="194"/>
      <c r="L40" s="194"/>
      <c r="M40" s="194"/>
      <c r="N40" s="195"/>
      <c r="O40" s="101"/>
      <c r="P40" s="101"/>
    </row>
    <row r="41" spans="1:16" s="106" customFormat="1" ht="12.75" customHeight="1">
      <c r="A41" s="107"/>
      <c r="B41" s="194"/>
      <c r="C41" s="194"/>
      <c r="D41" s="194"/>
      <c r="E41" s="194"/>
      <c r="F41" s="194"/>
      <c r="G41" s="194"/>
      <c r="H41" s="194"/>
      <c r="I41" s="194"/>
      <c r="J41" s="194"/>
      <c r="K41" s="194"/>
      <c r="L41" s="194"/>
      <c r="M41" s="194"/>
      <c r="N41" s="195"/>
      <c r="O41" s="101"/>
      <c r="P41" s="101"/>
    </row>
    <row r="42" spans="1:16" s="106" customFormat="1" ht="12.75" customHeight="1">
      <c r="A42" s="107"/>
      <c r="B42" s="194"/>
      <c r="C42" s="194"/>
      <c r="D42" s="194"/>
      <c r="E42" s="194"/>
      <c r="F42" s="194"/>
      <c r="G42" s="194"/>
      <c r="H42" s="194"/>
      <c r="I42" s="194"/>
      <c r="J42" s="194"/>
      <c r="K42" s="194"/>
      <c r="L42" s="194"/>
      <c r="M42" s="194"/>
      <c r="N42" s="195"/>
      <c r="O42" s="101"/>
      <c r="P42" s="101"/>
    </row>
    <row r="43" spans="1:16">
      <c r="A43" s="182"/>
      <c r="B43" s="194"/>
      <c r="C43" s="194"/>
      <c r="D43" s="194"/>
      <c r="E43" s="194"/>
      <c r="F43" s="194"/>
      <c r="G43" s="194"/>
      <c r="H43" s="194"/>
      <c r="I43" s="194"/>
      <c r="J43" s="194"/>
      <c r="K43" s="194"/>
      <c r="L43" s="194"/>
      <c r="M43" s="194"/>
      <c r="N43" s="195"/>
      <c r="O43" s="21"/>
      <c r="P43" s="21"/>
    </row>
    <row r="44" spans="1:16">
      <c r="A44" s="182"/>
      <c r="B44" s="194"/>
      <c r="C44" s="194"/>
      <c r="D44" s="194"/>
      <c r="E44" s="194"/>
      <c r="F44" s="194"/>
      <c r="G44" s="194"/>
      <c r="H44" s="194"/>
      <c r="I44" s="194"/>
      <c r="J44" s="194"/>
      <c r="K44" s="194"/>
      <c r="L44" s="194"/>
      <c r="M44" s="194"/>
      <c r="N44" s="195"/>
      <c r="O44" s="21"/>
      <c r="P44" s="21"/>
    </row>
    <row r="45" spans="1:16">
      <c r="A45" s="182"/>
      <c r="B45" s="194"/>
      <c r="C45" s="194"/>
      <c r="D45" s="194"/>
      <c r="E45" s="194"/>
      <c r="F45" s="194"/>
      <c r="G45" s="194"/>
      <c r="H45" s="194"/>
      <c r="I45" s="194"/>
      <c r="J45" s="194"/>
      <c r="K45" s="194"/>
      <c r="L45" s="194"/>
      <c r="M45" s="194"/>
      <c r="N45" s="195"/>
      <c r="O45" s="21"/>
      <c r="P45" s="21"/>
    </row>
    <row r="46" spans="1:16" s="21" customFormat="1">
      <c r="A46" s="182"/>
      <c r="B46" s="101"/>
      <c r="C46" s="101"/>
      <c r="D46" s="101"/>
      <c r="E46" s="101"/>
      <c r="F46" s="101"/>
      <c r="G46" s="101"/>
      <c r="H46" s="194"/>
      <c r="I46" s="194"/>
      <c r="J46" s="194"/>
      <c r="K46" s="194"/>
      <c r="L46" s="194"/>
      <c r="M46" s="194"/>
      <c r="N46" s="176"/>
    </row>
    <row r="47" spans="1:16" s="21" customFormat="1">
      <c r="A47" s="182"/>
      <c r="B47" s="101"/>
      <c r="C47" s="101"/>
      <c r="D47" s="101"/>
      <c r="E47" s="101"/>
      <c r="F47" s="101"/>
      <c r="G47" s="101"/>
      <c r="H47" s="194"/>
      <c r="I47" s="194"/>
      <c r="J47" s="194"/>
      <c r="K47" s="194"/>
      <c r="L47" s="194"/>
      <c r="M47" s="194"/>
      <c r="N47" s="176"/>
    </row>
    <row r="48" spans="1:16" s="21" customFormat="1">
      <c r="A48" s="182"/>
      <c r="B48" s="194"/>
      <c r="C48" s="194"/>
      <c r="D48" s="194"/>
      <c r="E48" s="194"/>
      <c r="F48" s="194"/>
      <c r="G48" s="194"/>
      <c r="H48" s="194"/>
      <c r="I48" s="194"/>
      <c r="J48" s="194"/>
      <c r="K48" s="194"/>
      <c r="L48" s="194"/>
      <c r="M48" s="194"/>
      <c r="N48" s="176"/>
    </row>
    <row r="49" spans="1:14" s="21" customFormat="1" ht="12.75" customHeight="1">
      <c r="A49" s="196"/>
      <c r="B49" s="56"/>
      <c r="C49" s="11"/>
      <c r="D49" s="12"/>
      <c r="E49" s="12"/>
      <c r="F49" s="12"/>
      <c r="G49" s="12"/>
      <c r="H49" s="12"/>
      <c r="I49" s="12"/>
      <c r="J49" s="12"/>
      <c r="K49" s="12"/>
      <c r="L49" s="12"/>
      <c r="M49" s="12"/>
      <c r="N49" s="197"/>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8"/>
      <c r="E53" s="13"/>
      <c r="F53" s="199"/>
      <c r="G53" s="200"/>
      <c r="H53" s="199"/>
      <c r="I53" s="175"/>
    </row>
    <row r="54" spans="1:14" s="21" customFormat="1">
      <c r="B54" s="14"/>
      <c r="C54" s="13"/>
      <c r="D54" s="198"/>
      <c r="E54" s="13"/>
      <c r="F54" s="199"/>
      <c r="G54" s="200"/>
      <c r="H54" s="199"/>
      <c r="I54" s="175"/>
    </row>
    <row r="55" spans="1:14" s="21" customFormat="1">
      <c r="B55" s="14"/>
      <c r="C55" s="13"/>
      <c r="D55" s="198"/>
      <c r="E55" s="13"/>
      <c r="F55" s="199"/>
      <c r="G55" s="200"/>
      <c r="H55" s="199"/>
      <c r="I55" s="175"/>
    </row>
    <row r="56" spans="1:14" s="21" customFormat="1">
      <c r="B56" s="14"/>
      <c r="C56" s="13"/>
      <c r="D56" s="198"/>
      <c r="E56" s="13"/>
      <c r="F56" s="199"/>
      <c r="G56" s="200"/>
      <c r="H56" s="199"/>
      <c r="I56" s="175"/>
    </row>
    <row r="57" spans="1:14" s="21" customFormat="1">
      <c r="B57" s="14"/>
      <c r="C57" s="13"/>
      <c r="D57" s="198"/>
      <c r="E57" s="13"/>
      <c r="F57" s="199"/>
      <c r="G57" s="200"/>
      <c r="H57" s="199"/>
      <c r="I57" s="175"/>
    </row>
    <row r="58" spans="1:14" s="21" customFormat="1">
      <c r="B58" s="14"/>
      <c r="C58" s="13"/>
      <c r="D58" s="198"/>
      <c r="E58" s="13"/>
      <c r="F58" s="199"/>
      <c r="G58" s="200"/>
      <c r="H58" s="199"/>
      <c r="I58" s="175"/>
    </row>
    <row r="59" spans="1:14" s="21" customFormat="1">
      <c r="B59" s="14"/>
      <c r="C59" s="13"/>
      <c r="D59" s="198"/>
      <c r="E59" s="13"/>
      <c r="F59" s="199"/>
      <c r="G59" s="200"/>
      <c r="H59" s="199"/>
      <c r="I59" s="175"/>
    </row>
    <row r="60" spans="1:14" s="21" customFormat="1">
      <c r="B60" s="14"/>
      <c r="C60" s="13"/>
      <c r="D60" s="198"/>
      <c r="E60" s="13"/>
      <c r="F60" s="199"/>
      <c r="G60" s="200"/>
      <c r="H60" s="199"/>
      <c r="I60" s="175"/>
    </row>
    <row r="61" spans="1:14" s="21" customFormat="1">
      <c r="B61" s="14"/>
      <c r="C61" s="13"/>
      <c r="D61" s="198"/>
      <c r="E61" s="13"/>
      <c r="F61" s="199"/>
      <c r="G61" s="200"/>
      <c r="H61" s="199"/>
      <c r="I61" s="175"/>
    </row>
    <row r="62" spans="1:14" s="21" customFormat="1">
      <c r="B62" s="14"/>
      <c r="C62" s="13"/>
      <c r="D62" s="198"/>
      <c r="E62" s="13"/>
      <c r="F62" s="199"/>
      <c r="G62" s="200"/>
      <c r="H62" s="199"/>
      <c r="I62" s="175"/>
    </row>
    <row r="63" spans="1:14" s="21" customFormat="1">
      <c r="B63" s="14"/>
      <c r="C63" s="13"/>
      <c r="D63" s="198"/>
      <c r="E63" s="13"/>
      <c r="F63" s="199"/>
      <c r="G63" s="200"/>
      <c r="H63" s="199"/>
      <c r="I63" s="175"/>
    </row>
    <row r="64" spans="1:14" s="21" customFormat="1">
      <c r="B64" s="14"/>
      <c r="C64" s="13"/>
      <c r="D64" s="198"/>
      <c r="E64" s="13"/>
      <c r="F64" s="199"/>
      <c r="G64" s="200"/>
      <c r="H64" s="199"/>
      <c r="I64" s="175"/>
    </row>
    <row r="65" spans="2:9" s="21" customFormat="1">
      <c r="B65" s="14"/>
      <c r="C65" s="13"/>
      <c r="D65" s="198"/>
      <c r="E65" s="13"/>
      <c r="F65" s="199"/>
      <c r="G65" s="200"/>
      <c r="H65" s="199"/>
      <c r="I65" s="175"/>
    </row>
    <row r="66" spans="2:9" s="21" customFormat="1">
      <c r="B66" s="14"/>
      <c r="C66" s="13"/>
      <c r="D66" s="198"/>
      <c r="E66" s="13"/>
      <c r="F66" s="199"/>
      <c r="G66" s="200"/>
      <c r="H66" s="199"/>
      <c r="I66" s="175"/>
    </row>
    <row r="67" spans="2:9" s="21" customFormat="1">
      <c r="B67" s="14"/>
      <c r="C67" s="13"/>
      <c r="D67" s="198"/>
      <c r="E67" s="13"/>
      <c r="F67" s="199"/>
      <c r="G67" s="200"/>
      <c r="H67" s="199"/>
      <c r="I67" s="175"/>
    </row>
    <row r="68" spans="2:9" s="21" customFormat="1" ht="15.5">
      <c r="B68" s="15"/>
      <c r="C68" s="13"/>
      <c r="D68" s="198"/>
      <c r="E68" s="13"/>
      <c r="F68" s="199"/>
      <c r="G68" s="200"/>
      <c r="H68" s="199"/>
      <c r="I68" s="175"/>
    </row>
    <row r="69" spans="2:9" s="21" customFormat="1" ht="15.5">
      <c r="B69" s="15"/>
      <c r="C69" s="13"/>
      <c r="D69" s="201"/>
      <c r="E69" s="202"/>
      <c r="F69" s="203"/>
      <c r="G69" s="204"/>
      <c r="H69" s="203"/>
      <c r="I69" s="175"/>
    </row>
    <row r="70" spans="2:9" s="21" customFormat="1" ht="15.5">
      <c r="B70" s="15"/>
      <c r="C70" s="13"/>
      <c r="D70" s="201"/>
      <c r="E70" s="201"/>
      <c r="F70" s="201"/>
      <c r="G70" s="201"/>
      <c r="H70" s="201"/>
      <c r="I70" s="175"/>
    </row>
    <row r="71" spans="2:9" s="21" customFormat="1" ht="15.5">
      <c r="B71" s="15"/>
      <c r="C71" s="13"/>
      <c r="D71" s="201"/>
      <c r="E71" s="201"/>
      <c r="F71" s="201"/>
      <c r="G71" s="201"/>
      <c r="H71" s="201"/>
      <c r="I71" s="175"/>
    </row>
    <row r="72" spans="2:9" s="21" customFormat="1" ht="15.5">
      <c r="B72" s="15"/>
      <c r="C72" s="13"/>
      <c r="D72" s="205"/>
      <c r="E72" s="206"/>
      <c r="F72" s="201"/>
      <c r="G72" s="201"/>
      <c r="H72" s="201"/>
      <c r="I72" s="175"/>
    </row>
    <row r="73" spans="2:9" s="21" customFormat="1">
      <c r="B73" s="14"/>
      <c r="C73" s="13"/>
      <c r="D73" s="202"/>
      <c r="E73" s="206"/>
      <c r="F73" s="201"/>
      <c r="G73" s="201"/>
      <c r="H73" s="201"/>
      <c r="I73" s="175"/>
    </row>
    <row r="74" spans="2:9" s="21" customFormat="1">
      <c r="B74" s="14"/>
      <c r="C74" s="13"/>
      <c r="D74" s="201"/>
      <c r="E74" s="206"/>
      <c r="F74" s="201"/>
      <c r="G74" s="201"/>
      <c r="H74" s="201"/>
      <c r="I74" s="175"/>
    </row>
    <row r="75" spans="2:9" s="21" customFormat="1" ht="14">
      <c r="B75" s="201"/>
      <c r="C75" s="202"/>
      <c r="D75" s="207"/>
      <c r="E75" s="207"/>
      <c r="F75" s="207"/>
      <c r="G75" s="207"/>
      <c r="H75" s="207"/>
      <c r="I75" s="175"/>
    </row>
    <row r="76" spans="2:9" s="21" customFormat="1" ht="14">
      <c r="B76" s="101"/>
      <c r="C76" s="101"/>
      <c r="D76" s="207"/>
      <c r="E76" s="207"/>
      <c r="F76" s="207"/>
      <c r="G76" s="207"/>
      <c r="H76" s="207"/>
      <c r="I76" s="175"/>
    </row>
    <row r="77" spans="2:9" s="21" customFormat="1" ht="14">
      <c r="B77" s="101"/>
      <c r="C77" s="101"/>
      <c r="D77" s="208"/>
      <c r="E77" s="209"/>
      <c r="F77" s="207"/>
      <c r="G77" s="207"/>
      <c r="H77" s="207"/>
      <c r="I77" s="175"/>
    </row>
    <row r="78" spans="2:9" s="21" customFormat="1" ht="14">
      <c r="B78" s="205"/>
      <c r="C78" s="206"/>
      <c r="D78" s="210"/>
      <c r="E78" s="209"/>
      <c r="F78" s="207"/>
      <c r="G78" s="207"/>
      <c r="H78" s="207"/>
      <c r="I78" s="175"/>
    </row>
    <row r="79" spans="2:9" s="21" customFormat="1" ht="14">
      <c r="B79" s="211"/>
      <c r="C79" s="206"/>
      <c r="D79" s="207"/>
      <c r="E79" s="209"/>
      <c r="F79" s="207"/>
      <c r="G79" s="207"/>
      <c r="H79" s="207"/>
      <c r="I79" s="175"/>
    </row>
    <row r="80" spans="2:9" s="21" customFormat="1">
      <c r="C80" s="206"/>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0"/>
  <sheetViews>
    <sheetView workbookViewId="0"/>
  </sheetViews>
  <sheetFormatPr baseColWidth="10" defaultColWidth="8.7265625" defaultRowHeight="12.5"/>
  <cols>
    <col min="1" max="1" width="13" customWidth="1"/>
    <col min="2" max="2" width="41" customWidth="1"/>
    <col min="3" max="4" width="13" customWidth="1"/>
  </cols>
  <sheetData>
    <row r="1" spans="1:4">
      <c r="A1" t="s">
        <v>548</v>
      </c>
      <c r="B1" t="s">
        <v>549</v>
      </c>
      <c r="C1" t="s">
        <v>550</v>
      </c>
      <c r="D1" t="s">
        <v>551</v>
      </c>
    </row>
    <row r="2" spans="1:4">
      <c r="A2" t="s">
        <v>954</v>
      </c>
      <c r="B2" t="s">
        <v>969</v>
      </c>
      <c r="C2">
        <v>12046</v>
      </c>
      <c r="D2">
        <v>11148170.939999964</v>
      </c>
    </row>
    <row r="3" spans="1:4">
      <c r="A3" t="s">
        <v>954</v>
      </c>
      <c r="B3" t="s">
        <v>970</v>
      </c>
      <c r="C3">
        <v>7752</v>
      </c>
      <c r="D3">
        <v>22674635.340000045</v>
      </c>
    </row>
    <row r="4" spans="1:4">
      <c r="A4" t="s">
        <v>954</v>
      </c>
      <c r="B4" t="s">
        <v>971</v>
      </c>
      <c r="C4">
        <v>5330</v>
      </c>
      <c r="D4">
        <v>26350096.600000009</v>
      </c>
    </row>
    <row r="5" spans="1:4">
      <c r="A5" t="s">
        <v>954</v>
      </c>
      <c r="B5" t="s">
        <v>972</v>
      </c>
      <c r="C5">
        <v>4074</v>
      </c>
      <c r="D5">
        <v>28359783.559999913</v>
      </c>
    </row>
    <row r="6" spans="1:4">
      <c r="A6" t="s">
        <v>954</v>
      </c>
      <c r="B6" t="s">
        <v>973</v>
      </c>
      <c r="C6">
        <v>3325</v>
      </c>
      <c r="D6">
        <v>29728883.419999987</v>
      </c>
    </row>
    <row r="7" spans="1:4">
      <c r="A7" t="s">
        <v>954</v>
      </c>
      <c r="B7" t="s">
        <v>974</v>
      </c>
      <c r="C7">
        <v>2550</v>
      </c>
      <c r="D7">
        <v>27929597.290000029</v>
      </c>
    </row>
    <row r="8" spans="1:4">
      <c r="A8" t="s">
        <v>954</v>
      </c>
      <c r="B8" t="s">
        <v>975</v>
      </c>
      <c r="C8">
        <v>1821</v>
      </c>
      <c r="D8">
        <v>23581331.129999988</v>
      </c>
    </row>
    <row r="9" spans="1:4">
      <c r="A9" t="s">
        <v>954</v>
      </c>
      <c r="B9" t="s">
        <v>976</v>
      </c>
      <c r="C9">
        <v>1338</v>
      </c>
      <c r="D9">
        <v>20041544.730000019</v>
      </c>
    </row>
    <row r="10" spans="1:4">
      <c r="A10" t="s">
        <v>954</v>
      </c>
      <c r="B10" t="s">
        <v>977</v>
      </c>
      <c r="C10">
        <v>1040</v>
      </c>
      <c r="D10">
        <v>17604465.139999993</v>
      </c>
    </row>
    <row r="11" spans="1:4">
      <c r="A11" t="s">
        <v>954</v>
      </c>
      <c r="B11" t="s">
        <v>978</v>
      </c>
      <c r="C11">
        <v>809</v>
      </c>
      <c r="D11">
        <v>15328364.349999977</v>
      </c>
    </row>
    <row r="12" spans="1:4">
      <c r="A12" t="s">
        <v>954</v>
      </c>
      <c r="B12" t="s">
        <v>979</v>
      </c>
      <c r="C12">
        <v>575</v>
      </c>
      <c r="D12">
        <v>12077444.280000001</v>
      </c>
    </row>
    <row r="13" spans="1:4">
      <c r="A13" t="s">
        <v>954</v>
      </c>
      <c r="B13" t="s">
        <v>980</v>
      </c>
      <c r="C13">
        <v>480</v>
      </c>
      <c r="D13">
        <v>11012823.890000002</v>
      </c>
    </row>
    <row r="14" spans="1:4">
      <c r="A14" t="s">
        <v>954</v>
      </c>
      <c r="B14" t="s">
        <v>981</v>
      </c>
      <c r="C14">
        <v>393</v>
      </c>
      <c r="D14">
        <v>9829649.0300000031</v>
      </c>
    </row>
    <row r="15" spans="1:4">
      <c r="A15" t="s">
        <v>954</v>
      </c>
      <c r="B15" t="s">
        <v>982</v>
      </c>
      <c r="C15">
        <v>281</v>
      </c>
      <c r="D15">
        <v>7564618.7399999984</v>
      </c>
    </row>
    <row r="16" spans="1:4">
      <c r="A16" t="s">
        <v>954</v>
      </c>
      <c r="B16" t="s">
        <v>983</v>
      </c>
      <c r="C16">
        <v>253</v>
      </c>
      <c r="D16">
        <v>7332062.8599999966</v>
      </c>
    </row>
    <row r="17" spans="1:4">
      <c r="A17" t="s">
        <v>954</v>
      </c>
      <c r="B17" t="s">
        <v>984</v>
      </c>
      <c r="C17">
        <v>189</v>
      </c>
      <c r="D17">
        <v>5846278.1900000004</v>
      </c>
    </row>
    <row r="18" spans="1:4">
      <c r="A18" t="s">
        <v>954</v>
      </c>
      <c r="B18" t="s">
        <v>985</v>
      </c>
      <c r="C18">
        <v>121</v>
      </c>
      <c r="D18">
        <v>3981017.7399999993</v>
      </c>
    </row>
    <row r="19" spans="1:4">
      <c r="A19" t="s">
        <v>954</v>
      </c>
      <c r="B19" t="s">
        <v>986</v>
      </c>
      <c r="C19">
        <v>111</v>
      </c>
      <c r="D19">
        <v>3881662.3600000008</v>
      </c>
    </row>
    <row r="20" spans="1:4">
      <c r="A20" t="s">
        <v>954</v>
      </c>
      <c r="B20" t="s">
        <v>987</v>
      </c>
      <c r="C20">
        <v>73</v>
      </c>
      <c r="D20">
        <v>2694416.6099999989</v>
      </c>
    </row>
    <row r="21" spans="1:4">
      <c r="A21" t="s">
        <v>954</v>
      </c>
      <c r="B21" t="s">
        <v>988</v>
      </c>
      <c r="C21">
        <v>70</v>
      </c>
      <c r="D21">
        <v>2723235.6799999997</v>
      </c>
    </row>
    <row r="22" spans="1:4">
      <c r="A22" t="s">
        <v>954</v>
      </c>
      <c r="B22" t="s">
        <v>989</v>
      </c>
      <c r="C22">
        <v>37</v>
      </c>
      <c r="D22">
        <v>1512395.9200000002</v>
      </c>
    </row>
    <row r="23" spans="1:4">
      <c r="A23" t="s">
        <v>954</v>
      </c>
      <c r="B23" t="s">
        <v>990</v>
      </c>
      <c r="C23">
        <v>25</v>
      </c>
      <c r="D23">
        <v>1074565.95</v>
      </c>
    </row>
    <row r="24" spans="1:4">
      <c r="A24" t="s">
        <v>954</v>
      </c>
      <c r="B24" t="s">
        <v>991</v>
      </c>
      <c r="C24">
        <v>24</v>
      </c>
      <c r="D24">
        <v>1071805.1500000001</v>
      </c>
    </row>
    <row r="25" spans="1:4">
      <c r="A25" t="s">
        <v>954</v>
      </c>
      <c r="B25" t="s">
        <v>992</v>
      </c>
      <c r="C25">
        <v>11</v>
      </c>
      <c r="D25">
        <v>521626.06</v>
      </c>
    </row>
    <row r="26" spans="1:4">
      <c r="A26" t="s">
        <v>954</v>
      </c>
      <c r="B26" t="s">
        <v>993</v>
      </c>
      <c r="C26">
        <v>10</v>
      </c>
      <c r="D26">
        <v>488590.38</v>
      </c>
    </row>
    <row r="27" spans="1:4">
      <c r="A27" t="s">
        <v>954</v>
      </c>
      <c r="B27" t="s">
        <v>994</v>
      </c>
      <c r="C27">
        <v>12</v>
      </c>
      <c r="D27">
        <v>611900.79999999993</v>
      </c>
    </row>
    <row r="28" spans="1:4">
      <c r="A28" t="s">
        <v>954</v>
      </c>
      <c r="B28" t="s">
        <v>995</v>
      </c>
      <c r="C28">
        <v>4</v>
      </c>
      <c r="D28">
        <v>213218.88999999998</v>
      </c>
    </row>
    <row r="29" spans="1:4">
      <c r="A29" t="s">
        <v>954</v>
      </c>
      <c r="B29" t="s">
        <v>996</v>
      </c>
      <c r="C29">
        <v>4</v>
      </c>
      <c r="D29">
        <v>220770.46</v>
      </c>
    </row>
    <row r="30" spans="1:4">
      <c r="A30" t="s">
        <v>954</v>
      </c>
      <c r="B30" t="s">
        <v>997</v>
      </c>
      <c r="C30">
        <v>5</v>
      </c>
      <c r="D30">
        <v>285313.02</v>
      </c>
    </row>
    <row r="31" spans="1:4">
      <c r="A31" t="s">
        <v>954</v>
      </c>
      <c r="B31" t="s">
        <v>998</v>
      </c>
      <c r="C31">
        <v>2</v>
      </c>
      <c r="D31">
        <v>116514.86</v>
      </c>
    </row>
    <row r="32" spans="1:4">
      <c r="A32" t="s">
        <v>954</v>
      </c>
      <c r="B32" t="s">
        <v>999</v>
      </c>
      <c r="C32">
        <v>3</v>
      </c>
      <c r="D32">
        <v>183613.86</v>
      </c>
    </row>
    <row r="33" spans="1:4">
      <c r="A33" t="s">
        <v>955</v>
      </c>
      <c r="B33" t="s">
        <v>1000</v>
      </c>
      <c r="C33">
        <v>0</v>
      </c>
      <c r="D33">
        <v>0</v>
      </c>
    </row>
    <row r="34" spans="1:4">
      <c r="A34" t="s">
        <v>954</v>
      </c>
      <c r="B34" t="s">
        <v>1001</v>
      </c>
      <c r="C34">
        <v>1</v>
      </c>
      <c r="D34">
        <v>65462.6</v>
      </c>
    </row>
    <row r="35" spans="1:4">
      <c r="A35" t="s">
        <v>954</v>
      </c>
      <c r="B35" t="s">
        <v>1002</v>
      </c>
      <c r="C35">
        <v>2</v>
      </c>
      <c r="D35">
        <v>134804.70000000001</v>
      </c>
    </row>
    <row r="36" spans="1:4">
      <c r="A36" t="s">
        <v>954</v>
      </c>
      <c r="B36" t="s">
        <v>1003</v>
      </c>
      <c r="C36">
        <v>2</v>
      </c>
      <c r="D36">
        <v>137483.88</v>
      </c>
    </row>
    <row r="37" spans="1:4">
      <c r="A37" t="s">
        <v>955</v>
      </c>
      <c r="B37" t="s">
        <v>1004</v>
      </c>
      <c r="C37">
        <v>0</v>
      </c>
      <c r="D37">
        <v>0</v>
      </c>
    </row>
    <row r="38" spans="1:4">
      <c r="A38" t="s">
        <v>955</v>
      </c>
      <c r="B38" t="s">
        <v>1005</v>
      </c>
      <c r="C38">
        <v>0</v>
      </c>
      <c r="D38">
        <v>0</v>
      </c>
    </row>
    <row r="39" spans="1:4">
      <c r="A39" t="s">
        <v>955</v>
      </c>
      <c r="B39" t="s">
        <v>1006</v>
      </c>
      <c r="C39">
        <v>0</v>
      </c>
      <c r="D39">
        <v>0</v>
      </c>
    </row>
    <row r="40" spans="1:4">
      <c r="A40" t="s">
        <v>955</v>
      </c>
      <c r="B40" t="s">
        <v>1007</v>
      </c>
      <c r="C40">
        <v>0</v>
      </c>
      <c r="D40">
        <v>0</v>
      </c>
    </row>
    <row r="41" spans="1:4">
      <c r="A41" t="s">
        <v>955</v>
      </c>
      <c r="B41" t="s">
        <v>1008</v>
      </c>
      <c r="C41">
        <v>0</v>
      </c>
      <c r="D41">
        <v>0</v>
      </c>
    </row>
    <row r="42" spans="1:4">
      <c r="A42" t="s">
        <v>955</v>
      </c>
      <c r="B42" t="s">
        <v>1009</v>
      </c>
      <c r="C42">
        <v>0</v>
      </c>
      <c r="D42">
        <v>0</v>
      </c>
    </row>
    <row r="43" spans="1:4">
      <c r="A43" t="s">
        <v>954</v>
      </c>
      <c r="B43" t="s">
        <v>1010</v>
      </c>
      <c r="D43">
        <v>107</v>
      </c>
    </row>
    <row r="44" spans="1:4">
      <c r="A44" t="s">
        <v>954</v>
      </c>
      <c r="B44" t="s">
        <v>1011</v>
      </c>
      <c r="C44">
        <v>496</v>
      </c>
      <c r="D44">
        <v>593956.68999999983</v>
      </c>
    </row>
    <row r="45" spans="1:4">
      <c r="A45" t="s">
        <v>954</v>
      </c>
      <c r="B45" t="s">
        <v>1012</v>
      </c>
      <c r="C45">
        <v>673</v>
      </c>
      <c r="D45">
        <v>2477997.2899999996</v>
      </c>
    </row>
    <row r="46" spans="1:4">
      <c r="A46" t="s">
        <v>954</v>
      </c>
      <c r="B46" t="s">
        <v>1013</v>
      </c>
      <c r="C46">
        <v>3126</v>
      </c>
      <c r="D46">
        <v>20714195.719999976</v>
      </c>
    </row>
    <row r="47" spans="1:4">
      <c r="A47" t="s">
        <v>954</v>
      </c>
      <c r="B47" t="s">
        <v>1014</v>
      </c>
      <c r="C47">
        <v>5733</v>
      </c>
      <c r="D47">
        <v>36035352.219999984</v>
      </c>
    </row>
    <row r="48" spans="1:4">
      <c r="A48" t="s">
        <v>954</v>
      </c>
      <c r="B48" t="s">
        <v>1015</v>
      </c>
      <c r="C48">
        <v>9747</v>
      </c>
      <c r="D48">
        <v>61901824.300000332</v>
      </c>
    </row>
    <row r="49" spans="1:4">
      <c r="A49" t="s">
        <v>954</v>
      </c>
      <c r="B49" t="s">
        <v>1016</v>
      </c>
      <c r="C49">
        <v>8252</v>
      </c>
      <c r="D49">
        <v>61985039.170000002</v>
      </c>
    </row>
    <row r="50" spans="1:4">
      <c r="A50" t="s">
        <v>954</v>
      </c>
      <c r="B50" t="s">
        <v>1017</v>
      </c>
      <c r="C50">
        <v>7061</v>
      </c>
      <c r="D50">
        <v>61092321.709999993</v>
      </c>
    </row>
    <row r="51" spans="1:4">
      <c r="A51" t="s">
        <v>954</v>
      </c>
      <c r="B51" t="s">
        <v>1018</v>
      </c>
      <c r="C51">
        <v>5345</v>
      </c>
      <c r="D51">
        <v>35387719.429999955</v>
      </c>
    </row>
    <row r="52" spans="1:4">
      <c r="A52" t="s">
        <v>954</v>
      </c>
      <c r="B52" t="s">
        <v>1019</v>
      </c>
      <c r="C52">
        <v>1548</v>
      </c>
      <c r="D52">
        <v>11235736.279999997</v>
      </c>
    </row>
    <row r="53" spans="1:4">
      <c r="A53" t="s">
        <v>954</v>
      </c>
      <c r="B53" t="s">
        <v>1020</v>
      </c>
      <c r="C53">
        <v>632</v>
      </c>
      <c r="D53">
        <v>3885916.6800000006</v>
      </c>
    </row>
    <row r="54" spans="1:4">
      <c r="A54" t="s">
        <v>954</v>
      </c>
      <c r="B54" t="s">
        <v>1021</v>
      </c>
      <c r="C54">
        <v>123</v>
      </c>
      <c r="D54">
        <v>776789.71999999986</v>
      </c>
    </row>
    <row r="55" spans="1:4">
      <c r="A55" t="s">
        <v>954</v>
      </c>
      <c r="B55" t="s">
        <v>1022</v>
      </c>
      <c r="C55">
        <v>26</v>
      </c>
      <c r="D55">
        <v>178214.09999999995</v>
      </c>
    </row>
    <row r="56" spans="1:4">
      <c r="A56" t="s">
        <v>954</v>
      </c>
      <c r="B56" t="s">
        <v>1023</v>
      </c>
      <c r="C56">
        <v>10</v>
      </c>
      <c r="D56">
        <v>58463.249999999993</v>
      </c>
    </row>
    <row r="57" spans="1:4">
      <c r="A57" t="s">
        <v>954</v>
      </c>
      <c r="B57" t="s">
        <v>1024</v>
      </c>
      <c r="C57">
        <v>1</v>
      </c>
      <c r="D57">
        <v>4621.8500000000004</v>
      </c>
    </row>
    <row r="58" spans="1:4">
      <c r="A58" t="s">
        <v>954</v>
      </c>
      <c r="B58" t="s">
        <v>1025</v>
      </c>
      <c r="D58">
        <v>42773</v>
      </c>
    </row>
    <row r="59" spans="1:4">
      <c r="A59" t="s">
        <v>954</v>
      </c>
      <c r="B59" t="s">
        <v>1026</v>
      </c>
      <c r="D59">
        <v>44140</v>
      </c>
    </row>
    <row r="60" spans="1:4">
      <c r="A60" t="s">
        <v>954</v>
      </c>
      <c r="B60" t="s">
        <v>1027</v>
      </c>
      <c r="C60">
        <v>866</v>
      </c>
      <c r="D60">
        <v>1136284.4799999993</v>
      </c>
    </row>
    <row r="61" spans="1:4">
      <c r="A61" t="s">
        <v>954</v>
      </c>
      <c r="B61" t="s">
        <v>1028</v>
      </c>
      <c r="C61">
        <v>3316</v>
      </c>
      <c r="D61">
        <v>9800971.9499999546</v>
      </c>
    </row>
    <row r="62" spans="1:4">
      <c r="A62" t="s">
        <v>954</v>
      </c>
      <c r="B62" t="s">
        <v>1029</v>
      </c>
      <c r="C62">
        <v>4384</v>
      </c>
      <c r="D62">
        <v>21600457.690000027</v>
      </c>
    </row>
    <row r="63" spans="1:4">
      <c r="A63" t="s">
        <v>954</v>
      </c>
      <c r="B63" t="s">
        <v>1030</v>
      </c>
      <c r="C63">
        <v>3400</v>
      </c>
      <c r="D63">
        <v>23193149.520000074</v>
      </c>
    </row>
    <row r="64" spans="1:4">
      <c r="A64" t="s">
        <v>954</v>
      </c>
      <c r="B64" t="s">
        <v>1031</v>
      </c>
      <c r="C64">
        <v>2668</v>
      </c>
      <c r="D64">
        <v>23545525.040000025</v>
      </c>
    </row>
    <row r="65" spans="1:4">
      <c r="A65" t="s">
        <v>954</v>
      </c>
      <c r="B65" t="s">
        <v>1032</v>
      </c>
      <c r="C65">
        <v>3671</v>
      </c>
      <c r="D65">
        <v>39178118.870000042</v>
      </c>
    </row>
    <row r="66" spans="1:4">
      <c r="A66" t="s">
        <v>954</v>
      </c>
      <c r="B66" t="s">
        <v>1033</v>
      </c>
      <c r="C66">
        <v>2383</v>
      </c>
      <c r="D66">
        <v>30526189.750000007</v>
      </c>
    </row>
    <row r="67" spans="1:4">
      <c r="A67" t="s">
        <v>954</v>
      </c>
      <c r="B67" t="s">
        <v>1034</v>
      </c>
      <c r="C67">
        <v>2496</v>
      </c>
      <c r="D67">
        <v>37346330.170000009</v>
      </c>
    </row>
    <row r="68" spans="1:4">
      <c r="A68" t="s">
        <v>954</v>
      </c>
      <c r="B68" t="s">
        <v>1035</v>
      </c>
      <c r="C68">
        <v>2029</v>
      </c>
      <c r="D68">
        <v>34356211.340000041</v>
      </c>
    </row>
    <row r="69" spans="1:4">
      <c r="A69" t="s">
        <v>954</v>
      </c>
      <c r="B69" t="s">
        <v>1036</v>
      </c>
      <c r="C69">
        <v>1708</v>
      </c>
      <c r="D69">
        <v>32227396.259999998</v>
      </c>
    </row>
    <row r="70" spans="1:4">
      <c r="A70" t="s">
        <v>954</v>
      </c>
      <c r="B70" t="s">
        <v>1037</v>
      </c>
      <c r="C70">
        <v>2396</v>
      </c>
      <c r="D70">
        <v>49429727.749999881</v>
      </c>
    </row>
    <row r="71" spans="1:4">
      <c r="A71" t="s">
        <v>954</v>
      </c>
      <c r="B71" t="s">
        <v>1038</v>
      </c>
      <c r="C71">
        <v>1520</v>
      </c>
      <c r="D71">
        <v>34845939.500000037</v>
      </c>
    </row>
    <row r="72" spans="1:4">
      <c r="A72" t="s">
        <v>954</v>
      </c>
      <c r="B72" t="s">
        <v>1039</v>
      </c>
      <c r="C72">
        <v>1852</v>
      </c>
      <c r="D72">
        <v>46196589.26000008</v>
      </c>
    </row>
    <row r="73" spans="1:4">
      <c r="A73" t="s">
        <v>954</v>
      </c>
      <c r="B73" t="s">
        <v>1040</v>
      </c>
      <c r="C73">
        <v>1222</v>
      </c>
      <c r="D73">
        <v>32895659.359999999</v>
      </c>
    </row>
    <row r="74" spans="1:4">
      <c r="A74" t="s">
        <v>954</v>
      </c>
      <c r="B74" t="s">
        <v>1041</v>
      </c>
      <c r="C74">
        <v>1070</v>
      </c>
      <c r="D74">
        <v>30989621.240000017</v>
      </c>
    </row>
    <row r="75" spans="1:4">
      <c r="A75" t="s">
        <v>954</v>
      </c>
      <c r="B75" t="s">
        <v>1042</v>
      </c>
      <c r="C75">
        <v>1132</v>
      </c>
      <c r="D75">
        <v>34701138.159999982</v>
      </c>
    </row>
    <row r="76" spans="1:4">
      <c r="A76" t="s">
        <v>954</v>
      </c>
      <c r="B76" t="s">
        <v>1043</v>
      </c>
      <c r="C76">
        <v>716</v>
      </c>
      <c r="D76">
        <v>23532942.079999961</v>
      </c>
    </row>
    <row r="77" spans="1:4">
      <c r="A77" t="s">
        <v>954</v>
      </c>
      <c r="B77" t="s">
        <v>1044</v>
      </c>
      <c r="C77">
        <v>783</v>
      </c>
      <c r="D77">
        <v>27367053.990000013</v>
      </c>
    </row>
    <row r="78" spans="1:4">
      <c r="A78" t="s">
        <v>954</v>
      </c>
      <c r="B78" t="s">
        <v>1045</v>
      </c>
      <c r="C78">
        <v>558</v>
      </c>
      <c r="D78">
        <v>20614552.730000015</v>
      </c>
    </row>
    <row r="79" spans="1:4">
      <c r="A79" t="s">
        <v>954</v>
      </c>
      <c r="B79" t="s">
        <v>1046</v>
      </c>
      <c r="C79">
        <v>512</v>
      </c>
      <c r="D79">
        <v>19940085.169999994</v>
      </c>
    </row>
    <row r="80" spans="1:4">
      <c r="A80" t="s">
        <v>954</v>
      </c>
      <c r="B80" t="s">
        <v>1047</v>
      </c>
      <c r="C80">
        <v>583</v>
      </c>
      <c r="D80">
        <v>23724555.509999983</v>
      </c>
    </row>
    <row r="81" spans="1:4">
      <c r="A81" t="s">
        <v>954</v>
      </c>
      <c r="B81" t="s">
        <v>1048</v>
      </c>
      <c r="C81">
        <v>380</v>
      </c>
      <c r="D81">
        <v>16301505.610000014</v>
      </c>
    </row>
    <row r="82" spans="1:4">
      <c r="A82" t="s">
        <v>954</v>
      </c>
      <c r="B82" t="s">
        <v>1049</v>
      </c>
      <c r="C82">
        <v>391</v>
      </c>
      <c r="D82">
        <v>17583738.909999993</v>
      </c>
    </row>
    <row r="83" spans="1:4">
      <c r="A83" t="s">
        <v>954</v>
      </c>
      <c r="B83" t="s">
        <v>1050</v>
      </c>
      <c r="C83">
        <v>276</v>
      </c>
      <c r="D83">
        <v>12953834.76</v>
      </c>
    </row>
    <row r="84" spans="1:4">
      <c r="A84" t="s">
        <v>954</v>
      </c>
      <c r="B84" t="s">
        <v>1051</v>
      </c>
      <c r="C84">
        <v>271</v>
      </c>
      <c r="D84">
        <v>13269912.119999994</v>
      </c>
    </row>
    <row r="85" spans="1:4">
      <c r="A85" t="s">
        <v>954</v>
      </c>
      <c r="B85" t="s">
        <v>1052</v>
      </c>
      <c r="C85">
        <v>440</v>
      </c>
      <c r="D85">
        <v>22207080.570000004</v>
      </c>
    </row>
    <row r="86" spans="1:4">
      <c r="A86" t="s">
        <v>954</v>
      </c>
      <c r="B86" t="s">
        <v>1053</v>
      </c>
      <c r="C86">
        <v>238</v>
      </c>
      <c r="D86">
        <v>12625750.150000002</v>
      </c>
    </row>
    <row r="87" spans="1:4">
      <c r="A87" t="s">
        <v>954</v>
      </c>
      <c r="B87" t="s">
        <v>1054</v>
      </c>
      <c r="C87">
        <v>227</v>
      </c>
      <c r="D87">
        <v>12460780.679999996</v>
      </c>
    </row>
    <row r="88" spans="1:4">
      <c r="A88" t="s">
        <v>954</v>
      </c>
      <c r="B88" t="s">
        <v>1055</v>
      </c>
      <c r="C88">
        <v>158</v>
      </c>
      <c r="D88">
        <v>8991121.5499999989</v>
      </c>
    </row>
    <row r="89" spans="1:4">
      <c r="A89" t="s">
        <v>954</v>
      </c>
      <c r="B89" t="s">
        <v>1056</v>
      </c>
      <c r="C89">
        <v>137</v>
      </c>
      <c r="D89">
        <v>8072264.3399999971</v>
      </c>
    </row>
    <row r="90" spans="1:4">
      <c r="A90" t="s">
        <v>954</v>
      </c>
      <c r="B90" t="s">
        <v>1057</v>
      </c>
      <c r="C90">
        <v>258</v>
      </c>
      <c r="D90">
        <v>15579327.130000001</v>
      </c>
    </row>
    <row r="91" spans="1:4">
      <c r="A91" t="s">
        <v>954</v>
      </c>
      <c r="B91" t="s">
        <v>1058</v>
      </c>
      <c r="C91">
        <v>102</v>
      </c>
      <c r="D91">
        <v>6426453.5899999999</v>
      </c>
    </row>
    <row r="92" spans="1:4">
      <c r="A92" t="s">
        <v>954</v>
      </c>
      <c r="B92" t="s">
        <v>1059</v>
      </c>
      <c r="C92">
        <v>114</v>
      </c>
      <c r="D92">
        <v>7387954.4600000009</v>
      </c>
    </row>
    <row r="93" spans="1:4">
      <c r="A93" t="s">
        <v>954</v>
      </c>
      <c r="B93" t="s">
        <v>1060</v>
      </c>
      <c r="C93">
        <v>65</v>
      </c>
      <c r="D93">
        <v>4341500.0799999991</v>
      </c>
    </row>
    <row r="94" spans="1:4">
      <c r="A94" t="s">
        <v>954</v>
      </c>
      <c r="B94" t="s">
        <v>1061</v>
      </c>
      <c r="C94">
        <v>80</v>
      </c>
      <c r="D94">
        <v>5518602.0599999996</v>
      </c>
    </row>
    <row r="95" spans="1:4">
      <c r="A95" t="s">
        <v>954</v>
      </c>
      <c r="B95" t="s">
        <v>1062</v>
      </c>
      <c r="C95">
        <v>69</v>
      </c>
      <c r="D95">
        <v>4891857.5699999994</v>
      </c>
    </row>
    <row r="96" spans="1:4">
      <c r="A96" t="s">
        <v>954</v>
      </c>
      <c r="B96" t="s">
        <v>1063</v>
      </c>
      <c r="C96">
        <v>54</v>
      </c>
      <c r="D96">
        <v>3943786.43</v>
      </c>
    </row>
    <row r="97" spans="1:4">
      <c r="A97" t="s">
        <v>954</v>
      </c>
      <c r="B97" t="s">
        <v>1064</v>
      </c>
      <c r="C97">
        <v>63</v>
      </c>
      <c r="D97">
        <v>4720116.88</v>
      </c>
    </row>
    <row r="98" spans="1:4">
      <c r="A98" t="s">
        <v>954</v>
      </c>
      <c r="B98" t="s">
        <v>1065</v>
      </c>
      <c r="C98">
        <v>20</v>
      </c>
      <c r="D98">
        <v>1542426.7700000003</v>
      </c>
    </row>
    <row r="99" spans="1:4">
      <c r="A99" t="s">
        <v>954</v>
      </c>
      <c r="B99" t="s">
        <v>1066</v>
      </c>
      <c r="C99">
        <v>24</v>
      </c>
      <c r="D99">
        <v>1895204.4000000001</v>
      </c>
    </row>
    <row r="100" spans="1:4">
      <c r="A100" t="s">
        <v>954</v>
      </c>
      <c r="B100" t="s">
        <v>1067</v>
      </c>
      <c r="C100">
        <v>29</v>
      </c>
      <c r="D100">
        <v>2349334.2999999998</v>
      </c>
    </row>
    <row r="101" spans="1:4">
      <c r="A101" t="s">
        <v>954</v>
      </c>
      <c r="B101" t="s">
        <v>1068</v>
      </c>
      <c r="C101">
        <v>22</v>
      </c>
      <c r="D101">
        <v>1826280.97</v>
      </c>
    </row>
    <row r="102" spans="1:4">
      <c r="A102" t="s">
        <v>954</v>
      </c>
      <c r="B102" t="s">
        <v>1069</v>
      </c>
      <c r="C102">
        <v>33</v>
      </c>
      <c r="D102">
        <v>2800459.5300000003</v>
      </c>
    </row>
    <row r="103" spans="1:4">
      <c r="A103" t="s">
        <v>954</v>
      </c>
      <c r="B103" t="s">
        <v>1070</v>
      </c>
      <c r="C103">
        <v>12</v>
      </c>
      <c r="D103">
        <v>1044437.9500000001</v>
      </c>
    </row>
    <row r="104" spans="1:4">
      <c r="A104" t="s">
        <v>954</v>
      </c>
      <c r="B104" t="s">
        <v>1071</v>
      </c>
      <c r="C104">
        <v>9</v>
      </c>
      <c r="D104">
        <v>800259.36</v>
      </c>
    </row>
    <row r="105" spans="1:4">
      <c r="A105" t="s">
        <v>954</v>
      </c>
      <c r="B105" t="s">
        <v>1072</v>
      </c>
      <c r="C105">
        <v>2</v>
      </c>
      <c r="D105">
        <v>181070.93</v>
      </c>
    </row>
    <row r="106" spans="1:4">
      <c r="A106" t="s">
        <v>954</v>
      </c>
      <c r="B106" t="s">
        <v>1073</v>
      </c>
      <c r="C106">
        <v>6</v>
      </c>
      <c r="D106">
        <v>556845.49</v>
      </c>
    </row>
    <row r="107" spans="1:4">
      <c r="A107" t="s">
        <v>954</v>
      </c>
      <c r="B107" t="s">
        <v>1074</v>
      </c>
      <c r="C107">
        <v>4</v>
      </c>
      <c r="D107">
        <v>380063.87</v>
      </c>
    </row>
    <row r="108" spans="1:4">
      <c r="A108" t="s">
        <v>954</v>
      </c>
      <c r="B108" t="s">
        <v>1075</v>
      </c>
      <c r="C108">
        <v>6</v>
      </c>
      <c r="D108">
        <v>581644.27</v>
      </c>
    </row>
    <row r="109" spans="1:4">
      <c r="A109" t="s">
        <v>954</v>
      </c>
      <c r="B109" t="s">
        <v>1076</v>
      </c>
      <c r="C109">
        <v>5</v>
      </c>
      <c r="D109">
        <v>496306.37</v>
      </c>
    </row>
    <row r="110" spans="1:4">
      <c r="A110" t="s">
        <v>954</v>
      </c>
      <c r="B110" t="s">
        <v>1077</v>
      </c>
      <c r="C110">
        <v>13</v>
      </c>
      <c r="D110">
        <v>1398317.45</v>
      </c>
    </row>
    <row r="111" spans="1:4">
      <c r="A111" t="s">
        <v>956</v>
      </c>
      <c r="B111" t="s">
        <v>1078</v>
      </c>
      <c r="D111">
        <v>13631880.549999975</v>
      </c>
    </row>
    <row r="112" spans="1:4">
      <c r="A112" t="s">
        <v>954</v>
      </c>
      <c r="B112" t="s">
        <v>1079</v>
      </c>
      <c r="C112">
        <v>1</v>
      </c>
      <c r="D112">
        <v>68797.86</v>
      </c>
    </row>
    <row r="113" spans="1:4">
      <c r="A113" t="s">
        <v>954</v>
      </c>
      <c r="B113" t="s">
        <v>1080</v>
      </c>
      <c r="C113">
        <v>1</v>
      </c>
      <c r="D113">
        <v>58247.96</v>
      </c>
    </row>
    <row r="114" spans="1:4">
      <c r="A114" t="s">
        <v>954</v>
      </c>
      <c r="B114" t="s">
        <v>1081</v>
      </c>
      <c r="C114">
        <v>1</v>
      </c>
      <c r="D114">
        <v>57623.14</v>
      </c>
    </row>
    <row r="115" spans="1:4">
      <c r="A115" t="s">
        <v>954</v>
      </c>
      <c r="B115" t="s">
        <v>1082</v>
      </c>
      <c r="C115">
        <v>1</v>
      </c>
      <c r="D115">
        <v>57387.87</v>
      </c>
    </row>
    <row r="116" spans="1:4">
      <c r="A116" t="s">
        <v>954</v>
      </c>
      <c r="B116" t="s">
        <v>1083</v>
      </c>
      <c r="C116">
        <v>1</v>
      </c>
      <c r="D116">
        <v>57141.2</v>
      </c>
    </row>
    <row r="117" spans="1:4">
      <c r="A117" t="s">
        <v>954</v>
      </c>
      <c r="B117" t="s">
        <v>1084</v>
      </c>
      <c r="C117">
        <v>1</v>
      </c>
      <c r="D117">
        <v>56895.56</v>
      </c>
    </row>
    <row r="118" spans="1:4">
      <c r="A118" t="s">
        <v>954</v>
      </c>
      <c r="B118" t="s">
        <v>1085</v>
      </c>
      <c r="C118">
        <v>1</v>
      </c>
      <c r="D118">
        <v>56265.25</v>
      </c>
    </row>
    <row r="119" spans="1:4">
      <c r="A119" t="s">
        <v>954</v>
      </c>
      <c r="B119" t="s">
        <v>1086</v>
      </c>
      <c r="C119">
        <v>1</v>
      </c>
      <c r="D119">
        <v>55532.58</v>
      </c>
    </row>
    <row r="120" spans="1:4">
      <c r="A120" t="s">
        <v>954</v>
      </c>
      <c r="B120" t="s">
        <v>1087</v>
      </c>
      <c r="C120">
        <v>1</v>
      </c>
      <c r="D120">
        <v>55395.86</v>
      </c>
    </row>
    <row r="121" spans="1:4">
      <c r="A121" t="s">
        <v>954</v>
      </c>
      <c r="B121" t="s">
        <v>1088</v>
      </c>
      <c r="C121">
        <v>1</v>
      </c>
      <c r="D121">
        <v>55003.67</v>
      </c>
    </row>
    <row r="122" spans="1:4">
      <c r="A122" t="s">
        <v>954</v>
      </c>
      <c r="B122" t="s">
        <v>1089</v>
      </c>
      <c r="C122">
        <v>1</v>
      </c>
      <c r="D122">
        <v>54838.35</v>
      </c>
    </row>
    <row r="123" spans="1:4">
      <c r="A123" t="s">
        <v>954</v>
      </c>
      <c r="B123" t="s">
        <v>1090</v>
      </c>
      <c r="C123">
        <v>1</v>
      </c>
      <c r="D123">
        <v>68686.02</v>
      </c>
    </row>
    <row r="124" spans="1:4">
      <c r="A124" t="s">
        <v>954</v>
      </c>
      <c r="B124" t="s">
        <v>1091</v>
      </c>
      <c r="C124">
        <v>1</v>
      </c>
      <c r="D124">
        <v>53948.07</v>
      </c>
    </row>
    <row r="125" spans="1:4">
      <c r="A125" t="s">
        <v>954</v>
      </c>
      <c r="B125" t="s">
        <v>1092</v>
      </c>
      <c r="C125">
        <v>2</v>
      </c>
      <c r="D125">
        <v>53938.55</v>
      </c>
    </row>
    <row r="126" spans="1:4">
      <c r="A126" t="s">
        <v>954</v>
      </c>
      <c r="B126" t="s">
        <v>1093</v>
      </c>
      <c r="C126">
        <v>1</v>
      </c>
      <c r="D126">
        <v>53557.09</v>
      </c>
    </row>
    <row r="127" spans="1:4">
      <c r="A127" t="s">
        <v>954</v>
      </c>
      <c r="B127" t="s">
        <v>1094</v>
      </c>
      <c r="C127">
        <v>1</v>
      </c>
      <c r="D127">
        <v>53536.05</v>
      </c>
    </row>
    <row r="128" spans="1:4">
      <c r="A128" t="s">
        <v>954</v>
      </c>
      <c r="B128" t="s">
        <v>1095</v>
      </c>
      <c r="C128">
        <v>1</v>
      </c>
      <c r="D128">
        <v>52177.68</v>
      </c>
    </row>
    <row r="129" spans="1:4">
      <c r="A129" t="s">
        <v>954</v>
      </c>
      <c r="B129" t="s">
        <v>1096</v>
      </c>
      <c r="C129">
        <v>1</v>
      </c>
      <c r="D129">
        <v>51671.96</v>
      </c>
    </row>
    <row r="130" spans="1:4">
      <c r="A130" t="s">
        <v>954</v>
      </c>
      <c r="B130" t="s">
        <v>1097</v>
      </c>
      <c r="C130">
        <v>1</v>
      </c>
      <c r="D130">
        <v>67894.710000000006</v>
      </c>
    </row>
    <row r="131" spans="1:4">
      <c r="A131" t="s">
        <v>954</v>
      </c>
      <c r="B131" t="s">
        <v>1098</v>
      </c>
      <c r="C131">
        <v>1</v>
      </c>
      <c r="D131">
        <v>66909.990000000005</v>
      </c>
    </row>
    <row r="132" spans="1:4">
      <c r="A132" t="s">
        <v>954</v>
      </c>
      <c r="B132" t="s">
        <v>1099</v>
      </c>
      <c r="C132">
        <v>1</v>
      </c>
      <c r="D132">
        <v>65462.6</v>
      </c>
    </row>
    <row r="133" spans="1:4">
      <c r="A133" t="s">
        <v>954</v>
      </c>
      <c r="B133" t="s">
        <v>1100</v>
      </c>
      <c r="C133">
        <v>1</v>
      </c>
      <c r="D133">
        <v>61924.25</v>
      </c>
    </row>
    <row r="134" spans="1:4">
      <c r="A134" t="s">
        <v>954</v>
      </c>
      <c r="B134" t="s">
        <v>1101</v>
      </c>
      <c r="C134">
        <v>1</v>
      </c>
      <c r="D134">
        <v>61008.71</v>
      </c>
    </row>
    <row r="135" spans="1:4">
      <c r="A135" t="s">
        <v>954</v>
      </c>
      <c r="B135" t="s">
        <v>1102</v>
      </c>
      <c r="C135">
        <v>1</v>
      </c>
      <c r="D135">
        <v>60680.9</v>
      </c>
    </row>
    <row r="136" spans="1:4">
      <c r="A136" t="s">
        <v>954</v>
      </c>
      <c r="B136" t="s">
        <v>1103</v>
      </c>
      <c r="C136">
        <v>1</v>
      </c>
      <c r="D136">
        <v>58266.9</v>
      </c>
    </row>
    <row r="137" spans="1:4">
      <c r="A137" t="s">
        <v>954</v>
      </c>
      <c r="B137" t="s">
        <v>1104</v>
      </c>
      <c r="C137">
        <v>2096</v>
      </c>
      <c r="D137">
        <v>24323806.56000004</v>
      </c>
    </row>
    <row r="138" spans="1:4">
      <c r="A138" t="s">
        <v>954</v>
      </c>
      <c r="B138" t="s">
        <v>1105</v>
      </c>
      <c r="C138">
        <v>40677</v>
      </c>
      <c r="D138">
        <v>272004341.84999979</v>
      </c>
    </row>
    <row r="139" spans="1:4">
      <c r="A139" t="s">
        <v>954</v>
      </c>
      <c r="B139" t="s">
        <v>1106</v>
      </c>
      <c r="C139">
        <v>4771</v>
      </c>
      <c r="D139">
        <v>35172181.660000026</v>
      </c>
    </row>
    <row r="140" spans="1:4">
      <c r="A140" t="s">
        <v>954</v>
      </c>
      <c r="B140" t="s">
        <v>1107</v>
      </c>
      <c r="C140">
        <v>5166</v>
      </c>
      <c r="D140">
        <v>37694963.020000033</v>
      </c>
    </row>
    <row r="141" spans="1:4">
      <c r="A141" t="s">
        <v>954</v>
      </c>
      <c r="B141" t="s">
        <v>1108</v>
      </c>
      <c r="C141">
        <v>1774</v>
      </c>
      <c r="D141">
        <v>12339569.559999978</v>
      </c>
    </row>
    <row r="142" spans="1:4">
      <c r="A142" t="s">
        <v>954</v>
      </c>
      <c r="B142" t="s">
        <v>1109</v>
      </c>
      <c r="C142">
        <v>1930</v>
      </c>
      <c r="D142">
        <v>12046163.540000016</v>
      </c>
    </row>
    <row r="143" spans="1:4">
      <c r="A143" t="s">
        <v>954</v>
      </c>
      <c r="B143" t="s">
        <v>1110</v>
      </c>
      <c r="C143">
        <v>371</v>
      </c>
      <c r="D143">
        <v>2516144.890000002</v>
      </c>
    </row>
    <row r="144" spans="1:4">
      <c r="A144" t="s">
        <v>954</v>
      </c>
      <c r="B144" t="s">
        <v>1111</v>
      </c>
      <c r="C144">
        <v>800</v>
      </c>
      <c r="D144">
        <v>5506030.5300000003</v>
      </c>
    </row>
    <row r="145" spans="1:4">
      <c r="A145" t="s">
        <v>954</v>
      </c>
      <c r="B145" t="s">
        <v>1112</v>
      </c>
      <c r="C145">
        <v>3046</v>
      </c>
      <c r="D145">
        <v>21475405.839999955</v>
      </c>
    </row>
    <row r="146" spans="1:4">
      <c r="A146" t="s">
        <v>954</v>
      </c>
      <c r="B146" t="s">
        <v>1113</v>
      </c>
      <c r="C146">
        <v>4393</v>
      </c>
      <c r="D146">
        <v>29786505.259999976</v>
      </c>
    </row>
    <row r="147" spans="1:4">
      <c r="A147" t="s">
        <v>954</v>
      </c>
      <c r="B147" t="s">
        <v>1114</v>
      </c>
      <c r="C147">
        <v>1607</v>
      </c>
      <c r="D147">
        <v>11231522.259999994</v>
      </c>
    </row>
    <row r="148" spans="1:4">
      <c r="A148" t="s">
        <v>954</v>
      </c>
      <c r="B148" t="s">
        <v>1115</v>
      </c>
      <c r="C148">
        <v>9142</v>
      </c>
      <c r="D148">
        <v>64044765.519999973</v>
      </c>
    </row>
    <row r="149" spans="1:4">
      <c r="A149" t="s">
        <v>954</v>
      </c>
      <c r="B149" t="s">
        <v>1116</v>
      </c>
      <c r="C149">
        <v>2187</v>
      </c>
      <c r="D149">
        <v>15066583.200000038</v>
      </c>
    </row>
    <row r="150" spans="1:4">
      <c r="A150" t="s">
        <v>954</v>
      </c>
      <c r="B150" t="s">
        <v>1117</v>
      </c>
      <c r="C150">
        <v>541</v>
      </c>
      <c r="D150">
        <v>3619380.6500000036</v>
      </c>
    </row>
    <row r="151" spans="1:4">
      <c r="A151" t="s">
        <v>955</v>
      </c>
      <c r="B151" t="s">
        <v>1118</v>
      </c>
      <c r="C151">
        <v>0</v>
      </c>
      <c r="D151">
        <v>0</v>
      </c>
    </row>
    <row r="152" spans="1:4">
      <c r="A152" t="s">
        <v>954</v>
      </c>
      <c r="B152" t="s">
        <v>1119</v>
      </c>
      <c r="C152">
        <v>2176</v>
      </c>
      <c r="D152">
        <v>13787393.260000024</v>
      </c>
    </row>
    <row r="153" spans="1:4">
      <c r="A153" t="s">
        <v>954</v>
      </c>
      <c r="B153" t="s">
        <v>1120</v>
      </c>
      <c r="C153">
        <v>1770</v>
      </c>
      <c r="D153">
        <v>11822522.329999987</v>
      </c>
    </row>
    <row r="154" spans="1:4">
      <c r="A154" t="s">
        <v>954</v>
      </c>
      <c r="B154" t="s">
        <v>1121</v>
      </c>
      <c r="C154">
        <v>1538</v>
      </c>
      <c r="D154">
        <v>9916393.7599999942</v>
      </c>
    </row>
    <row r="155" spans="1:4">
      <c r="A155" t="s">
        <v>954</v>
      </c>
      <c r="B155" t="s">
        <v>1122</v>
      </c>
      <c r="C155">
        <v>1421</v>
      </c>
      <c r="D155">
        <v>9200090.4500000067</v>
      </c>
    </row>
    <row r="156" spans="1:4">
      <c r="A156" t="s">
        <v>954</v>
      </c>
      <c r="B156" t="s">
        <v>1123</v>
      </c>
      <c r="C156">
        <v>140</v>
      </c>
      <c r="D156">
        <v>1102532.6799999997</v>
      </c>
    </row>
    <row r="157" spans="1:4">
      <c r="A157" t="s">
        <v>954</v>
      </c>
      <c r="B157" t="s">
        <v>1124</v>
      </c>
      <c r="C157">
        <v>19065</v>
      </c>
      <c r="D157">
        <v>114049429.03000006</v>
      </c>
    </row>
    <row r="158" spans="1:4">
      <c r="A158" t="s">
        <v>954</v>
      </c>
      <c r="B158" t="s">
        <v>1125</v>
      </c>
      <c r="C158">
        <v>23708</v>
      </c>
      <c r="D158">
        <v>182278719.38000086</v>
      </c>
    </row>
    <row r="159" spans="1:4">
      <c r="A159" t="s">
        <v>954</v>
      </c>
      <c r="B159" t="s">
        <v>1126</v>
      </c>
      <c r="C159">
        <v>42773</v>
      </c>
      <c r="D159">
        <v>5.6704768129488166E-2</v>
      </c>
    </row>
    <row r="160" spans="1:4">
      <c r="A160" t="s">
        <v>954</v>
      </c>
      <c r="B160" t="s">
        <v>1127</v>
      </c>
      <c r="C160">
        <v>40516</v>
      </c>
      <c r="D160">
        <v>289740740.72999877</v>
      </c>
    </row>
    <row r="161" spans="1:4">
      <c r="A161" t="s">
        <v>954</v>
      </c>
      <c r="B161" t="s">
        <v>1128</v>
      </c>
      <c r="C161">
        <v>713</v>
      </c>
      <c r="D161">
        <v>5300025.390000008</v>
      </c>
    </row>
    <row r="162" spans="1:4">
      <c r="A162" t="s">
        <v>954</v>
      </c>
      <c r="B162" t="s">
        <v>1129</v>
      </c>
      <c r="C162">
        <v>113</v>
      </c>
      <c r="D162">
        <v>690928.64999999979</v>
      </c>
    </row>
    <row r="163" spans="1:4">
      <c r="A163" t="s">
        <v>954</v>
      </c>
      <c r="B163" t="s">
        <v>1130</v>
      </c>
      <c r="C163">
        <v>46</v>
      </c>
      <c r="D163">
        <v>252900.14999999997</v>
      </c>
    </row>
    <row r="164" spans="1:4">
      <c r="A164" t="s">
        <v>954</v>
      </c>
      <c r="B164" t="s">
        <v>1131</v>
      </c>
      <c r="C164">
        <v>15</v>
      </c>
      <c r="D164">
        <v>87205.27</v>
      </c>
    </row>
    <row r="165" spans="1:4">
      <c r="A165" t="s">
        <v>954</v>
      </c>
      <c r="B165" t="s">
        <v>1132</v>
      </c>
      <c r="C165">
        <v>7</v>
      </c>
      <c r="D165">
        <v>63957.950000000012</v>
      </c>
    </row>
    <row r="166" spans="1:4">
      <c r="A166" t="s">
        <v>954</v>
      </c>
      <c r="B166" t="s">
        <v>1133</v>
      </c>
      <c r="C166">
        <v>21</v>
      </c>
      <c r="D166">
        <v>192390.27</v>
      </c>
    </row>
    <row r="167" spans="1:4">
      <c r="A167" t="s">
        <v>954</v>
      </c>
      <c r="B167" t="s">
        <v>1134</v>
      </c>
      <c r="C167">
        <v>25</v>
      </c>
      <c r="D167">
        <v>-32552.489999999998</v>
      </c>
    </row>
    <row r="168" spans="1:4">
      <c r="A168" t="s">
        <v>954</v>
      </c>
      <c r="B168" t="s">
        <v>1135</v>
      </c>
      <c r="C168">
        <v>22</v>
      </c>
      <c r="D168">
        <v>-2291.510000000002</v>
      </c>
    </row>
    <row r="169" spans="1:4">
      <c r="A169" t="s">
        <v>954</v>
      </c>
      <c r="B169" t="s">
        <v>1136</v>
      </c>
      <c r="C169">
        <v>16</v>
      </c>
      <c r="D169">
        <v>-13376.42</v>
      </c>
    </row>
    <row r="170" spans="1:4">
      <c r="A170" t="s">
        <v>954</v>
      </c>
      <c r="B170" t="s">
        <v>1137</v>
      </c>
      <c r="C170">
        <v>30</v>
      </c>
      <c r="D170">
        <v>14675.380000000005</v>
      </c>
    </row>
    <row r="171" spans="1:4">
      <c r="A171" t="s">
        <v>954</v>
      </c>
      <c r="B171" t="s">
        <v>1138</v>
      </c>
      <c r="C171">
        <v>39</v>
      </c>
      <c r="D171">
        <v>-3530.0500000000011</v>
      </c>
    </row>
    <row r="172" spans="1:4">
      <c r="A172" t="s">
        <v>954</v>
      </c>
      <c r="B172" t="s">
        <v>1139</v>
      </c>
      <c r="C172">
        <v>577</v>
      </c>
      <c r="D172">
        <v>372653.95999999996</v>
      </c>
    </row>
    <row r="173" spans="1:4">
      <c r="A173" t="s">
        <v>954</v>
      </c>
      <c r="B173" t="s">
        <v>1140</v>
      </c>
      <c r="C173">
        <v>3915</v>
      </c>
      <c r="D173">
        <v>4512182.269999994</v>
      </c>
    </row>
    <row r="174" spans="1:4">
      <c r="A174" t="s">
        <v>954</v>
      </c>
      <c r="B174" t="s">
        <v>1141</v>
      </c>
      <c r="C174">
        <v>1344</v>
      </c>
      <c r="D174">
        <v>2739684.6500000008</v>
      </c>
    </row>
    <row r="175" spans="1:4">
      <c r="A175" t="s">
        <v>954</v>
      </c>
      <c r="B175" t="s">
        <v>1142</v>
      </c>
      <c r="C175">
        <v>5155</v>
      </c>
      <c r="D175">
        <v>16583503.5</v>
      </c>
    </row>
    <row r="176" spans="1:4">
      <c r="A176" t="s">
        <v>954</v>
      </c>
      <c r="B176" t="s">
        <v>1143</v>
      </c>
      <c r="C176">
        <v>1359</v>
      </c>
      <c r="D176">
        <v>7681784.1600000076</v>
      </c>
    </row>
    <row r="177" spans="1:4">
      <c r="A177" t="s">
        <v>954</v>
      </c>
      <c r="B177" t="s">
        <v>1144</v>
      </c>
      <c r="C177">
        <v>10591</v>
      </c>
      <c r="D177">
        <v>56659302.170000255</v>
      </c>
    </row>
    <row r="178" spans="1:4">
      <c r="A178" t="s">
        <v>954</v>
      </c>
      <c r="B178" t="s">
        <v>1145</v>
      </c>
      <c r="C178">
        <v>9802</v>
      </c>
      <c r="D178">
        <v>93182599.329999849</v>
      </c>
    </row>
    <row r="179" spans="1:4">
      <c r="A179" t="s">
        <v>954</v>
      </c>
      <c r="B179" t="s">
        <v>1146</v>
      </c>
      <c r="C179">
        <v>8956</v>
      </c>
      <c r="D179">
        <v>97511315.890000448</v>
      </c>
    </row>
    <row r="180" spans="1:4">
      <c r="A180" t="s">
        <v>954</v>
      </c>
      <c r="B180" t="s">
        <v>1147</v>
      </c>
      <c r="C180">
        <v>17</v>
      </c>
      <c r="D180">
        <v>-15391.59</v>
      </c>
    </row>
    <row r="181" spans="1:4">
      <c r="A181" t="s">
        <v>954</v>
      </c>
      <c r="B181" t="s">
        <v>1148</v>
      </c>
      <c r="C181">
        <v>680</v>
      </c>
      <c r="D181">
        <v>11931357.959999999</v>
      </c>
    </row>
    <row r="182" spans="1:4">
      <c r="A182" t="s">
        <v>954</v>
      </c>
      <c r="B182" t="s">
        <v>1149</v>
      </c>
      <c r="C182">
        <v>245</v>
      </c>
      <c r="D182">
        <v>5206231.2</v>
      </c>
    </row>
    <row r="183" spans="1:4">
      <c r="A183" t="s">
        <v>954</v>
      </c>
      <c r="B183" t="s">
        <v>1150</v>
      </c>
      <c r="C183">
        <v>42773</v>
      </c>
      <c r="D183">
        <v>93.611099669476616</v>
      </c>
    </row>
    <row r="184" spans="1:4">
      <c r="A184" t="s">
        <v>954</v>
      </c>
      <c r="B184" t="s">
        <v>1151</v>
      </c>
      <c r="C184">
        <v>11491</v>
      </c>
      <c r="D184">
        <v>82265495.960000038</v>
      </c>
    </row>
    <row r="185" spans="1:4">
      <c r="A185" t="s">
        <v>954</v>
      </c>
      <c r="B185" t="s">
        <v>1152</v>
      </c>
      <c r="C185">
        <v>31282</v>
      </c>
      <c r="D185">
        <v>214062652.45000124</v>
      </c>
    </row>
    <row r="186" spans="1:4">
      <c r="A186" t="s">
        <v>954</v>
      </c>
      <c r="B186" t="s">
        <v>1153</v>
      </c>
      <c r="C186">
        <v>40181</v>
      </c>
      <c r="D186">
        <v>275825423.19999963</v>
      </c>
    </row>
    <row r="187" spans="1:4">
      <c r="A187" t="s">
        <v>954</v>
      </c>
      <c r="B187" t="s">
        <v>1154</v>
      </c>
      <c r="C187">
        <v>2592</v>
      </c>
      <c r="D187">
        <v>20502725.209999956</v>
      </c>
    </row>
    <row r="188" spans="1:4">
      <c r="A188" t="s">
        <v>954</v>
      </c>
      <c r="B188" t="s">
        <v>1155</v>
      </c>
      <c r="C188">
        <v>42773</v>
      </c>
      <c r="D188">
        <v>296328148.40999997</v>
      </c>
    </row>
    <row r="189" spans="1:4">
      <c r="A189" t="s">
        <v>954</v>
      </c>
      <c r="B189" t="s">
        <v>1156</v>
      </c>
      <c r="C189">
        <v>36214</v>
      </c>
      <c r="D189">
        <v>213105917.02000001</v>
      </c>
    </row>
    <row r="190" spans="1:4">
      <c r="A190" t="s">
        <v>954</v>
      </c>
      <c r="B190" t="s">
        <v>1157</v>
      </c>
      <c r="C190">
        <v>5</v>
      </c>
      <c r="D190">
        <v>5483.94</v>
      </c>
    </row>
    <row r="191" spans="1:4">
      <c r="A191" t="s">
        <v>954</v>
      </c>
      <c r="B191" t="s">
        <v>1158</v>
      </c>
      <c r="C191">
        <v>4</v>
      </c>
      <c r="D191">
        <v>3860.09</v>
      </c>
    </row>
    <row r="192" spans="1:4">
      <c r="A192" t="s">
        <v>954</v>
      </c>
      <c r="B192" t="s">
        <v>1159</v>
      </c>
      <c r="C192">
        <v>3</v>
      </c>
      <c r="D192">
        <v>2908.03</v>
      </c>
    </row>
    <row r="193" spans="1:4">
      <c r="A193" t="s">
        <v>954</v>
      </c>
      <c r="B193" t="s">
        <v>1160</v>
      </c>
      <c r="C193">
        <v>3</v>
      </c>
      <c r="D193">
        <v>2226.0500000000002</v>
      </c>
    </row>
    <row r="194" spans="1:4">
      <c r="A194" t="s">
        <v>954</v>
      </c>
      <c r="B194" t="s">
        <v>1161</v>
      </c>
      <c r="C194">
        <v>3</v>
      </c>
      <c r="D194">
        <v>1539.98</v>
      </c>
    </row>
    <row r="195" spans="1:4">
      <c r="A195" t="s">
        <v>954</v>
      </c>
      <c r="B195" t="s">
        <v>1162</v>
      </c>
      <c r="C195">
        <v>3</v>
      </c>
      <c r="D195">
        <v>849.78</v>
      </c>
    </row>
    <row r="196" spans="1:4">
      <c r="A196" t="s">
        <v>954</v>
      </c>
      <c r="B196" t="s">
        <v>1163</v>
      </c>
      <c r="C196">
        <v>1</v>
      </c>
      <c r="D196">
        <v>155.44999999999999</v>
      </c>
    </row>
    <row r="197" spans="1:4">
      <c r="A197" t="s">
        <v>954</v>
      </c>
      <c r="B197" t="s">
        <v>1164</v>
      </c>
      <c r="C197">
        <v>0</v>
      </c>
      <c r="D197">
        <v>0</v>
      </c>
    </row>
    <row r="198" spans="1:4">
      <c r="A198" t="s">
        <v>954</v>
      </c>
      <c r="B198" t="s">
        <v>1165</v>
      </c>
      <c r="C198">
        <v>0</v>
      </c>
      <c r="D198">
        <v>0</v>
      </c>
    </row>
    <row r="199" spans="1:4">
      <c r="A199" t="s">
        <v>954</v>
      </c>
      <c r="B199" t="s">
        <v>1166</v>
      </c>
      <c r="C199">
        <v>35503</v>
      </c>
      <c r="D199">
        <v>204418580.94</v>
      </c>
    </row>
    <row r="200" spans="1:4">
      <c r="A200" t="s">
        <v>954</v>
      </c>
      <c r="B200" t="s">
        <v>1167</v>
      </c>
      <c r="C200">
        <v>34835</v>
      </c>
      <c r="D200">
        <v>195854520.69999999</v>
      </c>
    </row>
    <row r="201" spans="1:4">
      <c r="A201" t="s">
        <v>954</v>
      </c>
      <c r="B201" t="s">
        <v>1168</v>
      </c>
      <c r="C201">
        <v>34238</v>
      </c>
      <c r="D201">
        <v>187399672.19999999</v>
      </c>
    </row>
    <row r="202" spans="1:4">
      <c r="A202" t="s">
        <v>954</v>
      </c>
      <c r="B202" t="s">
        <v>1169</v>
      </c>
      <c r="C202">
        <v>33677</v>
      </c>
      <c r="D202">
        <v>179046628.03</v>
      </c>
    </row>
    <row r="203" spans="1:4">
      <c r="A203" t="s">
        <v>954</v>
      </c>
      <c r="B203" t="s">
        <v>1170</v>
      </c>
      <c r="C203">
        <v>33070</v>
      </c>
      <c r="D203">
        <v>170790486.38999999</v>
      </c>
    </row>
    <row r="204" spans="1:4">
      <c r="A204" t="s">
        <v>954</v>
      </c>
      <c r="B204" t="s">
        <v>1171</v>
      </c>
      <c r="C204">
        <v>32456</v>
      </c>
      <c r="D204">
        <v>162647269.91999999</v>
      </c>
    </row>
    <row r="205" spans="1:4">
      <c r="A205" t="s">
        <v>954</v>
      </c>
      <c r="B205" t="s">
        <v>1172</v>
      </c>
      <c r="C205">
        <v>31871</v>
      </c>
      <c r="D205">
        <v>154614858.00999999</v>
      </c>
    </row>
    <row r="206" spans="1:4">
      <c r="A206" t="s">
        <v>954</v>
      </c>
      <c r="B206" t="s">
        <v>1173</v>
      </c>
      <c r="C206">
        <v>31383</v>
      </c>
      <c r="D206">
        <v>146691814.63</v>
      </c>
    </row>
    <row r="207" spans="1:4">
      <c r="A207" t="s">
        <v>954</v>
      </c>
      <c r="B207" t="s">
        <v>1174</v>
      </c>
      <c r="C207">
        <v>30564</v>
      </c>
      <c r="D207">
        <v>138862038.06</v>
      </c>
    </row>
    <row r="208" spans="1:4">
      <c r="A208" t="s">
        <v>954</v>
      </c>
      <c r="B208" t="s">
        <v>1175</v>
      </c>
      <c r="C208">
        <v>41636</v>
      </c>
      <c r="D208">
        <v>286524564.74000001</v>
      </c>
    </row>
    <row r="209" spans="1:4">
      <c r="A209" t="s">
        <v>954</v>
      </c>
      <c r="B209" t="s">
        <v>1176</v>
      </c>
      <c r="C209">
        <v>29615</v>
      </c>
      <c r="D209">
        <v>131181836.54000001</v>
      </c>
    </row>
    <row r="210" spans="1:4">
      <c r="A210" t="s">
        <v>954</v>
      </c>
      <c r="B210" t="s">
        <v>1177</v>
      </c>
      <c r="C210">
        <v>28793</v>
      </c>
      <c r="D210">
        <v>123696324.11</v>
      </c>
    </row>
    <row r="211" spans="1:4">
      <c r="A211" t="s">
        <v>954</v>
      </c>
      <c r="B211" t="s">
        <v>1178</v>
      </c>
      <c r="C211">
        <v>28074</v>
      </c>
      <c r="D211">
        <v>116360902.88</v>
      </c>
    </row>
    <row r="212" spans="1:4">
      <c r="A212" t="s">
        <v>954</v>
      </c>
      <c r="B212" t="s">
        <v>1179</v>
      </c>
      <c r="C212">
        <v>27094</v>
      </c>
      <c r="D212">
        <v>109145430.73</v>
      </c>
    </row>
    <row r="213" spans="1:4">
      <c r="A213" t="s">
        <v>954</v>
      </c>
      <c r="B213" t="s">
        <v>1180</v>
      </c>
      <c r="C213">
        <v>26174</v>
      </c>
      <c r="D213">
        <v>102117741.72</v>
      </c>
    </row>
    <row r="214" spans="1:4">
      <c r="A214" t="s">
        <v>954</v>
      </c>
      <c r="B214" t="s">
        <v>1181</v>
      </c>
      <c r="C214">
        <v>25296</v>
      </c>
      <c r="D214">
        <v>95268404.579999998</v>
      </c>
    </row>
    <row r="215" spans="1:4">
      <c r="A215" t="s">
        <v>954</v>
      </c>
      <c r="B215" t="s">
        <v>1182</v>
      </c>
      <c r="C215">
        <v>24515</v>
      </c>
      <c r="D215">
        <v>88607477.719999999</v>
      </c>
    </row>
    <row r="216" spans="1:4">
      <c r="A216" t="s">
        <v>954</v>
      </c>
      <c r="B216" t="s">
        <v>1183</v>
      </c>
      <c r="C216">
        <v>23678</v>
      </c>
      <c r="D216">
        <v>82103016.530000001</v>
      </c>
    </row>
    <row r="217" spans="1:4">
      <c r="A217" t="s">
        <v>954</v>
      </c>
      <c r="B217" t="s">
        <v>1184</v>
      </c>
      <c r="C217">
        <v>22769</v>
      </c>
      <c r="D217">
        <v>75758062.030000001</v>
      </c>
    </row>
    <row r="218" spans="1:4">
      <c r="A218" t="s">
        <v>954</v>
      </c>
      <c r="B218" t="s">
        <v>1185</v>
      </c>
      <c r="C218">
        <v>21863</v>
      </c>
      <c r="D218">
        <v>69594032.310000002</v>
      </c>
    </row>
    <row r="219" spans="1:4">
      <c r="A219" t="s">
        <v>954</v>
      </c>
      <c r="B219" t="s">
        <v>1186</v>
      </c>
      <c r="C219">
        <v>40870</v>
      </c>
      <c r="D219">
        <v>276965260.50999999</v>
      </c>
    </row>
    <row r="220" spans="1:4">
      <c r="A220" t="s">
        <v>954</v>
      </c>
      <c r="B220" t="s">
        <v>1187</v>
      </c>
      <c r="C220">
        <v>21116</v>
      </c>
      <c r="D220">
        <v>63611550.57</v>
      </c>
    </row>
    <row r="221" spans="1:4">
      <c r="A221" t="s">
        <v>954</v>
      </c>
      <c r="B221" t="s">
        <v>1188</v>
      </c>
      <c r="C221">
        <v>19786</v>
      </c>
      <c r="D221">
        <v>57776119.420000002</v>
      </c>
    </row>
    <row r="222" spans="1:4">
      <c r="A222" t="s">
        <v>954</v>
      </c>
      <c r="B222" t="s">
        <v>1189</v>
      </c>
      <c r="C222">
        <v>18499</v>
      </c>
      <c r="D222">
        <v>52258321.950000003</v>
      </c>
    </row>
    <row r="223" spans="1:4">
      <c r="A223" t="s">
        <v>954</v>
      </c>
      <c r="B223" t="s">
        <v>1190</v>
      </c>
      <c r="C223">
        <v>17354</v>
      </c>
      <c r="D223">
        <v>47053084.43</v>
      </c>
    </row>
    <row r="224" spans="1:4">
      <c r="A224" t="s">
        <v>954</v>
      </c>
      <c r="B224" t="s">
        <v>1191</v>
      </c>
      <c r="C224">
        <v>16311</v>
      </c>
      <c r="D224">
        <v>42123498.590000004</v>
      </c>
    </row>
    <row r="225" spans="1:4">
      <c r="A225" t="s">
        <v>954</v>
      </c>
      <c r="B225" t="s">
        <v>1192</v>
      </c>
      <c r="C225">
        <v>15034</v>
      </c>
      <c r="D225">
        <v>37436823.020000003</v>
      </c>
    </row>
    <row r="226" spans="1:4">
      <c r="A226" t="s">
        <v>954</v>
      </c>
      <c r="B226" t="s">
        <v>1193</v>
      </c>
      <c r="C226">
        <v>13647</v>
      </c>
      <c r="D226">
        <v>33073169.789999999</v>
      </c>
    </row>
    <row r="227" spans="1:4">
      <c r="A227" t="s">
        <v>954</v>
      </c>
      <c r="B227" t="s">
        <v>1194</v>
      </c>
      <c r="C227">
        <v>12544</v>
      </c>
      <c r="D227">
        <v>29055876.670000002</v>
      </c>
    </row>
    <row r="228" spans="1:4">
      <c r="A228" t="s">
        <v>954</v>
      </c>
      <c r="B228" t="s">
        <v>1195</v>
      </c>
      <c r="C228">
        <v>11515</v>
      </c>
      <c r="D228">
        <v>25326166.260000002</v>
      </c>
    </row>
    <row r="229" spans="1:4">
      <c r="A229" t="s">
        <v>954</v>
      </c>
      <c r="B229" t="s">
        <v>1196</v>
      </c>
      <c r="C229">
        <v>10341</v>
      </c>
      <c r="D229">
        <v>21877054.09</v>
      </c>
    </row>
    <row r="230" spans="1:4">
      <c r="A230" t="s">
        <v>954</v>
      </c>
      <c r="B230" t="s">
        <v>1197</v>
      </c>
      <c r="C230">
        <v>40107</v>
      </c>
      <c r="D230">
        <v>267519098.86000001</v>
      </c>
    </row>
    <row r="231" spans="1:4">
      <c r="A231" t="s">
        <v>954</v>
      </c>
      <c r="B231" t="s">
        <v>1198</v>
      </c>
      <c r="C231">
        <v>9028</v>
      </c>
      <c r="D231">
        <v>18739480.890000001</v>
      </c>
    </row>
    <row r="232" spans="1:4">
      <c r="A232" t="s">
        <v>954</v>
      </c>
      <c r="B232" t="s">
        <v>1199</v>
      </c>
      <c r="C232">
        <v>7735</v>
      </c>
      <c r="D232">
        <v>15946511.060000001</v>
      </c>
    </row>
    <row r="233" spans="1:4">
      <c r="A233" t="s">
        <v>954</v>
      </c>
      <c r="B233" t="s">
        <v>1200</v>
      </c>
      <c r="C233">
        <v>6708</v>
      </c>
      <c r="D233">
        <v>13504143.58</v>
      </c>
    </row>
    <row r="234" spans="1:4">
      <c r="A234" t="s">
        <v>954</v>
      </c>
      <c r="B234" t="s">
        <v>1201</v>
      </c>
      <c r="C234">
        <v>5819</v>
      </c>
      <c r="D234">
        <v>11361308.029999999</v>
      </c>
    </row>
    <row r="235" spans="1:4">
      <c r="A235" t="s">
        <v>954</v>
      </c>
      <c r="B235" t="s">
        <v>1202</v>
      </c>
      <c r="C235">
        <v>4906</v>
      </c>
      <c r="D235">
        <v>9486021.1899999995</v>
      </c>
    </row>
    <row r="236" spans="1:4">
      <c r="A236" t="s">
        <v>954</v>
      </c>
      <c r="B236" t="s">
        <v>1203</v>
      </c>
      <c r="C236">
        <v>4199</v>
      </c>
      <c r="D236">
        <v>7881529.3099999996</v>
      </c>
    </row>
    <row r="237" spans="1:4">
      <c r="A237" t="s">
        <v>954</v>
      </c>
      <c r="B237" t="s">
        <v>1204</v>
      </c>
      <c r="C237">
        <v>3656</v>
      </c>
      <c r="D237">
        <v>6476476.7999999998</v>
      </c>
    </row>
    <row r="238" spans="1:4">
      <c r="A238" t="s">
        <v>954</v>
      </c>
      <c r="B238" t="s">
        <v>1205</v>
      </c>
      <c r="C238">
        <v>3020</v>
      </c>
      <c r="D238">
        <v>5232158.46</v>
      </c>
    </row>
    <row r="239" spans="1:4">
      <c r="A239" t="s">
        <v>954</v>
      </c>
      <c r="B239" t="s">
        <v>1206</v>
      </c>
      <c r="C239">
        <v>2381</v>
      </c>
      <c r="D239">
        <v>4188129.1</v>
      </c>
    </row>
    <row r="240" spans="1:4">
      <c r="A240" t="s">
        <v>954</v>
      </c>
      <c r="B240" t="s">
        <v>1207</v>
      </c>
      <c r="C240">
        <v>1879</v>
      </c>
      <c r="D240">
        <v>3350577.15</v>
      </c>
    </row>
    <row r="241" spans="1:4">
      <c r="A241" t="s">
        <v>954</v>
      </c>
      <c r="B241" t="s">
        <v>1208</v>
      </c>
      <c r="C241">
        <v>39409</v>
      </c>
      <c r="D241">
        <v>258180828.28999999</v>
      </c>
    </row>
    <row r="242" spans="1:4">
      <c r="A242" t="s">
        <v>954</v>
      </c>
      <c r="B242" t="s">
        <v>1209</v>
      </c>
      <c r="C242">
        <v>1437</v>
      </c>
      <c r="D242">
        <v>2671318.85</v>
      </c>
    </row>
    <row r="243" spans="1:4">
      <c r="A243" t="s">
        <v>954</v>
      </c>
      <c r="B243" t="s">
        <v>1210</v>
      </c>
      <c r="C243">
        <v>1076</v>
      </c>
      <c r="D243">
        <v>2137688.6</v>
      </c>
    </row>
    <row r="244" spans="1:4">
      <c r="A244" t="s">
        <v>954</v>
      </c>
      <c r="B244" t="s">
        <v>1211</v>
      </c>
      <c r="C244">
        <v>736</v>
      </c>
      <c r="D244">
        <v>1730398.27</v>
      </c>
    </row>
    <row r="245" spans="1:4">
      <c r="A245" t="s">
        <v>954</v>
      </c>
      <c r="B245" t="s">
        <v>1212</v>
      </c>
      <c r="C245">
        <v>522</v>
      </c>
      <c r="D245">
        <v>1436483.76</v>
      </c>
    </row>
    <row r="246" spans="1:4">
      <c r="A246" t="s">
        <v>954</v>
      </c>
      <c r="B246" t="s">
        <v>1213</v>
      </c>
      <c r="C246">
        <v>435</v>
      </c>
      <c r="D246">
        <v>1219545.03</v>
      </c>
    </row>
    <row r="247" spans="1:4">
      <c r="A247" t="s">
        <v>954</v>
      </c>
      <c r="B247" t="s">
        <v>1214</v>
      </c>
      <c r="C247">
        <v>368</v>
      </c>
      <c r="D247">
        <v>1041575.58</v>
      </c>
    </row>
    <row r="248" spans="1:4">
      <c r="A248" t="s">
        <v>954</v>
      </c>
      <c r="B248" t="s">
        <v>1215</v>
      </c>
      <c r="C248">
        <v>305</v>
      </c>
      <c r="D248">
        <v>891798.08</v>
      </c>
    </row>
    <row r="249" spans="1:4">
      <c r="A249" t="s">
        <v>954</v>
      </c>
      <c r="B249" t="s">
        <v>1216</v>
      </c>
      <c r="C249">
        <v>248</v>
      </c>
      <c r="D249">
        <v>770572.1</v>
      </c>
    </row>
    <row r="250" spans="1:4">
      <c r="A250" t="s">
        <v>954</v>
      </c>
      <c r="B250" t="s">
        <v>1217</v>
      </c>
      <c r="C250">
        <v>199</v>
      </c>
      <c r="D250">
        <v>672522.56</v>
      </c>
    </row>
    <row r="251" spans="1:4">
      <c r="A251" t="s">
        <v>954</v>
      </c>
      <c r="B251" t="s">
        <v>1218</v>
      </c>
      <c r="C251">
        <v>170</v>
      </c>
      <c r="D251">
        <v>591980.28</v>
      </c>
    </row>
    <row r="252" spans="1:4">
      <c r="A252" t="s">
        <v>954</v>
      </c>
      <c r="B252" t="s">
        <v>1219</v>
      </c>
      <c r="C252">
        <v>38878</v>
      </c>
      <c r="D252">
        <v>248952159.88</v>
      </c>
    </row>
    <row r="253" spans="1:4">
      <c r="A253" t="s">
        <v>954</v>
      </c>
      <c r="B253" t="s">
        <v>1220</v>
      </c>
      <c r="C253">
        <v>143</v>
      </c>
      <c r="D253">
        <v>524026.52</v>
      </c>
    </row>
    <row r="254" spans="1:4">
      <c r="A254" t="s">
        <v>954</v>
      </c>
      <c r="B254" t="s">
        <v>1221</v>
      </c>
      <c r="C254">
        <v>124</v>
      </c>
      <c r="D254">
        <v>469248.08</v>
      </c>
    </row>
    <row r="255" spans="1:4">
      <c r="A255" t="s">
        <v>954</v>
      </c>
      <c r="B255" t="s">
        <v>1222</v>
      </c>
      <c r="C255">
        <v>111</v>
      </c>
      <c r="D255">
        <v>422113.29</v>
      </c>
    </row>
    <row r="256" spans="1:4">
      <c r="A256" t="s">
        <v>954</v>
      </c>
      <c r="B256" t="s">
        <v>1223</v>
      </c>
      <c r="C256">
        <v>95</v>
      </c>
      <c r="D256">
        <v>379078.89</v>
      </c>
    </row>
    <row r="257" spans="1:4">
      <c r="A257" t="s">
        <v>954</v>
      </c>
      <c r="B257" t="s">
        <v>1224</v>
      </c>
      <c r="C257">
        <v>85</v>
      </c>
      <c r="D257">
        <v>342959.04</v>
      </c>
    </row>
    <row r="258" spans="1:4">
      <c r="A258" t="s">
        <v>954</v>
      </c>
      <c r="B258" t="s">
        <v>1225</v>
      </c>
      <c r="C258">
        <v>73</v>
      </c>
      <c r="D258">
        <v>311812.67</v>
      </c>
    </row>
    <row r="259" spans="1:4">
      <c r="A259" t="s">
        <v>954</v>
      </c>
      <c r="B259" t="s">
        <v>1226</v>
      </c>
      <c r="C259">
        <v>63</v>
      </c>
      <c r="D259">
        <v>284971.86</v>
      </c>
    </row>
    <row r="260" spans="1:4">
      <c r="A260" t="s">
        <v>954</v>
      </c>
      <c r="B260" t="s">
        <v>1227</v>
      </c>
      <c r="C260">
        <v>60</v>
      </c>
      <c r="D260">
        <v>262751.94</v>
      </c>
    </row>
    <row r="261" spans="1:4">
      <c r="A261" t="s">
        <v>954</v>
      </c>
      <c r="B261" t="s">
        <v>1228</v>
      </c>
      <c r="C261">
        <v>54</v>
      </c>
      <c r="D261">
        <v>241176.9</v>
      </c>
    </row>
    <row r="262" spans="1:4">
      <c r="A262" t="s">
        <v>954</v>
      </c>
      <c r="B262" t="s">
        <v>1229</v>
      </c>
      <c r="C262">
        <v>48</v>
      </c>
      <c r="D262">
        <v>221567.75</v>
      </c>
    </row>
    <row r="263" spans="1:4">
      <c r="A263" t="s">
        <v>954</v>
      </c>
      <c r="B263" t="s">
        <v>1230</v>
      </c>
      <c r="C263">
        <v>38128</v>
      </c>
      <c r="D263">
        <v>239804605.77000001</v>
      </c>
    </row>
    <row r="264" spans="1:4">
      <c r="A264" t="s">
        <v>954</v>
      </c>
      <c r="B264" t="s">
        <v>1231</v>
      </c>
      <c r="C264">
        <v>47</v>
      </c>
      <c r="D264">
        <v>204483.73</v>
      </c>
    </row>
    <row r="265" spans="1:4">
      <c r="A265" t="s">
        <v>954</v>
      </c>
      <c r="B265" t="s">
        <v>1232</v>
      </c>
      <c r="C265">
        <v>45</v>
      </c>
      <c r="D265">
        <v>187935.52</v>
      </c>
    </row>
    <row r="266" spans="1:4">
      <c r="A266" t="s">
        <v>954</v>
      </c>
      <c r="B266" t="s">
        <v>1233</v>
      </c>
      <c r="C266">
        <v>42</v>
      </c>
      <c r="D266">
        <v>172253.62</v>
      </c>
    </row>
    <row r="267" spans="1:4">
      <c r="A267" t="s">
        <v>954</v>
      </c>
      <c r="B267" t="s">
        <v>1234</v>
      </c>
      <c r="C267">
        <v>39</v>
      </c>
      <c r="D267">
        <v>157213.46</v>
      </c>
    </row>
    <row r="268" spans="1:4">
      <c r="A268" t="s">
        <v>954</v>
      </c>
      <c r="B268" t="s">
        <v>1235</v>
      </c>
      <c r="C268">
        <v>37</v>
      </c>
      <c r="D268">
        <v>143474.71</v>
      </c>
    </row>
    <row r="269" spans="1:4">
      <c r="A269" t="s">
        <v>954</v>
      </c>
      <c r="B269" t="s">
        <v>1236</v>
      </c>
      <c r="C269">
        <v>33</v>
      </c>
      <c r="D269">
        <v>130697.97</v>
      </c>
    </row>
    <row r="270" spans="1:4">
      <c r="A270" t="s">
        <v>954</v>
      </c>
      <c r="B270" t="s">
        <v>1237</v>
      </c>
      <c r="C270">
        <v>32</v>
      </c>
      <c r="D270">
        <v>119454.64</v>
      </c>
    </row>
    <row r="271" spans="1:4">
      <c r="A271" t="s">
        <v>954</v>
      </c>
      <c r="B271" t="s">
        <v>1238</v>
      </c>
      <c r="C271">
        <v>31</v>
      </c>
      <c r="D271">
        <v>108204.73</v>
      </c>
    </row>
    <row r="272" spans="1:4">
      <c r="A272" t="s">
        <v>954</v>
      </c>
      <c r="B272" t="s">
        <v>1239</v>
      </c>
      <c r="C272">
        <v>30</v>
      </c>
      <c r="D272">
        <v>97419.22</v>
      </c>
    </row>
    <row r="273" spans="1:4">
      <c r="A273" t="s">
        <v>954</v>
      </c>
      <c r="B273" t="s">
        <v>1240</v>
      </c>
      <c r="C273">
        <v>27</v>
      </c>
      <c r="D273">
        <v>87385.93</v>
      </c>
    </row>
    <row r="274" spans="1:4">
      <c r="A274" t="s">
        <v>954</v>
      </c>
      <c r="B274" t="s">
        <v>1241</v>
      </c>
      <c r="C274">
        <v>37393</v>
      </c>
      <c r="D274">
        <v>230783081.08000001</v>
      </c>
    </row>
    <row r="275" spans="1:4">
      <c r="A275" t="s">
        <v>954</v>
      </c>
      <c r="B275" t="s">
        <v>1242</v>
      </c>
      <c r="C275">
        <v>24</v>
      </c>
      <c r="D275">
        <v>79620.929999999993</v>
      </c>
    </row>
    <row r="276" spans="1:4">
      <c r="A276" t="s">
        <v>954</v>
      </c>
      <c r="B276" t="s">
        <v>1243</v>
      </c>
      <c r="C276">
        <v>21</v>
      </c>
      <c r="D276">
        <v>72718.73</v>
      </c>
    </row>
    <row r="277" spans="1:4">
      <c r="A277" t="s">
        <v>954</v>
      </c>
      <c r="B277" t="s">
        <v>1244</v>
      </c>
      <c r="C277">
        <v>21</v>
      </c>
      <c r="D277">
        <v>66886.84</v>
      </c>
    </row>
    <row r="278" spans="1:4">
      <c r="A278" t="s">
        <v>954</v>
      </c>
      <c r="B278" t="s">
        <v>1245</v>
      </c>
      <c r="C278">
        <v>19</v>
      </c>
      <c r="D278">
        <v>61025.39</v>
      </c>
    </row>
    <row r="279" spans="1:4">
      <c r="A279" t="s">
        <v>954</v>
      </c>
      <c r="B279" t="s">
        <v>1246</v>
      </c>
      <c r="C279">
        <v>18</v>
      </c>
      <c r="D279">
        <v>55438.1</v>
      </c>
    </row>
    <row r="280" spans="1:4">
      <c r="A280" t="s">
        <v>954</v>
      </c>
      <c r="B280" t="s">
        <v>1247</v>
      </c>
      <c r="C280">
        <v>18</v>
      </c>
      <c r="D280">
        <v>50183.71</v>
      </c>
    </row>
    <row r="281" spans="1:4">
      <c r="A281" t="s">
        <v>954</v>
      </c>
      <c r="B281" t="s">
        <v>1248</v>
      </c>
      <c r="C281">
        <v>16</v>
      </c>
      <c r="D281">
        <v>44903.38</v>
      </c>
    </row>
    <row r="282" spans="1:4">
      <c r="A282" t="s">
        <v>954</v>
      </c>
      <c r="B282" t="s">
        <v>1249</v>
      </c>
      <c r="C282">
        <v>14</v>
      </c>
      <c r="D282">
        <v>40647.129999999997</v>
      </c>
    </row>
    <row r="283" spans="1:4">
      <c r="A283" t="s">
        <v>954</v>
      </c>
      <c r="B283" t="s">
        <v>1250</v>
      </c>
      <c r="C283">
        <v>11</v>
      </c>
      <c r="D283">
        <v>36804.42</v>
      </c>
    </row>
    <row r="284" spans="1:4">
      <c r="A284" t="s">
        <v>954</v>
      </c>
      <c r="B284" t="s">
        <v>1251</v>
      </c>
      <c r="C284">
        <v>11</v>
      </c>
      <c r="D284">
        <v>33690.230000000003</v>
      </c>
    </row>
    <row r="285" spans="1:4">
      <c r="A285" t="s">
        <v>954</v>
      </c>
      <c r="B285" t="s">
        <v>1252</v>
      </c>
      <c r="C285">
        <v>36767</v>
      </c>
      <c r="D285">
        <v>221886557.78</v>
      </c>
    </row>
    <row r="286" spans="1:4">
      <c r="A286" t="s">
        <v>954</v>
      </c>
      <c r="B286" t="s">
        <v>1253</v>
      </c>
      <c r="C286">
        <v>11</v>
      </c>
      <c r="D286">
        <v>30560.61</v>
      </c>
    </row>
    <row r="287" spans="1:4">
      <c r="A287" t="s">
        <v>954</v>
      </c>
      <c r="B287" t="s">
        <v>1254</v>
      </c>
      <c r="C287">
        <v>10</v>
      </c>
      <c r="D287">
        <v>27415.47</v>
      </c>
    </row>
    <row r="288" spans="1:4">
      <c r="A288" t="s">
        <v>954</v>
      </c>
      <c r="B288" t="s">
        <v>1255</v>
      </c>
      <c r="C288">
        <v>10</v>
      </c>
      <c r="D288">
        <v>24334.67</v>
      </c>
    </row>
    <row r="289" spans="1:4">
      <c r="A289" t="s">
        <v>954</v>
      </c>
      <c r="B289" t="s">
        <v>1256</v>
      </c>
      <c r="C289">
        <v>9</v>
      </c>
      <c r="D289">
        <v>21238.45</v>
      </c>
    </row>
    <row r="290" spans="1:4">
      <c r="A290" t="s">
        <v>954</v>
      </c>
      <c r="B290" t="s">
        <v>1257</v>
      </c>
      <c r="C290">
        <v>9</v>
      </c>
      <c r="D290">
        <v>18297.88</v>
      </c>
    </row>
    <row r="291" spans="1:4">
      <c r="A291" t="s">
        <v>954</v>
      </c>
      <c r="B291" t="s">
        <v>1258</v>
      </c>
      <c r="C291">
        <v>8</v>
      </c>
      <c r="D291">
        <v>15342.82</v>
      </c>
    </row>
    <row r="292" spans="1:4">
      <c r="A292" t="s">
        <v>954</v>
      </c>
      <c r="B292" t="s">
        <v>1259</v>
      </c>
      <c r="C292">
        <v>7</v>
      </c>
      <c r="D292">
        <v>12876.2</v>
      </c>
    </row>
    <row r="293" spans="1:4">
      <c r="A293" t="s">
        <v>954</v>
      </c>
      <c r="B293" t="s">
        <v>1260</v>
      </c>
      <c r="C293">
        <v>7</v>
      </c>
      <c r="D293">
        <v>10796.82</v>
      </c>
    </row>
    <row r="294" spans="1:4">
      <c r="A294" t="s">
        <v>954</v>
      </c>
      <c r="B294" t="s">
        <v>1261</v>
      </c>
      <c r="C294">
        <v>5</v>
      </c>
      <c r="D294">
        <v>8707.14</v>
      </c>
    </row>
    <row r="295" spans="1:4">
      <c r="A295" t="s">
        <v>954</v>
      </c>
      <c r="B295" t="s">
        <v>1262</v>
      </c>
      <c r="C295">
        <v>5</v>
      </c>
      <c r="D295">
        <v>7099.6</v>
      </c>
    </row>
    <row r="296" spans="1:4">
      <c r="A296" t="s">
        <v>954</v>
      </c>
      <c r="B296" t="s">
        <v>1263</v>
      </c>
      <c r="C296">
        <v>4614</v>
      </c>
      <c r="D296">
        <v>3319298.5400000047</v>
      </c>
    </row>
    <row r="297" spans="1:4">
      <c r="A297" t="s">
        <v>954</v>
      </c>
      <c r="B297" t="s">
        <v>1264</v>
      </c>
      <c r="C297">
        <v>4453</v>
      </c>
      <c r="D297">
        <v>10134352.870000005</v>
      </c>
    </row>
    <row r="298" spans="1:4">
      <c r="A298" t="s">
        <v>954</v>
      </c>
      <c r="B298" t="s">
        <v>1265</v>
      </c>
      <c r="C298">
        <v>4890</v>
      </c>
      <c r="D298">
        <v>19519381.979999918</v>
      </c>
    </row>
    <row r="299" spans="1:4">
      <c r="A299" t="s">
        <v>954</v>
      </c>
      <c r="B299" t="s">
        <v>1266</v>
      </c>
      <c r="C299">
        <v>6024</v>
      </c>
      <c r="D299">
        <v>31744328.830000158</v>
      </c>
    </row>
    <row r="300" spans="1:4">
      <c r="A300" t="s">
        <v>954</v>
      </c>
      <c r="B300" t="s">
        <v>1267</v>
      </c>
      <c r="C300">
        <v>7747</v>
      </c>
      <c r="D300">
        <v>57536569.380000301</v>
      </c>
    </row>
    <row r="301" spans="1:4">
      <c r="A301" t="s">
        <v>954</v>
      </c>
      <c r="B301" t="s">
        <v>1268</v>
      </c>
      <c r="C301">
        <v>8331</v>
      </c>
      <c r="D301">
        <v>80918954.020000517</v>
      </c>
    </row>
    <row r="302" spans="1:4">
      <c r="A302" t="s">
        <v>954</v>
      </c>
      <c r="B302" t="s">
        <v>1269</v>
      </c>
      <c r="C302">
        <v>4834</v>
      </c>
      <c r="D302">
        <v>60710000.910000041</v>
      </c>
    </row>
    <row r="303" spans="1:4">
      <c r="A303" t="s">
        <v>954</v>
      </c>
      <c r="B303" t="s">
        <v>1270</v>
      </c>
      <c r="C303">
        <v>1574</v>
      </c>
      <c r="D303">
        <v>25730891.529999997</v>
      </c>
    </row>
    <row r="304" spans="1:4">
      <c r="A304" t="s">
        <v>954</v>
      </c>
      <c r="B304" t="s">
        <v>1271</v>
      </c>
      <c r="C304">
        <v>210</v>
      </c>
      <c r="D304">
        <v>4422392.0600000015</v>
      </c>
    </row>
    <row r="305" spans="1:4">
      <c r="A305" t="s">
        <v>954</v>
      </c>
      <c r="B305" t="s">
        <v>1272</v>
      </c>
      <c r="C305">
        <v>49</v>
      </c>
      <c r="D305">
        <v>1127663.2299999997</v>
      </c>
    </row>
    <row r="306" spans="1:4">
      <c r="A306" t="s">
        <v>954</v>
      </c>
      <c r="B306" t="s">
        <v>1273</v>
      </c>
      <c r="C306">
        <v>16</v>
      </c>
      <c r="D306">
        <v>375473.19999999995</v>
      </c>
    </row>
    <row r="307" spans="1:4">
      <c r="A307" t="s">
        <v>954</v>
      </c>
      <c r="B307" t="s">
        <v>1274</v>
      </c>
      <c r="C307">
        <v>13</v>
      </c>
      <c r="D307">
        <v>376029.52</v>
      </c>
    </row>
    <row r="308" spans="1:4">
      <c r="A308" t="s">
        <v>954</v>
      </c>
      <c r="B308" t="s">
        <v>1275</v>
      </c>
      <c r="C308">
        <v>8</v>
      </c>
      <c r="D308">
        <v>162300.27000000002</v>
      </c>
    </row>
    <row r="309" spans="1:4">
      <c r="A309" t="s">
        <v>954</v>
      </c>
      <c r="B309" t="s">
        <v>1276</v>
      </c>
      <c r="C309">
        <v>5</v>
      </c>
      <c r="D309">
        <v>118566.59</v>
      </c>
    </row>
    <row r="310" spans="1:4">
      <c r="A310" t="s">
        <v>954</v>
      </c>
      <c r="B310" t="s">
        <v>1277</v>
      </c>
      <c r="C310">
        <v>5</v>
      </c>
      <c r="D310">
        <v>131945.48000000001</v>
      </c>
    </row>
    <row r="311" spans="1:4">
      <c r="A311" t="s">
        <v>954</v>
      </c>
      <c r="B311" t="s">
        <v>1278</v>
      </c>
      <c r="C311">
        <v>42773</v>
      </c>
      <c r="D311">
        <v>35.67359859085613</v>
      </c>
    </row>
    <row r="312" spans="1:4">
      <c r="A312" t="s">
        <v>955</v>
      </c>
      <c r="B312" t="s">
        <v>1279</v>
      </c>
      <c r="C312">
        <v>0</v>
      </c>
      <c r="D312">
        <v>0</v>
      </c>
    </row>
    <row r="313" spans="1:4">
      <c r="A313" t="s">
        <v>955</v>
      </c>
      <c r="B313" t="s">
        <v>1280</v>
      </c>
      <c r="C313">
        <v>0</v>
      </c>
      <c r="D313">
        <v>0</v>
      </c>
    </row>
    <row r="314" spans="1:4">
      <c r="A314" t="s">
        <v>955</v>
      </c>
      <c r="B314" t="s">
        <v>1281</v>
      </c>
      <c r="C314">
        <v>0</v>
      </c>
      <c r="D314">
        <v>0</v>
      </c>
    </row>
    <row r="315" spans="1:4">
      <c r="A315" t="s">
        <v>955</v>
      </c>
      <c r="B315" t="s">
        <v>1282</v>
      </c>
      <c r="C315">
        <v>0</v>
      </c>
      <c r="D315">
        <v>0</v>
      </c>
    </row>
    <row r="316" spans="1:4">
      <c r="A316" t="s">
        <v>955</v>
      </c>
      <c r="B316" t="s">
        <v>1283</v>
      </c>
      <c r="C316">
        <v>0</v>
      </c>
      <c r="D316">
        <v>0</v>
      </c>
    </row>
    <row r="317" spans="1:4">
      <c r="A317" t="s">
        <v>955</v>
      </c>
      <c r="B317" t="s">
        <v>1284</v>
      </c>
      <c r="C317">
        <v>0</v>
      </c>
      <c r="D317">
        <v>0</v>
      </c>
    </row>
    <row r="318" spans="1:4">
      <c r="A318" t="s">
        <v>955</v>
      </c>
      <c r="B318" t="s">
        <v>1285</v>
      </c>
      <c r="C318">
        <v>0</v>
      </c>
      <c r="D318">
        <v>0</v>
      </c>
    </row>
    <row r="319" spans="1:4">
      <c r="A319" t="s">
        <v>955</v>
      </c>
      <c r="B319" t="s">
        <v>1286</v>
      </c>
      <c r="C319">
        <v>0</v>
      </c>
      <c r="D319">
        <v>0</v>
      </c>
    </row>
    <row r="320" spans="1:4">
      <c r="A320" t="s">
        <v>955</v>
      </c>
      <c r="B320" t="s">
        <v>1287</v>
      </c>
      <c r="C320">
        <v>0</v>
      </c>
      <c r="D320">
        <v>0</v>
      </c>
    </row>
    <row r="321" spans="1:4">
      <c r="A321" t="s">
        <v>955</v>
      </c>
      <c r="B321" t="s">
        <v>1288</v>
      </c>
      <c r="C321">
        <v>0</v>
      </c>
      <c r="D321">
        <v>0</v>
      </c>
    </row>
    <row r="322" spans="1:4">
      <c r="A322" t="s">
        <v>955</v>
      </c>
      <c r="B322" t="s">
        <v>1289</v>
      </c>
      <c r="C322">
        <v>0</v>
      </c>
      <c r="D322">
        <v>0</v>
      </c>
    </row>
    <row r="323" spans="1:4">
      <c r="A323" t="s">
        <v>955</v>
      </c>
      <c r="B323" t="s">
        <v>1290</v>
      </c>
      <c r="C323">
        <v>0</v>
      </c>
      <c r="D323">
        <v>0</v>
      </c>
    </row>
    <row r="324" spans="1:4">
      <c r="A324" t="s">
        <v>955</v>
      </c>
      <c r="B324" t="s">
        <v>1291</v>
      </c>
      <c r="C324">
        <v>0</v>
      </c>
      <c r="D324">
        <v>0</v>
      </c>
    </row>
    <row r="325" spans="1:4">
      <c r="A325" t="s">
        <v>955</v>
      </c>
      <c r="B325" t="s">
        <v>1292</v>
      </c>
      <c r="C325">
        <v>0</v>
      </c>
      <c r="D325">
        <v>0</v>
      </c>
    </row>
    <row r="326" spans="1:4">
      <c r="A326" t="s">
        <v>954</v>
      </c>
      <c r="B326" t="s">
        <v>1293</v>
      </c>
      <c r="C326">
        <v>9</v>
      </c>
      <c r="D326">
        <v>66021.39</v>
      </c>
    </row>
    <row r="327" spans="1:4">
      <c r="A327" t="s">
        <v>954</v>
      </c>
      <c r="B327" t="s">
        <v>1294</v>
      </c>
      <c r="C327">
        <v>1576</v>
      </c>
      <c r="D327">
        <v>14712863.669999989</v>
      </c>
    </row>
    <row r="328" spans="1:4">
      <c r="A328" t="s">
        <v>954</v>
      </c>
      <c r="B328" t="s">
        <v>1295</v>
      </c>
      <c r="C328">
        <v>3304</v>
      </c>
      <c r="D328">
        <v>30180269.149999898</v>
      </c>
    </row>
    <row r="329" spans="1:4">
      <c r="A329" t="s">
        <v>954</v>
      </c>
      <c r="B329" t="s">
        <v>1296</v>
      </c>
      <c r="C329">
        <v>3782</v>
      </c>
      <c r="D329">
        <v>32899176.14000012</v>
      </c>
    </row>
    <row r="330" spans="1:4">
      <c r="A330" t="s">
        <v>954</v>
      </c>
      <c r="B330" t="s">
        <v>1297</v>
      </c>
      <c r="C330">
        <v>5981</v>
      </c>
      <c r="D330">
        <v>45995122.680000156</v>
      </c>
    </row>
    <row r="331" spans="1:4">
      <c r="A331" t="s">
        <v>954</v>
      </c>
      <c r="B331" t="s">
        <v>1298</v>
      </c>
      <c r="C331">
        <v>9144</v>
      </c>
      <c r="D331">
        <v>59973335.000000067</v>
      </c>
    </row>
    <row r="332" spans="1:4">
      <c r="A332" t="s">
        <v>954</v>
      </c>
      <c r="B332" t="s">
        <v>1299</v>
      </c>
      <c r="C332">
        <v>6168</v>
      </c>
      <c r="D332">
        <v>40219905.480000161</v>
      </c>
    </row>
    <row r="333" spans="1:4">
      <c r="A333" t="s">
        <v>954</v>
      </c>
      <c r="B333" t="s">
        <v>1300</v>
      </c>
      <c r="C333">
        <v>5554</v>
      </c>
      <c r="D333">
        <v>33869927.96000012</v>
      </c>
    </row>
    <row r="334" spans="1:4">
      <c r="A334" t="s">
        <v>954</v>
      </c>
      <c r="B334" t="s">
        <v>1301</v>
      </c>
      <c r="C334">
        <v>4349</v>
      </c>
      <c r="D334">
        <v>25259786.360000063</v>
      </c>
    </row>
    <row r="335" spans="1:4">
      <c r="A335" t="s">
        <v>954</v>
      </c>
      <c r="B335" t="s">
        <v>1302</v>
      </c>
      <c r="C335">
        <v>542</v>
      </c>
      <c r="D335">
        <v>3055944.9799999972</v>
      </c>
    </row>
    <row r="336" spans="1:4">
      <c r="A336" t="s">
        <v>954</v>
      </c>
      <c r="B336" t="s">
        <v>1303</v>
      </c>
      <c r="C336">
        <v>710</v>
      </c>
      <c r="D336">
        <v>3831404.0099999993</v>
      </c>
    </row>
    <row r="337" spans="1:4">
      <c r="A337" t="s">
        <v>954</v>
      </c>
      <c r="B337" t="s">
        <v>1304</v>
      </c>
      <c r="C337">
        <v>822</v>
      </c>
      <c r="D337">
        <v>3730371.0300000007</v>
      </c>
    </row>
    <row r="338" spans="1:4">
      <c r="A338" t="s">
        <v>954</v>
      </c>
      <c r="B338" t="s">
        <v>1305</v>
      </c>
      <c r="C338">
        <v>503</v>
      </c>
      <c r="D338">
        <v>1817151.0499999991</v>
      </c>
    </row>
    <row r="339" spans="1:4">
      <c r="A339" t="s">
        <v>954</v>
      </c>
      <c r="B339" t="s">
        <v>1306</v>
      </c>
      <c r="C339">
        <v>329</v>
      </c>
      <c r="D339">
        <v>716869.50999999919</v>
      </c>
    </row>
    <row r="340" spans="1:4">
      <c r="A340" t="s">
        <v>954</v>
      </c>
      <c r="B340" t="s">
        <v>1307</v>
      </c>
      <c r="C340">
        <v>42773</v>
      </c>
      <c r="D340">
        <v>57.937501078620471</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4"/>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552</v>
      </c>
      <c r="B1" t="s">
        <v>553</v>
      </c>
      <c r="C1" t="s">
        <v>554</v>
      </c>
      <c r="D1" t="s">
        <v>555</v>
      </c>
      <c r="E1" t="s">
        <v>556</v>
      </c>
    </row>
    <row r="2" spans="1:5">
      <c r="A2">
        <v>25</v>
      </c>
      <c r="B2" t="s">
        <v>1308</v>
      </c>
      <c r="D2" s="964">
        <v>45814</v>
      </c>
      <c r="E2" t="s">
        <v>1309</v>
      </c>
    </row>
    <row r="3" spans="1:5">
      <c r="A3">
        <v>25</v>
      </c>
      <c r="B3" t="s">
        <v>1310</v>
      </c>
      <c r="D3" s="964">
        <v>45820</v>
      </c>
      <c r="E3" t="s">
        <v>1309</v>
      </c>
    </row>
    <row r="4" spans="1:5">
      <c r="A4">
        <v>25</v>
      </c>
      <c r="B4" t="s">
        <v>1311</v>
      </c>
      <c r="D4" s="964">
        <v>45824</v>
      </c>
      <c r="E4" t="s">
        <v>1309</v>
      </c>
    </row>
    <row r="5" spans="1:5">
      <c r="A5">
        <v>25</v>
      </c>
      <c r="B5" t="s">
        <v>1312</v>
      </c>
      <c r="C5">
        <v>55</v>
      </c>
      <c r="E5" t="s">
        <v>1309</v>
      </c>
    </row>
    <row r="6" spans="1:5">
      <c r="A6">
        <v>25</v>
      </c>
      <c r="B6" t="s">
        <v>1313</v>
      </c>
      <c r="D6" s="964">
        <v>45824</v>
      </c>
      <c r="E6" t="s">
        <v>1309</v>
      </c>
    </row>
    <row r="7" spans="1:5">
      <c r="A7">
        <v>25</v>
      </c>
      <c r="B7" t="s">
        <v>1314</v>
      </c>
      <c r="D7" s="964">
        <v>45791</v>
      </c>
      <c r="E7" t="s">
        <v>1309</v>
      </c>
    </row>
    <row r="8" spans="1:5">
      <c r="A8">
        <v>25</v>
      </c>
      <c r="B8" t="s">
        <v>1315</v>
      </c>
      <c r="C8">
        <v>310618786.55999994</v>
      </c>
      <c r="E8" t="s">
        <v>1309</v>
      </c>
    </row>
    <row r="9" spans="1:5">
      <c r="A9">
        <v>25</v>
      </c>
      <c r="B9" t="s">
        <v>1316</v>
      </c>
      <c r="C9">
        <v>325648786.45999998</v>
      </c>
      <c r="E9" t="s">
        <v>1309</v>
      </c>
    </row>
    <row r="10" spans="1:5">
      <c r="A10">
        <v>25</v>
      </c>
      <c r="B10" t="s">
        <v>1317</v>
      </c>
      <c r="C10">
        <v>13412980.399999999</v>
      </c>
      <c r="E10" t="s">
        <v>1309</v>
      </c>
    </row>
    <row r="11" spans="1:5">
      <c r="A11">
        <v>25</v>
      </c>
      <c r="B11" t="s">
        <v>1318</v>
      </c>
      <c r="C11">
        <v>14126678.49</v>
      </c>
      <c r="E11" t="s">
        <v>1309</v>
      </c>
    </row>
    <row r="12" spans="1:5">
      <c r="A12">
        <v>25</v>
      </c>
      <c r="B12" t="s">
        <v>1319</v>
      </c>
      <c r="C12">
        <v>1376611.35</v>
      </c>
      <c r="E12" t="s">
        <v>1309</v>
      </c>
    </row>
    <row r="13" spans="1:5">
      <c r="A13">
        <v>25</v>
      </c>
      <c r="B13" t="s">
        <v>1320</v>
      </c>
      <c r="C13">
        <v>1443068.25</v>
      </c>
      <c r="E13" t="s">
        <v>1309</v>
      </c>
    </row>
    <row r="14" spans="1:5">
      <c r="A14">
        <v>25</v>
      </c>
      <c r="B14" t="s">
        <v>1321</v>
      </c>
      <c r="C14">
        <v>877657.75</v>
      </c>
      <c r="E14" t="s">
        <v>1309</v>
      </c>
    </row>
    <row r="15" spans="1:5">
      <c r="A15">
        <v>25</v>
      </c>
      <c r="B15" t="s">
        <v>1322</v>
      </c>
      <c r="C15">
        <v>903321.41</v>
      </c>
      <c r="E15" t="s">
        <v>1309</v>
      </c>
    </row>
    <row r="16" spans="1:5">
      <c r="A16">
        <v>25</v>
      </c>
      <c r="B16" t="s">
        <v>1323</v>
      </c>
      <c r="C16">
        <v>0</v>
      </c>
      <c r="E16" t="s">
        <v>1309</v>
      </c>
    </row>
    <row r="17" spans="1:5">
      <c r="A17">
        <v>25</v>
      </c>
      <c r="B17" t="s">
        <v>1324</v>
      </c>
      <c r="C17">
        <v>0</v>
      </c>
      <c r="E17" t="s">
        <v>1309</v>
      </c>
    </row>
    <row r="18" spans="1:5">
      <c r="A18">
        <v>25</v>
      </c>
      <c r="B18" t="s">
        <v>1325</v>
      </c>
      <c r="C18">
        <v>296328148.40999991</v>
      </c>
      <c r="E18" t="s">
        <v>1309</v>
      </c>
    </row>
    <row r="19" spans="1:5">
      <c r="A19">
        <v>25</v>
      </c>
      <c r="B19" t="s">
        <v>1326</v>
      </c>
      <c r="C19">
        <v>310618786.55999994</v>
      </c>
      <c r="E19" t="s">
        <v>1309</v>
      </c>
    </row>
    <row r="20" spans="1:5">
      <c r="A20">
        <v>25</v>
      </c>
      <c r="B20" t="s">
        <v>1327</v>
      </c>
      <c r="C20">
        <v>160.43999998038635</v>
      </c>
      <c r="E20" t="s">
        <v>1309</v>
      </c>
    </row>
    <row r="21" spans="1:5">
      <c r="A21">
        <v>25</v>
      </c>
      <c r="B21" t="s">
        <v>1328</v>
      </c>
      <c r="C21">
        <v>5.339999983261805</v>
      </c>
      <c r="E21" t="s">
        <v>1309</v>
      </c>
    </row>
    <row r="22" spans="1:5">
      <c r="A22">
        <v>25</v>
      </c>
      <c r="B22" t="s">
        <v>1329</v>
      </c>
      <c r="C22">
        <v>296328308.8499999</v>
      </c>
      <c r="E22" t="s">
        <v>1309</v>
      </c>
    </row>
    <row r="23" spans="1:5">
      <c r="A23">
        <v>25</v>
      </c>
      <c r="B23" t="s">
        <v>1330</v>
      </c>
      <c r="C23">
        <v>310618791.89999992</v>
      </c>
      <c r="E23" t="s">
        <v>1309</v>
      </c>
    </row>
    <row r="24" spans="1:5">
      <c r="A24">
        <v>25</v>
      </c>
      <c r="B24" t="s">
        <v>1331</v>
      </c>
      <c r="C24">
        <v>6000000</v>
      </c>
      <c r="E24" t="s">
        <v>1309</v>
      </c>
    </row>
    <row r="25" spans="1:5">
      <c r="A25">
        <v>25</v>
      </c>
      <c r="B25" t="s">
        <v>1332</v>
      </c>
      <c r="C25">
        <v>6000000</v>
      </c>
      <c r="E25" t="s">
        <v>1309</v>
      </c>
    </row>
    <row r="26" spans="1:5">
      <c r="A26">
        <v>25</v>
      </c>
      <c r="B26" t="s">
        <v>1333</v>
      </c>
      <c r="E26" t="s">
        <v>1309</v>
      </c>
    </row>
    <row r="27" spans="1:5">
      <c r="A27">
        <v>25</v>
      </c>
      <c r="B27" t="s">
        <v>1334</v>
      </c>
      <c r="C27">
        <v>6000000</v>
      </c>
      <c r="E27" t="s">
        <v>1309</v>
      </c>
    </row>
    <row r="28" spans="1:5">
      <c r="A28">
        <v>25</v>
      </c>
      <c r="B28" t="s">
        <v>1335</v>
      </c>
      <c r="C28">
        <v>6000000</v>
      </c>
      <c r="E28" t="s">
        <v>1309</v>
      </c>
    </row>
    <row r="29" spans="1:5">
      <c r="A29">
        <v>25</v>
      </c>
      <c r="B29" t="s">
        <v>1336</v>
      </c>
      <c r="C29">
        <v>6000000</v>
      </c>
      <c r="E29" t="s">
        <v>1309</v>
      </c>
    </row>
    <row r="30" spans="1:5">
      <c r="A30">
        <v>25</v>
      </c>
      <c r="B30" t="s">
        <v>1337</v>
      </c>
      <c r="E30" t="s">
        <v>246</v>
      </c>
    </row>
    <row r="31" spans="1:5">
      <c r="A31">
        <v>25</v>
      </c>
      <c r="B31" t="s">
        <v>1338</v>
      </c>
      <c r="E31" t="s">
        <v>246</v>
      </c>
    </row>
    <row r="32" spans="1:5">
      <c r="A32">
        <v>25</v>
      </c>
      <c r="B32" t="s">
        <v>1339</v>
      </c>
      <c r="E32" t="s">
        <v>1309</v>
      </c>
    </row>
    <row r="33" spans="1:5">
      <c r="A33">
        <v>25</v>
      </c>
      <c r="B33" t="s">
        <v>1340</v>
      </c>
      <c r="E33" t="s">
        <v>1309</v>
      </c>
    </row>
    <row r="34" spans="1:5">
      <c r="A34">
        <v>25</v>
      </c>
      <c r="B34" t="s">
        <v>1341</v>
      </c>
      <c r="E34" t="s">
        <v>246</v>
      </c>
    </row>
    <row r="35" spans="1:5">
      <c r="A35">
        <v>25</v>
      </c>
      <c r="B35" t="s">
        <v>1342</v>
      </c>
      <c r="C35">
        <v>0</v>
      </c>
      <c r="E35" t="s">
        <v>246</v>
      </c>
    </row>
    <row r="36" spans="1:5">
      <c r="A36">
        <v>25</v>
      </c>
      <c r="B36" t="s">
        <v>1343</v>
      </c>
      <c r="C36">
        <v>0</v>
      </c>
      <c r="E36" t="s">
        <v>1309</v>
      </c>
    </row>
    <row r="37" spans="1:5">
      <c r="A37">
        <v>25</v>
      </c>
      <c r="B37" t="s">
        <v>1344</v>
      </c>
      <c r="E37" t="s">
        <v>43</v>
      </c>
    </row>
    <row r="38" spans="1:5">
      <c r="A38">
        <v>25</v>
      </c>
      <c r="B38" t="s">
        <v>1345</v>
      </c>
      <c r="E38" t="s">
        <v>246</v>
      </c>
    </row>
    <row r="39" spans="1:5">
      <c r="A39">
        <v>25</v>
      </c>
      <c r="B39" t="s">
        <v>1346</v>
      </c>
      <c r="E39" t="s">
        <v>246</v>
      </c>
    </row>
    <row r="40" spans="1:5">
      <c r="A40">
        <v>25</v>
      </c>
      <c r="B40" t="s">
        <v>1347</v>
      </c>
      <c r="E40" t="s">
        <v>1309</v>
      </c>
    </row>
    <row r="41" spans="1:5">
      <c r="A41">
        <v>25</v>
      </c>
      <c r="B41" t="s">
        <v>1348</v>
      </c>
      <c r="E41" t="s">
        <v>1309</v>
      </c>
    </row>
    <row r="42" spans="1:5">
      <c r="A42">
        <v>25</v>
      </c>
      <c r="B42" t="s">
        <v>1349</v>
      </c>
      <c r="E42" t="s">
        <v>246</v>
      </c>
    </row>
    <row r="43" spans="1:5">
      <c r="A43">
        <v>25</v>
      </c>
      <c r="B43" t="s">
        <v>1350</v>
      </c>
      <c r="C43">
        <v>0</v>
      </c>
      <c r="E43" t="s">
        <v>246</v>
      </c>
    </row>
    <row r="44" spans="1:5">
      <c r="A44">
        <v>25</v>
      </c>
      <c r="B44" t="s">
        <v>1351</v>
      </c>
      <c r="C44">
        <v>0</v>
      </c>
      <c r="E44" t="s">
        <v>1309</v>
      </c>
    </row>
    <row r="45" spans="1:5">
      <c r="A45">
        <v>25</v>
      </c>
      <c r="B45" t="s">
        <v>1352</v>
      </c>
      <c r="E45" t="s">
        <v>43</v>
      </c>
    </row>
    <row r="46" spans="1:5">
      <c r="A46">
        <v>25</v>
      </c>
      <c r="B46" t="s">
        <v>1353</v>
      </c>
      <c r="C46">
        <v>0</v>
      </c>
      <c r="E46" t="s">
        <v>1309</v>
      </c>
    </row>
    <row r="47" spans="1:5">
      <c r="A47">
        <v>25</v>
      </c>
      <c r="B47" t="s">
        <v>1354</v>
      </c>
      <c r="C47">
        <v>877657.75</v>
      </c>
      <c r="E47" t="s">
        <v>1309</v>
      </c>
    </row>
    <row r="48" spans="1:5">
      <c r="A48">
        <v>25</v>
      </c>
      <c r="B48" t="s">
        <v>1355</v>
      </c>
      <c r="C48">
        <v>282796.34999999998</v>
      </c>
      <c r="E48" t="s">
        <v>1309</v>
      </c>
    </row>
    <row r="49" spans="1:5">
      <c r="A49">
        <v>25</v>
      </c>
      <c r="B49" t="s">
        <v>1356</v>
      </c>
      <c r="C49">
        <v>0</v>
      </c>
      <c r="E49" t="s">
        <v>1309</v>
      </c>
    </row>
    <row r="50" spans="1:5">
      <c r="A50">
        <v>25</v>
      </c>
      <c r="B50" t="s">
        <v>1357</v>
      </c>
      <c r="C50">
        <v>117032563.39999998</v>
      </c>
      <c r="E50" t="s">
        <v>1309</v>
      </c>
    </row>
    <row r="51" spans="1:5">
      <c r="A51">
        <v>25</v>
      </c>
      <c r="B51" t="s">
        <v>1358</v>
      </c>
      <c r="C51">
        <v>18920105.991177928</v>
      </c>
      <c r="E51" t="s">
        <v>1309</v>
      </c>
    </row>
    <row r="52" spans="1:5">
      <c r="A52">
        <v>25</v>
      </c>
      <c r="B52" t="s">
        <v>1359</v>
      </c>
      <c r="C52">
        <v>4431</v>
      </c>
      <c r="E52" t="s">
        <v>1309</v>
      </c>
    </row>
    <row r="53" spans="1:5">
      <c r="A53">
        <v>25</v>
      </c>
      <c r="B53" t="s">
        <v>1360</v>
      </c>
      <c r="C53">
        <v>3.5486676085226536E-2</v>
      </c>
      <c r="E53" t="s">
        <v>1309</v>
      </c>
    </row>
    <row r="54" spans="1:5">
      <c r="A54">
        <v>25</v>
      </c>
      <c r="B54" t="s">
        <v>1361</v>
      </c>
      <c r="C54">
        <v>3.5719103482935638E-2</v>
      </c>
      <c r="E54" t="s">
        <v>1309</v>
      </c>
    </row>
    <row r="55" spans="1:5">
      <c r="A55">
        <v>25</v>
      </c>
      <c r="B55" t="s">
        <v>1362</v>
      </c>
      <c r="C55">
        <v>3.59369915028852E-2</v>
      </c>
      <c r="E55" t="s">
        <v>1309</v>
      </c>
    </row>
    <row r="56" spans="1:5">
      <c r="A56">
        <v>25</v>
      </c>
      <c r="B56" t="s">
        <v>1363</v>
      </c>
      <c r="C56">
        <v>0</v>
      </c>
      <c r="E56" t="s">
        <v>1309</v>
      </c>
    </row>
    <row r="57" spans="1:5">
      <c r="A57">
        <v>25</v>
      </c>
      <c r="B57" t="s">
        <v>1364</v>
      </c>
      <c r="C57">
        <v>0</v>
      </c>
      <c r="E57" t="s">
        <v>1309</v>
      </c>
    </row>
    <row r="58" spans="1:5">
      <c r="A58">
        <v>25</v>
      </c>
      <c r="B58" t="s">
        <v>1365</v>
      </c>
      <c r="C58">
        <v>0</v>
      </c>
      <c r="E58" t="s">
        <v>1309</v>
      </c>
    </row>
    <row r="59" spans="1:5">
      <c r="A59">
        <v>25</v>
      </c>
      <c r="B59" t="s">
        <v>1366</v>
      </c>
      <c r="C59">
        <v>0</v>
      </c>
      <c r="E59" t="s">
        <v>1309</v>
      </c>
    </row>
    <row r="60" spans="1:5">
      <c r="A60">
        <v>25</v>
      </c>
      <c r="B60" t="s">
        <v>1367</v>
      </c>
      <c r="C60">
        <v>0</v>
      </c>
      <c r="E60" t="s">
        <v>1309</v>
      </c>
    </row>
    <row r="61" spans="1:5">
      <c r="A61">
        <v>25</v>
      </c>
      <c r="B61" t="s">
        <v>1368</v>
      </c>
      <c r="C61">
        <v>0</v>
      </c>
      <c r="E61" t="s">
        <v>1309</v>
      </c>
    </row>
    <row r="62" spans="1:5">
      <c r="A62">
        <v>25</v>
      </c>
      <c r="B62" t="s">
        <v>1369</v>
      </c>
      <c r="C62">
        <v>0</v>
      </c>
      <c r="E62" t="s">
        <v>1309</v>
      </c>
    </row>
    <row r="63" spans="1:5">
      <c r="A63">
        <v>25</v>
      </c>
      <c r="B63" t="s">
        <v>1370</v>
      </c>
      <c r="C63">
        <v>0</v>
      </c>
      <c r="E63" t="s">
        <v>1309</v>
      </c>
    </row>
    <row r="64" spans="1:5">
      <c r="A64">
        <v>25</v>
      </c>
      <c r="B64" t="s">
        <v>1371</v>
      </c>
      <c r="C64">
        <v>0</v>
      </c>
      <c r="E64" t="s">
        <v>1309</v>
      </c>
    </row>
    <row r="65" spans="1:5">
      <c r="A65">
        <v>25</v>
      </c>
      <c r="B65" t="s">
        <v>1372</v>
      </c>
      <c r="C65">
        <v>0</v>
      </c>
      <c r="E65" t="s">
        <v>1309</v>
      </c>
    </row>
    <row r="66" spans="1:5">
      <c r="A66">
        <v>25</v>
      </c>
      <c r="B66" t="s">
        <v>1373</v>
      </c>
      <c r="C66">
        <v>0</v>
      </c>
      <c r="E66" t="s">
        <v>1309</v>
      </c>
    </row>
    <row r="67" spans="1:5">
      <c r="A67">
        <v>25</v>
      </c>
      <c r="B67" t="s">
        <v>1374</v>
      </c>
      <c r="C67">
        <v>0</v>
      </c>
      <c r="E67" t="s">
        <v>1309</v>
      </c>
    </row>
    <row r="68" spans="1:5">
      <c r="A68">
        <v>25</v>
      </c>
      <c r="B68" t="s">
        <v>1375</v>
      </c>
      <c r="C68">
        <v>0</v>
      </c>
      <c r="E68" t="s">
        <v>1309</v>
      </c>
    </row>
    <row r="69" spans="1:5">
      <c r="A69">
        <v>25</v>
      </c>
      <c r="B69" t="s">
        <v>1376</v>
      </c>
      <c r="C69">
        <v>0</v>
      </c>
      <c r="E69" t="s">
        <v>1309</v>
      </c>
    </row>
    <row r="70" spans="1:5">
      <c r="A70">
        <v>25</v>
      </c>
      <c r="B70" t="s">
        <v>1377</v>
      </c>
      <c r="C70">
        <v>0</v>
      </c>
      <c r="E70" t="s">
        <v>1309</v>
      </c>
    </row>
    <row r="71" spans="1:5">
      <c r="A71">
        <v>25</v>
      </c>
      <c r="B71" t="s">
        <v>1378</v>
      </c>
      <c r="C71">
        <v>0</v>
      </c>
      <c r="E71" t="s">
        <v>1309</v>
      </c>
    </row>
    <row r="72" spans="1:5">
      <c r="A72">
        <v>25</v>
      </c>
      <c r="B72" t="s">
        <v>1379</v>
      </c>
      <c r="C72">
        <v>0</v>
      </c>
      <c r="E72" t="s">
        <v>1309</v>
      </c>
    </row>
    <row r="73" spans="1:5">
      <c r="A73">
        <v>25</v>
      </c>
      <c r="B73" t="s">
        <v>1380</v>
      </c>
      <c r="C73">
        <v>0</v>
      </c>
      <c r="E73" t="s">
        <v>1309</v>
      </c>
    </row>
    <row r="74" spans="1:5">
      <c r="A74">
        <v>25</v>
      </c>
      <c r="B74" t="s">
        <v>1381</v>
      </c>
      <c r="C74">
        <v>0</v>
      </c>
      <c r="E74" t="s">
        <v>1309</v>
      </c>
    </row>
    <row r="75" spans="1:5">
      <c r="A75">
        <v>25</v>
      </c>
      <c r="B75" t="s">
        <v>1382</v>
      </c>
      <c r="C75">
        <v>0</v>
      </c>
      <c r="E75" t="s">
        <v>1309</v>
      </c>
    </row>
    <row r="76" spans="1:5">
      <c r="A76">
        <v>25</v>
      </c>
      <c r="B76" t="s">
        <v>1383</v>
      </c>
      <c r="C76">
        <v>0</v>
      </c>
      <c r="E76" t="s">
        <v>1309</v>
      </c>
    </row>
    <row r="77" spans="1:5">
      <c r="A77">
        <v>25</v>
      </c>
      <c r="B77" t="s">
        <v>1384</v>
      </c>
      <c r="C77">
        <v>0</v>
      </c>
      <c r="E77" t="s">
        <v>1309</v>
      </c>
    </row>
    <row r="78" spans="1:5">
      <c r="A78">
        <v>25</v>
      </c>
      <c r="B78" t="s">
        <v>1385</v>
      </c>
      <c r="C78">
        <v>0</v>
      </c>
      <c r="E78" t="s">
        <v>1309</v>
      </c>
    </row>
    <row r="79" spans="1:5">
      <c r="A79">
        <v>25</v>
      </c>
      <c r="B79" t="s">
        <v>1386</v>
      </c>
      <c r="C79">
        <v>0</v>
      </c>
      <c r="E79" t="s">
        <v>1309</v>
      </c>
    </row>
    <row r="80" spans="1:5">
      <c r="A80">
        <v>25</v>
      </c>
      <c r="B80" t="s">
        <v>1387</v>
      </c>
      <c r="C80">
        <v>0</v>
      </c>
      <c r="E80" t="s">
        <v>1309</v>
      </c>
    </row>
    <row r="81" spans="1:5">
      <c r="A81">
        <v>25</v>
      </c>
      <c r="B81" t="s">
        <v>1388</v>
      </c>
      <c r="C81">
        <v>877657.75</v>
      </c>
      <c r="E81" t="s">
        <v>1309</v>
      </c>
    </row>
    <row r="82" spans="1:5">
      <c r="A82">
        <v>25</v>
      </c>
      <c r="B82" t="s">
        <v>1389</v>
      </c>
      <c r="C82">
        <v>877657.75</v>
      </c>
      <c r="E82" t="s">
        <v>1309</v>
      </c>
    </row>
    <row r="83" spans="1:5">
      <c r="A83">
        <v>25</v>
      </c>
      <c r="B83" t="s">
        <v>1390</v>
      </c>
      <c r="C83">
        <v>0</v>
      </c>
      <c r="E83" t="s">
        <v>1309</v>
      </c>
    </row>
    <row r="84" spans="1:5">
      <c r="A84">
        <v>25</v>
      </c>
      <c r="B84" t="s">
        <v>1391</v>
      </c>
      <c r="C84">
        <v>3.59369915028852E-2</v>
      </c>
      <c r="E84" t="s">
        <v>1309</v>
      </c>
    </row>
    <row r="85" spans="1:5">
      <c r="A85">
        <v>25</v>
      </c>
      <c r="B85" t="s">
        <v>1392</v>
      </c>
      <c r="C85">
        <v>6.3399999830289744</v>
      </c>
      <c r="E85" t="s">
        <v>1309</v>
      </c>
    </row>
    <row r="86" spans="1:5">
      <c r="A86">
        <v>25</v>
      </c>
      <c r="B86" t="s">
        <v>1328</v>
      </c>
      <c r="C86">
        <v>5.339999983261805</v>
      </c>
      <c r="E86" t="s">
        <v>1309</v>
      </c>
    </row>
    <row r="87" spans="1:5">
      <c r="A87">
        <v>25</v>
      </c>
      <c r="B87" t="s">
        <v>1327</v>
      </c>
      <c r="C87">
        <v>160.43999998038635</v>
      </c>
      <c r="E87" t="s">
        <v>1309</v>
      </c>
    </row>
    <row r="88" spans="1:5">
      <c r="A88">
        <v>25</v>
      </c>
      <c r="B88" t="s">
        <v>1393</v>
      </c>
      <c r="C88">
        <v>1.5368231918187295E-2</v>
      </c>
      <c r="E88" t="s">
        <v>1309</v>
      </c>
    </row>
    <row r="89" spans="1:5">
      <c r="A89">
        <v>25</v>
      </c>
      <c r="B89" t="s">
        <v>1394</v>
      </c>
      <c r="C89">
        <v>270118791.90000021</v>
      </c>
      <c r="E89" t="s">
        <v>1309</v>
      </c>
    </row>
    <row r="90" spans="1:5">
      <c r="A90">
        <v>25</v>
      </c>
      <c r="B90" t="s">
        <v>1395</v>
      </c>
      <c r="C90">
        <v>211397315.40000018</v>
      </c>
      <c r="E90" t="s">
        <v>1309</v>
      </c>
    </row>
    <row r="91" spans="1:5">
      <c r="A91">
        <v>25</v>
      </c>
      <c r="B91" t="s">
        <v>1396</v>
      </c>
      <c r="C91">
        <v>14507658.900000008</v>
      </c>
      <c r="E91" t="s">
        <v>1309</v>
      </c>
    </row>
    <row r="92" spans="1:5">
      <c r="A92">
        <v>25</v>
      </c>
      <c r="B92" t="s">
        <v>1397</v>
      </c>
      <c r="C92">
        <v>16580181.599999996</v>
      </c>
      <c r="E92" t="s">
        <v>1309</v>
      </c>
    </row>
    <row r="93" spans="1:5">
      <c r="A93">
        <v>25</v>
      </c>
      <c r="B93" t="s">
        <v>1398</v>
      </c>
      <c r="C93">
        <v>12435136.199999999</v>
      </c>
      <c r="E93" t="s">
        <v>1309</v>
      </c>
    </row>
    <row r="94" spans="1:5">
      <c r="A94">
        <v>25</v>
      </c>
      <c r="B94" t="s">
        <v>1399</v>
      </c>
      <c r="C94">
        <v>8290090.799999998</v>
      </c>
      <c r="E94" t="s">
        <v>1309</v>
      </c>
    </row>
    <row r="95" spans="1:5">
      <c r="A95">
        <v>25</v>
      </c>
      <c r="B95" t="s">
        <v>1400</v>
      </c>
      <c r="C95">
        <v>6908409</v>
      </c>
      <c r="E95" t="s">
        <v>1309</v>
      </c>
    </row>
    <row r="96" spans="1:5">
      <c r="A96">
        <v>25</v>
      </c>
      <c r="B96" t="s">
        <v>1401</v>
      </c>
      <c r="C96">
        <v>0</v>
      </c>
      <c r="E96" t="s">
        <v>1309</v>
      </c>
    </row>
    <row r="97" spans="1:5">
      <c r="A97">
        <v>25</v>
      </c>
      <c r="B97" t="s">
        <v>243</v>
      </c>
      <c r="C97">
        <v>0</v>
      </c>
      <c r="E97" t="s">
        <v>1309</v>
      </c>
    </row>
    <row r="98" spans="1:5">
      <c r="A98">
        <v>25</v>
      </c>
      <c r="B98" t="s">
        <v>1402</v>
      </c>
      <c r="C98">
        <v>14290483.050000001</v>
      </c>
      <c r="E98" t="s">
        <v>1309</v>
      </c>
    </row>
    <row r="99" spans="1:5">
      <c r="A99">
        <v>25</v>
      </c>
      <c r="B99" t="s">
        <v>1403</v>
      </c>
      <c r="C99">
        <v>14290483.050000001</v>
      </c>
      <c r="E99" t="s">
        <v>1309</v>
      </c>
    </row>
    <row r="100" spans="1:5">
      <c r="A100">
        <v>25</v>
      </c>
      <c r="B100" t="s">
        <v>1404</v>
      </c>
      <c r="C100">
        <v>11183856.300000001</v>
      </c>
      <c r="E100" t="s">
        <v>1309</v>
      </c>
    </row>
    <row r="101" spans="1:5">
      <c r="A101">
        <v>25</v>
      </c>
      <c r="B101" t="s">
        <v>1405</v>
      </c>
      <c r="C101">
        <v>767519.55</v>
      </c>
      <c r="E101" t="s">
        <v>1309</v>
      </c>
    </row>
    <row r="102" spans="1:5">
      <c r="A102">
        <v>25</v>
      </c>
      <c r="B102" t="s">
        <v>1406</v>
      </c>
      <c r="C102">
        <v>877165.20000000007</v>
      </c>
      <c r="E102" t="s">
        <v>1309</v>
      </c>
    </row>
    <row r="103" spans="1:5">
      <c r="A103">
        <v>25</v>
      </c>
      <c r="B103" t="s">
        <v>1407</v>
      </c>
      <c r="C103">
        <v>657873.9</v>
      </c>
      <c r="E103" t="s">
        <v>1309</v>
      </c>
    </row>
    <row r="104" spans="1:5">
      <c r="A104">
        <v>25</v>
      </c>
      <c r="B104" t="s">
        <v>1408</v>
      </c>
      <c r="C104">
        <v>438582.60000000003</v>
      </c>
      <c r="E104" t="s">
        <v>1309</v>
      </c>
    </row>
    <row r="105" spans="1:5">
      <c r="A105">
        <v>25</v>
      </c>
      <c r="B105" t="s">
        <v>1409</v>
      </c>
      <c r="C105">
        <v>365485.5</v>
      </c>
      <c r="E105" t="s">
        <v>1309</v>
      </c>
    </row>
    <row r="106" spans="1:5">
      <c r="A106">
        <v>25</v>
      </c>
      <c r="B106" t="s">
        <v>1410</v>
      </c>
      <c r="C106">
        <v>0</v>
      </c>
      <c r="E106" t="s">
        <v>1309</v>
      </c>
    </row>
    <row r="107" spans="1:5">
      <c r="A107">
        <v>25</v>
      </c>
      <c r="B107" t="s">
        <v>1411</v>
      </c>
      <c r="C107">
        <v>0</v>
      </c>
      <c r="E107" t="s">
        <v>1309</v>
      </c>
    </row>
    <row r="108" spans="1:5">
      <c r="A108">
        <v>25</v>
      </c>
      <c r="B108" t="s">
        <v>1412</v>
      </c>
      <c r="C108">
        <v>31</v>
      </c>
      <c r="E108" t="s">
        <v>1309</v>
      </c>
    </row>
    <row r="109" spans="1:5">
      <c r="A109">
        <v>25</v>
      </c>
      <c r="B109" t="s">
        <v>1413</v>
      </c>
      <c r="C109">
        <v>547082.1</v>
      </c>
      <c r="E109" t="s">
        <v>1309</v>
      </c>
    </row>
    <row r="110" spans="1:5">
      <c r="A110">
        <v>25</v>
      </c>
      <c r="B110" t="s">
        <v>1414</v>
      </c>
      <c r="C110">
        <v>43526.700000000004</v>
      </c>
      <c r="E110" t="s">
        <v>1309</v>
      </c>
    </row>
    <row r="111" spans="1:5">
      <c r="A111">
        <v>25</v>
      </c>
      <c r="B111" t="s">
        <v>1415</v>
      </c>
      <c r="C111">
        <v>58860</v>
      </c>
      <c r="E111" t="s">
        <v>1309</v>
      </c>
    </row>
    <row r="112" spans="1:5">
      <c r="A112">
        <v>25</v>
      </c>
      <c r="B112" t="s">
        <v>1416</v>
      </c>
      <c r="C112">
        <v>52698.6</v>
      </c>
      <c r="E112" t="s">
        <v>1309</v>
      </c>
    </row>
    <row r="113" spans="1:5">
      <c r="A113">
        <v>25</v>
      </c>
      <c r="B113" t="s">
        <v>1417</v>
      </c>
      <c r="C113">
        <v>45770.400000000001</v>
      </c>
      <c r="E113" t="s">
        <v>1309</v>
      </c>
    </row>
    <row r="114" spans="1:5">
      <c r="A114">
        <v>25</v>
      </c>
      <c r="B114" t="s">
        <v>1418</v>
      </c>
      <c r="C114">
        <v>47007</v>
      </c>
      <c r="E114" t="s">
        <v>1309</v>
      </c>
    </row>
    <row r="115" spans="1:5">
      <c r="A115">
        <v>25</v>
      </c>
      <c r="B115" t="s">
        <v>1419</v>
      </c>
      <c r="C115">
        <v>0</v>
      </c>
      <c r="E115" t="s">
        <v>1309</v>
      </c>
    </row>
    <row r="116" spans="1:5">
      <c r="A116">
        <v>25</v>
      </c>
      <c r="B116" t="s">
        <v>1420</v>
      </c>
      <c r="C116">
        <v>2.1229999999999999E-2</v>
      </c>
      <c r="E116" t="s">
        <v>1309</v>
      </c>
    </row>
    <row r="117" spans="1:5">
      <c r="A117">
        <v>25</v>
      </c>
      <c r="B117" t="s">
        <v>1421</v>
      </c>
      <c r="C117">
        <v>1376611.35</v>
      </c>
      <c r="E117" t="s">
        <v>1309</v>
      </c>
    </row>
    <row r="118" spans="1:5">
      <c r="A118">
        <v>25</v>
      </c>
      <c r="B118" t="s">
        <v>1422</v>
      </c>
      <c r="C118">
        <v>0</v>
      </c>
      <c r="E118" t="s">
        <v>1309</v>
      </c>
    </row>
    <row r="119" spans="1:5">
      <c r="A119">
        <v>25</v>
      </c>
      <c r="B119" t="s">
        <v>1423</v>
      </c>
      <c r="C119">
        <v>282796.34999999998</v>
      </c>
      <c r="E119" t="s">
        <v>1309</v>
      </c>
    </row>
    <row r="120" spans="1:5">
      <c r="A120">
        <v>25</v>
      </c>
      <c r="B120" t="s">
        <v>1424</v>
      </c>
      <c r="C120">
        <v>0</v>
      </c>
      <c r="E120" t="s">
        <v>1309</v>
      </c>
    </row>
    <row r="121" spans="1:5">
      <c r="A121">
        <v>25</v>
      </c>
      <c r="B121" t="s">
        <v>1425</v>
      </c>
      <c r="C121">
        <v>0</v>
      </c>
      <c r="E121" t="s">
        <v>1309</v>
      </c>
    </row>
    <row r="122" spans="1:5">
      <c r="A122">
        <v>25</v>
      </c>
      <c r="B122" t="s">
        <v>1426</v>
      </c>
      <c r="C122">
        <v>6000000</v>
      </c>
      <c r="E122" t="s">
        <v>1309</v>
      </c>
    </row>
    <row r="123" spans="1:5">
      <c r="A123">
        <v>25</v>
      </c>
      <c r="B123" t="s">
        <v>1427</v>
      </c>
      <c r="C123">
        <v>667058.36</v>
      </c>
      <c r="E123" t="s">
        <v>1309</v>
      </c>
    </row>
    <row r="124" spans="1:5">
      <c r="A124">
        <v>25</v>
      </c>
      <c r="B124" t="s">
        <v>1428</v>
      </c>
      <c r="C124">
        <v>0</v>
      </c>
      <c r="E124" t="s">
        <v>1309</v>
      </c>
    </row>
    <row r="125" spans="1:5">
      <c r="A125">
        <v>25</v>
      </c>
      <c r="B125" t="s">
        <v>1429</v>
      </c>
      <c r="C125">
        <v>0</v>
      </c>
      <c r="E125" t="s">
        <v>1309</v>
      </c>
    </row>
    <row r="126" spans="1:5">
      <c r="A126">
        <v>25</v>
      </c>
      <c r="B126" t="s">
        <v>1430</v>
      </c>
      <c r="C126">
        <v>8326466.0600000005</v>
      </c>
      <c r="E126" t="s">
        <v>1309</v>
      </c>
    </row>
    <row r="127" spans="1:5">
      <c r="A127">
        <v>25</v>
      </c>
      <c r="B127" t="s">
        <v>1430</v>
      </c>
      <c r="C127">
        <v>8326466.0600000005</v>
      </c>
      <c r="E127" t="s">
        <v>1309</v>
      </c>
    </row>
    <row r="128" spans="1:5">
      <c r="A128">
        <v>25</v>
      </c>
      <c r="B128" t="s">
        <v>1431</v>
      </c>
      <c r="C128">
        <v>8799.7099999999991</v>
      </c>
      <c r="E128" t="s">
        <v>1309</v>
      </c>
    </row>
    <row r="129" spans="1:5">
      <c r="A129">
        <v>25</v>
      </c>
      <c r="B129" t="s">
        <v>1432</v>
      </c>
      <c r="C129">
        <v>0</v>
      </c>
      <c r="E129" t="s">
        <v>1309</v>
      </c>
    </row>
    <row r="130" spans="1:5">
      <c r="A130">
        <v>25</v>
      </c>
      <c r="B130" t="s">
        <v>1433</v>
      </c>
      <c r="C130">
        <v>547082.1</v>
      </c>
      <c r="E130" t="s">
        <v>1309</v>
      </c>
    </row>
    <row r="131" spans="1:5">
      <c r="A131">
        <v>25</v>
      </c>
      <c r="B131" t="s">
        <v>1434</v>
      </c>
      <c r="C131">
        <v>43526.700000000004</v>
      </c>
      <c r="E131" t="s">
        <v>1309</v>
      </c>
    </row>
    <row r="132" spans="1:5">
      <c r="A132">
        <v>25</v>
      </c>
      <c r="B132" t="s">
        <v>1435</v>
      </c>
      <c r="C132">
        <v>58860</v>
      </c>
      <c r="E132" t="s">
        <v>1309</v>
      </c>
    </row>
    <row r="133" spans="1:5">
      <c r="A133">
        <v>25</v>
      </c>
      <c r="B133" t="s">
        <v>1436</v>
      </c>
      <c r="C133">
        <v>52698.6</v>
      </c>
      <c r="E133" t="s">
        <v>1309</v>
      </c>
    </row>
    <row r="134" spans="1:5">
      <c r="A134">
        <v>25</v>
      </c>
      <c r="B134" t="s">
        <v>1437</v>
      </c>
      <c r="C134">
        <v>45770.400000000001</v>
      </c>
      <c r="E134" t="s">
        <v>1309</v>
      </c>
    </row>
    <row r="135" spans="1:5">
      <c r="A135">
        <v>25</v>
      </c>
      <c r="B135" t="s">
        <v>1438</v>
      </c>
      <c r="C135">
        <v>47007</v>
      </c>
      <c r="E135" t="s">
        <v>1309</v>
      </c>
    </row>
    <row r="136" spans="1:5">
      <c r="A136">
        <v>25</v>
      </c>
      <c r="B136" t="s">
        <v>1439</v>
      </c>
      <c r="C136">
        <v>6000000</v>
      </c>
      <c r="E136" t="s">
        <v>1309</v>
      </c>
    </row>
    <row r="137" spans="1:5">
      <c r="A137">
        <v>25</v>
      </c>
      <c r="B137" t="s">
        <v>1440</v>
      </c>
      <c r="C137">
        <v>0</v>
      </c>
      <c r="E137" t="s">
        <v>1309</v>
      </c>
    </row>
    <row r="138" spans="1:5">
      <c r="A138">
        <v>25</v>
      </c>
      <c r="B138" t="s">
        <v>1441</v>
      </c>
      <c r="C138">
        <v>877657.75</v>
      </c>
      <c r="E138" t="s">
        <v>1309</v>
      </c>
    </row>
    <row r="139" spans="1:5">
      <c r="A139">
        <v>25</v>
      </c>
      <c r="B139" t="s">
        <v>1442</v>
      </c>
      <c r="C139">
        <v>0</v>
      </c>
      <c r="E139" t="s">
        <v>1309</v>
      </c>
    </row>
    <row r="140" spans="1:5">
      <c r="A140">
        <v>25</v>
      </c>
      <c r="B140" t="s">
        <v>1443</v>
      </c>
      <c r="C140">
        <v>0</v>
      </c>
      <c r="E140" t="s">
        <v>1309</v>
      </c>
    </row>
    <row r="141" spans="1:5">
      <c r="A141">
        <v>25</v>
      </c>
      <c r="B141" t="s">
        <v>1444</v>
      </c>
      <c r="C141">
        <v>0</v>
      </c>
      <c r="E141" t="s">
        <v>1309</v>
      </c>
    </row>
    <row r="142" spans="1:5">
      <c r="A142">
        <v>25</v>
      </c>
      <c r="B142" t="s">
        <v>1445</v>
      </c>
      <c r="C142">
        <v>0</v>
      </c>
      <c r="E142" t="s">
        <v>1309</v>
      </c>
    </row>
    <row r="143" spans="1:5">
      <c r="A143">
        <v>25</v>
      </c>
      <c r="B143" t="s">
        <v>1446</v>
      </c>
      <c r="C143">
        <v>0</v>
      </c>
      <c r="E143" t="s">
        <v>1309</v>
      </c>
    </row>
    <row r="144" spans="1:5">
      <c r="A144">
        <v>25</v>
      </c>
      <c r="B144" t="s">
        <v>1447</v>
      </c>
      <c r="C144">
        <v>0</v>
      </c>
      <c r="E144" t="s">
        <v>1309</v>
      </c>
    </row>
    <row r="145" spans="1:5">
      <c r="A145">
        <v>25</v>
      </c>
      <c r="B145" t="s">
        <v>1448</v>
      </c>
      <c r="C145">
        <v>0</v>
      </c>
      <c r="E145" t="s">
        <v>1309</v>
      </c>
    </row>
    <row r="146" spans="1:5">
      <c r="A146">
        <v>25</v>
      </c>
      <c r="B146" t="s">
        <v>1449</v>
      </c>
      <c r="C146">
        <v>0</v>
      </c>
      <c r="E146" t="s">
        <v>1309</v>
      </c>
    </row>
    <row r="147" spans="1:5">
      <c r="A147">
        <v>25</v>
      </c>
      <c r="B147" t="s">
        <v>1450</v>
      </c>
      <c r="C147">
        <v>0</v>
      </c>
      <c r="E147" t="s">
        <v>1309</v>
      </c>
    </row>
    <row r="148" spans="1:5">
      <c r="A148">
        <v>25</v>
      </c>
      <c r="B148" t="s">
        <v>1451</v>
      </c>
      <c r="C148">
        <v>0</v>
      </c>
      <c r="E148" t="s">
        <v>1309</v>
      </c>
    </row>
    <row r="149" spans="1:5">
      <c r="A149">
        <v>25</v>
      </c>
      <c r="B149" t="s">
        <v>1452</v>
      </c>
      <c r="C149">
        <v>0</v>
      </c>
      <c r="E149" t="s">
        <v>1309</v>
      </c>
    </row>
    <row r="150" spans="1:5">
      <c r="A150">
        <v>25</v>
      </c>
      <c r="B150" t="s">
        <v>1453</v>
      </c>
      <c r="C150">
        <v>0</v>
      </c>
      <c r="E150" t="s">
        <v>1309</v>
      </c>
    </row>
    <row r="151" spans="1:5">
      <c r="A151">
        <v>25</v>
      </c>
      <c r="B151" t="s">
        <v>1454</v>
      </c>
      <c r="C151">
        <v>645063.80000000075</v>
      </c>
      <c r="E151" t="s">
        <v>1309</v>
      </c>
    </row>
    <row r="152" spans="1:5">
      <c r="A152">
        <v>25</v>
      </c>
      <c r="B152" t="s">
        <v>1455</v>
      </c>
      <c r="C152">
        <v>13412980.4</v>
      </c>
      <c r="E152" t="s">
        <v>1309</v>
      </c>
    </row>
    <row r="153" spans="1:5">
      <c r="A153">
        <v>25</v>
      </c>
      <c r="B153" t="s">
        <v>1456</v>
      </c>
      <c r="C153">
        <v>0</v>
      </c>
      <c r="E153" t="s">
        <v>1309</v>
      </c>
    </row>
    <row r="154" spans="1:5">
      <c r="A154">
        <v>25</v>
      </c>
      <c r="B154" t="s">
        <v>1457</v>
      </c>
      <c r="C154">
        <v>0</v>
      </c>
      <c r="E154" t="s">
        <v>1309</v>
      </c>
    </row>
    <row r="155" spans="1:5">
      <c r="A155">
        <v>25</v>
      </c>
      <c r="B155" t="s">
        <v>1458</v>
      </c>
      <c r="C155">
        <v>0</v>
      </c>
      <c r="E155" t="s">
        <v>1309</v>
      </c>
    </row>
    <row r="156" spans="1:5">
      <c r="A156">
        <v>25</v>
      </c>
      <c r="B156" t="s">
        <v>1459</v>
      </c>
      <c r="C156">
        <v>0</v>
      </c>
      <c r="E156" t="s">
        <v>1309</v>
      </c>
    </row>
    <row r="157" spans="1:5">
      <c r="A157">
        <v>25</v>
      </c>
      <c r="B157" t="s">
        <v>1460</v>
      </c>
      <c r="C157">
        <v>5.339999983261805</v>
      </c>
      <c r="E157" t="s">
        <v>1309</v>
      </c>
    </row>
    <row r="158" spans="1:5">
      <c r="A158">
        <v>25</v>
      </c>
      <c r="B158" t="s">
        <v>1461</v>
      </c>
      <c r="C158">
        <v>0</v>
      </c>
      <c r="E158" t="s">
        <v>1309</v>
      </c>
    </row>
    <row r="159" spans="1:5">
      <c r="A159">
        <v>25</v>
      </c>
      <c r="B159" t="s">
        <v>1462</v>
      </c>
      <c r="C159">
        <v>877657.75</v>
      </c>
      <c r="E159" t="s">
        <v>1309</v>
      </c>
    </row>
    <row r="160" spans="1:5">
      <c r="A160">
        <v>25</v>
      </c>
      <c r="B160" t="s">
        <v>1463</v>
      </c>
      <c r="C160">
        <v>0</v>
      </c>
      <c r="E160" t="s">
        <v>1309</v>
      </c>
    </row>
    <row r="161" spans="1:5">
      <c r="A161">
        <v>25</v>
      </c>
      <c r="B161" t="s">
        <v>1464</v>
      </c>
      <c r="C161">
        <v>14290643.489999983</v>
      </c>
      <c r="E161" t="s">
        <v>1309</v>
      </c>
    </row>
    <row r="162" spans="1:5">
      <c r="A162">
        <v>25</v>
      </c>
      <c r="B162" t="s">
        <v>1464</v>
      </c>
      <c r="C162">
        <v>14290643.489999983</v>
      </c>
      <c r="E162" t="s">
        <v>1309</v>
      </c>
    </row>
    <row r="163" spans="1:5">
      <c r="A163">
        <v>25</v>
      </c>
      <c r="B163" t="s">
        <v>1428</v>
      </c>
      <c r="C163">
        <v>0</v>
      </c>
      <c r="E163" t="s">
        <v>1309</v>
      </c>
    </row>
    <row r="164" spans="1:5">
      <c r="A164">
        <v>25</v>
      </c>
      <c r="B164" t="s">
        <v>1465</v>
      </c>
      <c r="E164" t="s">
        <v>1309</v>
      </c>
    </row>
    <row r="165" spans="1:5">
      <c r="A165">
        <v>25</v>
      </c>
      <c r="B165" t="s">
        <v>243</v>
      </c>
      <c r="C165">
        <v>0</v>
      </c>
      <c r="E165" t="s">
        <v>1309</v>
      </c>
    </row>
    <row r="166" spans="1:5">
      <c r="A166">
        <v>25</v>
      </c>
      <c r="B166" t="s">
        <v>1466</v>
      </c>
      <c r="C166">
        <v>160.43999998038635</v>
      </c>
      <c r="E166" t="s">
        <v>1309</v>
      </c>
    </row>
    <row r="167" spans="1:5">
      <c r="A167">
        <v>25</v>
      </c>
      <c r="B167" t="s">
        <v>1467</v>
      </c>
      <c r="C167">
        <v>11183856.300000001</v>
      </c>
      <c r="E167" t="s">
        <v>1309</v>
      </c>
    </row>
    <row r="168" spans="1:5">
      <c r="A168">
        <v>25</v>
      </c>
      <c r="B168" t="s">
        <v>1468</v>
      </c>
      <c r="C168">
        <v>767519.55</v>
      </c>
      <c r="E168" t="s">
        <v>1309</v>
      </c>
    </row>
    <row r="169" spans="1:5">
      <c r="A169">
        <v>25</v>
      </c>
      <c r="B169" t="s">
        <v>1469</v>
      </c>
      <c r="C169">
        <v>877165.20000000007</v>
      </c>
      <c r="E169" t="s">
        <v>1309</v>
      </c>
    </row>
    <row r="170" spans="1:5">
      <c r="A170">
        <v>25</v>
      </c>
      <c r="B170" t="s">
        <v>1470</v>
      </c>
      <c r="C170">
        <v>657873.9</v>
      </c>
      <c r="E170" t="s">
        <v>1309</v>
      </c>
    </row>
    <row r="171" spans="1:5">
      <c r="A171">
        <v>25</v>
      </c>
      <c r="B171" t="s">
        <v>1471</v>
      </c>
      <c r="C171">
        <v>438582.60000000003</v>
      </c>
      <c r="E171" t="s">
        <v>1309</v>
      </c>
    </row>
    <row r="172" spans="1:5">
      <c r="A172">
        <v>25</v>
      </c>
      <c r="B172" t="s">
        <v>1472</v>
      </c>
      <c r="C172">
        <v>365485.5</v>
      </c>
      <c r="E172" t="s">
        <v>1309</v>
      </c>
    </row>
    <row r="173" spans="1:5">
      <c r="A173">
        <v>25</v>
      </c>
      <c r="B173" t="s">
        <v>1473</v>
      </c>
      <c r="C173">
        <v>0</v>
      </c>
      <c r="E173" t="s">
        <v>1309</v>
      </c>
    </row>
    <row r="174" spans="1:5">
      <c r="A174">
        <v>25</v>
      </c>
      <c r="B174" t="s">
        <v>1474</v>
      </c>
      <c r="C174">
        <v>0</v>
      </c>
      <c r="E174" t="s">
        <v>1309</v>
      </c>
    </row>
    <row r="175" spans="1:5">
      <c r="A175">
        <v>25</v>
      </c>
      <c r="B175" t="s">
        <v>1475</v>
      </c>
      <c r="C175">
        <v>0</v>
      </c>
      <c r="E175" t="s">
        <v>1309</v>
      </c>
    </row>
    <row r="176" spans="1:5">
      <c r="A176">
        <v>25</v>
      </c>
      <c r="B176" t="s">
        <v>1476</v>
      </c>
      <c r="C176">
        <v>0</v>
      </c>
      <c r="E176" t="s">
        <v>1309</v>
      </c>
    </row>
    <row r="177" spans="1:5">
      <c r="A177">
        <v>25</v>
      </c>
      <c r="B177" t="s">
        <v>1477</v>
      </c>
      <c r="C177">
        <v>0</v>
      </c>
      <c r="E177" t="s">
        <v>1309</v>
      </c>
    </row>
    <row r="178" spans="1:5">
      <c r="A178">
        <v>25</v>
      </c>
      <c r="B178" t="s">
        <v>1478</v>
      </c>
      <c r="C178">
        <v>0</v>
      </c>
      <c r="E178" t="s">
        <v>1309</v>
      </c>
    </row>
    <row r="179" spans="1:5">
      <c r="A179">
        <v>25</v>
      </c>
      <c r="B179" t="s">
        <v>1479</v>
      </c>
      <c r="C179">
        <v>0</v>
      </c>
      <c r="E179" t="s">
        <v>1309</v>
      </c>
    </row>
    <row r="180" spans="1:5">
      <c r="A180">
        <v>25</v>
      </c>
      <c r="B180" t="s">
        <v>1480</v>
      </c>
      <c r="C180">
        <v>0</v>
      </c>
      <c r="E180" t="s">
        <v>1309</v>
      </c>
    </row>
    <row r="181" spans="1:5">
      <c r="A181">
        <v>25</v>
      </c>
      <c r="B181" t="s">
        <v>1481</v>
      </c>
      <c r="C181">
        <v>0</v>
      </c>
      <c r="E181" t="s">
        <v>1309</v>
      </c>
    </row>
    <row r="182" spans="1:5">
      <c r="A182">
        <v>25</v>
      </c>
      <c r="B182" t="s">
        <v>1482</v>
      </c>
      <c r="C182">
        <v>0</v>
      </c>
      <c r="E182" t="s">
        <v>1309</v>
      </c>
    </row>
    <row r="183" spans="1:5">
      <c r="A183">
        <v>25</v>
      </c>
      <c r="B183" t="s">
        <v>1483</v>
      </c>
      <c r="E183" t="s">
        <v>1309</v>
      </c>
    </row>
    <row r="184" spans="1:5">
      <c r="A184">
        <v>25</v>
      </c>
      <c r="B184" t="s">
        <v>1431</v>
      </c>
      <c r="C184">
        <v>8799.7099999999991</v>
      </c>
      <c r="E184" t="s">
        <v>1309</v>
      </c>
    </row>
    <row r="185" spans="1:5">
      <c r="A185">
        <v>25</v>
      </c>
      <c r="B185" t="s">
        <v>1484</v>
      </c>
      <c r="C185">
        <v>794944.79999999993</v>
      </c>
      <c r="E185" t="s">
        <v>1309</v>
      </c>
    </row>
    <row r="186" spans="1:5">
      <c r="A186">
        <v>25</v>
      </c>
      <c r="B186" t="s">
        <v>1485</v>
      </c>
      <c r="C186">
        <v>547082.1</v>
      </c>
      <c r="E186" t="s">
        <v>1309</v>
      </c>
    </row>
    <row r="187" spans="1:5">
      <c r="A187">
        <v>25</v>
      </c>
      <c r="B187" t="s">
        <v>1486</v>
      </c>
      <c r="C187">
        <v>43526.700000000004</v>
      </c>
      <c r="E187" t="s">
        <v>1309</v>
      </c>
    </row>
    <row r="188" spans="1:5">
      <c r="A188">
        <v>25</v>
      </c>
      <c r="B188" t="s">
        <v>1487</v>
      </c>
      <c r="C188">
        <v>58860</v>
      </c>
      <c r="E188" t="s">
        <v>1309</v>
      </c>
    </row>
    <row r="189" spans="1:5">
      <c r="A189">
        <v>25</v>
      </c>
      <c r="B189" t="s">
        <v>1488</v>
      </c>
      <c r="C189">
        <v>52698.6</v>
      </c>
      <c r="E189" t="s">
        <v>1309</v>
      </c>
    </row>
    <row r="190" spans="1:5">
      <c r="A190">
        <v>25</v>
      </c>
      <c r="B190" t="s">
        <v>1489</v>
      </c>
      <c r="C190">
        <v>45770.400000000001</v>
      </c>
      <c r="E190" t="s">
        <v>1309</v>
      </c>
    </row>
    <row r="191" spans="1:5">
      <c r="A191">
        <v>25</v>
      </c>
      <c r="B191" t="s">
        <v>1490</v>
      </c>
      <c r="C191">
        <v>47007</v>
      </c>
      <c r="E191" t="s">
        <v>1309</v>
      </c>
    </row>
    <row r="192" spans="1:5">
      <c r="A192">
        <v>25</v>
      </c>
      <c r="B192" t="s">
        <v>1491</v>
      </c>
      <c r="C192">
        <v>0</v>
      </c>
      <c r="E192" t="s">
        <v>1309</v>
      </c>
    </row>
    <row r="193" spans="1:5">
      <c r="A193">
        <v>25</v>
      </c>
      <c r="B193" t="s">
        <v>1492</v>
      </c>
      <c r="C193">
        <v>0</v>
      </c>
      <c r="E193" t="s">
        <v>1309</v>
      </c>
    </row>
    <row r="194" spans="1:5">
      <c r="A194">
        <v>25</v>
      </c>
      <c r="B194" t="s">
        <v>1493</v>
      </c>
      <c r="C194">
        <v>87012432.409311116</v>
      </c>
      <c r="E194" t="s">
        <v>1309</v>
      </c>
    </row>
    <row r="195" spans="1:5">
      <c r="A195">
        <v>25</v>
      </c>
      <c r="B195" t="s">
        <v>1494</v>
      </c>
      <c r="C195">
        <v>50685855.300000004</v>
      </c>
      <c r="E195" t="s">
        <v>1309</v>
      </c>
    </row>
    <row r="196" spans="1:5">
      <c r="A196">
        <v>25</v>
      </c>
      <c r="B196" t="s">
        <v>1495</v>
      </c>
      <c r="C196">
        <v>4610305.3499999996</v>
      </c>
      <c r="E196" t="s">
        <v>1309</v>
      </c>
    </row>
    <row r="197" spans="1:5">
      <c r="A197">
        <v>25</v>
      </c>
      <c r="B197" t="s">
        <v>1496</v>
      </c>
      <c r="C197">
        <v>6993691.1999999993</v>
      </c>
      <c r="E197" t="s">
        <v>1309</v>
      </c>
    </row>
    <row r="198" spans="1:5">
      <c r="A198">
        <v>25</v>
      </c>
      <c r="B198" t="s">
        <v>1497</v>
      </c>
      <c r="C198">
        <v>6862198.4999999981</v>
      </c>
      <c r="E198" t="s">
        <v>1309</v>
      </c>
    </row>
    <row r="199" spans="1:5">
      <c r="A199">
        <v>25</v>
      </c>
      <c r="B199" t="s">
        <v>1498</v>
      </c>
      <c r="C199">
        <v>6587017.1999999993</v>
      </c>
      <c r="E199" t="s">
        <v>1309</v>
      </c>
    </row>
    <row r="200" spans="1:5">
      <c r="A200">
        <v>25</v>
      </c>
      <c r="B200" t="s">
        <v>1499</v>
      </c>
      <c r="C200">
        <v>7166020.5</v>
      </c>
      <c r="E200" t="s">
        <v>1309</v>
      </c>
    </row>
    <row r="201" spans="1:5">
      <c r="A201">
        <v>25</v>
      </c>
      <c r="B201" t="s">
        <v>1500</v>
      </c>
      <c r="C201">
        <v>4103682.75</v>
      </c>
      <c r="E201" t="s">
        <v>1309</v>
      </c>
    </row>
    <row r="202" spans="1:5">
      <c r="A202">
        <v>25</v>
      </c>
      <c r="B202" t="s">
        <v>1501</v>
      </c>
      <c r="C202">
        <v>3661.6093111111086</v>
      </c>
      <c r="E202" t="s">
        <v>1309</v>
      </c>
    </row>
    <row r="203" spans="1:5">
      <c r="A203">
        <v>25</v>
      </c>
      <c r="B203" t="s">
        <v>1502</v>
      </c>
      <c r="C203">
        <v>794944.79999999993</v>
      </c>
      <c r="E203" t="s">
        <v>1309</v>
      </c>
    </row>
    <row r="204" spans="1:5">
      <c r="A204">
        <v>25</v>
      </c>
      <c r="B204" t="s">
        <v>1503</v>
      </c>
      <c r="C204">
        <v>547082.1</v>
      </c>
      <c r="E204" t="s">
        <v>1309</v>
      </c>
    </row>
    <row r="205" spans="1:5">
      <c r="A205">
        <v>25</v>
      </c>
      <c r="B205" t="s">
        <v>1504</v>
      </c>
      <c r="C205">
        <v>43526.700000000004</v>
      </c>
      <c r="E205" t="s">
        <v>1309</v>
      </c>
    </row>
    <row r="206" spans="1:5">
      <c r="A206">
        <v>25</v>
      </c>
      <c r="B206" t="s">
        <v>1505</v>
      </c>
      <c r="C206">
        <v>58860</v>
      </c>
      <c r="E206" t="s">
        <v>1309</v>
      </c>
    </row>
    <row r="207" spans="1:5">
      <c r="A207">
        <v>25</v>
      </c>
      <c r="B207" t="s">
        <v>1506</v>
      </c>
      <c r="C207">
        <v>52698.6</v>
      </c>
      <c r="E207" t="s">
        <v>1309</v>
      </c>
    </row>
    <row r="208" spans="1:5">
      <c r="A208">
        <v>25</v>
      </c>
      <c r="B208" t="s">
        <v>1507</v>
      </c>
      <c r="C208">
        <v>45770.400000000001</v>
      </c>
      <c r="E208" t="s">
        <v>1309</v>
      </c>
    </row>
    <row r="209" spans="1:5">
      <c r="A209">
        <v>25</v>
      </c>
      <c r="B209" t="s">
        <v>1508</v>
      </c>
      <c r="C209">
        <v>47007</v>
      </c>
      <c r="E209" t="s">
        <v>1309</v>
      </c>
    </row>
    <row r="210" spans="1:5">
      <c r="A210">
        <v>25</v>
      </c>
      <c r="B210" t="s">
        <v>1509</v>
      </c>
      <c r="C210">
        <v>0</v>
      </c>
      <c r="E210" t="s">
        <v>1309</v>
      </c>
    </row>
    <row r="211" spans="1:5">
      <c r="A211">
        <v>25</v>
      </c>
      <c r="B211" t="s">
        <v>1510</v>
      </c>
      <c r="C211">
        <v>0</v>
      </c>
      <c r="E211" t="s">
        <v>1309</v>
      </c>
    </row>
    <row r="212" spans="1:5">
      <c r="A212">
        <v>25</v>
      </c>
      <c r="B212" t="s">
        <v>1511</v>
      </c>
      <c r="C212">
        <v>87012432.409311116</v>
      </c>
      <c r="E212" t="s">
        <v>1309</v>
      </c>
    </row>
    <row r="213" spans="1:5">
      <c r="A213">
        <v>25</v>
      </c>
      <c r="B213" t="s">
        <v>1512</v>
      </c>
      <c r="C213">
        <v>50685855.300000004</v>
      </c>
      <c r="E213" t="s">
        <v>1309</v>
      </c>
    </row>
    <row r="214" spans="1:5">
      <c r="A214">
        <v>25</v>
      </c>
      <c r="B214" t="s">
        <v>1513</v>
      </c>
      <c r="C214">
        <v>4610305.3499999996</v>
      </c>
      <c r="E214" t="s">
        <v>1309</v>
      </c>
    </row>
    <row r="215" spans="1:5">
      <c r="A215">
        <v>25</v>
      </c>
      <c r="B215" t="s">
        <v>1514</v>
      </c>
      <c r="C215">
        <v>6993691.1999999993</v>
      </c>
      <c r="E215" t="s">
        <v>1309</v>
      </c>
    </row>
    <row r="216" spans="1:5">
      <c r="A216">
        <v>25</v>
      </c>
      <c r="B216" t="s">
        <v>1515</v>
      </c>
      <c r="C216">
        <v>6862198.4999999981</v>
      </c>
      <c r="E216" t="s">
        <v>1309</v>
      </c>
    </row>
    <row r="217" spans="1:5">
      <c r="A217">
        <v>25</v>
      </c>
      <c r="B217" t="s">
        <v>1516</v>
      </c>
      <c r="C217">
        <v>6587017.1999999993</v>
      </c>
      <c r="E217" t="s">
        <v>1309</v>
      </c>
    </row>
    <row r="218" spans="1:5">
      <c r="A218">
        <v>25</v>
      </c>
      <c r="B218" t="s">
        <v>1517</v>
      </c>
      <c r="C218">
        <v>7166020.5</v>
      </c>
      <c r="E218" t="s">
        <v>1309</v>
      </c>
    </row>
    <row r="219" spans="1:5">
      <c r="A219">
        <v>25</v>
      </c>
      <c r="B219" t="s">
        <v>1518</v>
      </c>
      <c r="C219">
        <v>4103682.75</v>
      </c>
      <c r="E219" t="s">
        <v>1309</v>
      </c>
    </row>
    <row r="220" spans="1:5">
      <c r="A220">
        <v>25</v>
      </c>
      <c r="B220" t="s">
        <v>1519</v>
      </c>
      <c r="C220">
        <v>3661.6093111111086</v>
      </c>
      <c r="E220" t="s">
        <v>1309</v>
      </c>
    </row>
    <row r="221" spans="1:5">
      <c r="A221">
        <v>25</v>
      </c>
      <c r="B221" t="s">
        <v>1520</v>
      </c>
      <c r="C221">
        <v>0</v>
      </c>
      <c r="E221" t="s">
        <v>1309</v>
      </c>
    </row>
    <row r="222" spans="1:5">
      <c r="A222">
        <v>25</v>
      </c>
      <c r="B222" t="s">
        <v>1521</v>
      </c>
      <c r="C222">
        <v>0</v>
      </c>
      <c r="E222" t="s">
        <v>1309</v>
      </c>
    </row>
    <row r="223" spans="1:5">
      <c r="A223">
        <v>25</v>
      </c>
      <c r="B223" t="s">
        <v>1522</v>
      </c>
      <c r="C223">
        <v>0</v>
      </c>
      <c r="E223" t="s">
        <v>1309</v>
      </c>
    </row>
    <row r="224" spans="1:5">
      <c r="A224">
        <v>25</v>
      </c>
      <c r="B224" t="s">
        <v>1523</v>
      </c>
      <c r="C224">
        <v>0</v>
      </c>
      <c r="E224" t="s">
        <v>1309</v>
      </c>
    </row>
    <row r="225" spans="1:5">
      <c r="A225">
        <v>25</v>
      </c>
      <c r="B225" t="s">
        <v>1524</v>
      </c>
      <c r="C225">
        <v>0</v>
      </c>
      <c r="E225" t="s">
        <v>1309</v>
      </c>
    </row>
    <row r="226" spans="1:5">
      <c r="A226">
        <v>25</v>
      </c>
      <c r="B226" t="s">
        <v>1525</v>
      </c>
      <c r="C226">
        <v>0</v>
      </c>
      <c r="E226" t="s">
        <v>1309</v>
      </c>
    </row>
    <row r="227" spans="1:5">
      <c r="A227">
        <v>25</v>
      </c>
      <c r="B227" t="s">
        <v>1526</v>
      </c>
      <c r="C227">
        <v>0</v>
      </c>
      <c r="E227" t="s">
        <v>1309</v>
      </c>
    </row>
    <row r="228" spans="1:5">
      <c r="A228">
        <v>25</v>
      </c>
      <c r="B228" t="s">
        <v>1527</v>
      </c>
      <c r="C228">
        <v>0</v>
      </c>
      <c r="E228" t="s">
        <v>1309</v>
      </c>
    </row>
    <row r="229" spans="1:5">
      <c r="A229">
        <v>25</v>
      </c>
      <c r="B229" t="s">
        <v>1528</v>
      </c>
      <c r="C229">
        <v>0</v>
      </c>
      <c r="E229" t="s">
        <v>1309</v>
      </c>
    </row>
    <row r="230" spans="1:5">
      <c r="A230">
        <v>25</v>
      </c>
      <c r="B230" t="s">
        <v>1529</v>
      </c>
      <c r="C230">
        <v>0</v>
      </c>
      <c r="E230" t="s">
        <v>1309</v>
      </c>
    </row>
    <row r="231" spans="1:5">
      <c r="A231">
        <v>25</v>
      </c>
      <c r="B231" t="s">
        <v>1530</v>
      </c>
      <c r="C231">
        <v>0</v>
      </c>
      <c r="E231" t="s">
        <v>1309</v>
      </c>
    </row>
    <row r="232" spans="1:5">
      <c r="A232">
        <v>25</v>
      </c>
      <c r="B232" t="s">
        <v>1531</v>
      </c>
      <c r="C232">
        <v>0</v>
      </c>
      <c r="E232" t="s">
        <v>1309</v>
      </c>
    </row>
    <row r="233" spans="1:5">
      <c r="A233">
        <v>25</v>
      </c>
      <c r="B233" t="s">
        <v>1532</v>
      </c>
      <c r="C233">
        <v>0</v>
      </c>
      <c r="E233" t="s">
        <v>1309</v>
      </c>
    </row>
    <row r="234" spans="1:5">
      <c r="A234">
        <v>25</v>
      </c>
      <c r="B234" t="s">
        <v>1533</v>
      </c>
      <c r="C234">
        <v>0</v>
      </c>
      <c r="E234" t="s">
        <v>1309</v>
      </c>
    </row>
    <row r="235" spans="1:5">
      <c r="A235">
        <v>25</v>
      </c>
      <c r="B235" t="s">
        <v>1534</v>
      </c>
      <c r="C235">
        <v>0</v>
      </c>
      <c r="E235" t="s">
        <v>1309</v>
      </c>
    </row>
    <row r="236" spans="1:5">
      <c r="A236">
        <v>25</v>
      </c>
      <c r="B236" t="s">
        <v>1535</v>
      </c>
      <c r="C236">
        <v>0</v>
      </c>
      <c r="E236" t="s">
        <v>1309</v>
      </c>
    </row>
    <row r="237" spans="1:5">
      <c r="A237">
        <v>25</v>
      </c>
      <c r="B237" t="s">
        <v>1536</v>
      </c>
      <c r="C237">
        <v>0</v>
      </c>
      <c r="E237" t="s">
        <v>1309</v>
      </c>
    </row>
    <row r="238" spans="1:5">
      <c r="A238">
        <v>25</v>
      </c>
      <c r="B238" t="s">
        <v>1537</v>
      </c>
      <c r="C238">
        <v>0</v>
      </c>
      <c r="E238" t="s">
        <v>1309</v>
      </c>
    </row>
    <row r="239" spans="1:5">
      <c r="A239">
        <v>25</v>
      </c>
      <c r="B239" t="s">
        <v>1538</v>
      </c>
      <c r="C239">
        <v>0</v>
      </c>
      <c r="E239" t="s">
        <v>1309</v>
      </c>
    </row>
    <row r="240" spans="1:5">
      <c r="A240">
        <v>25</v>
      </c>
      <c r="B240" t="s">
        <v>1539</v>
      </c>
      <c r="C240">
        <v>270118791.90000021</v>
      </c>
      <c r="E240" t="s">
        <v>1309</v>
      </c>
    </row>
    <row r="241" spans="1:5">
      <c r="A241">
        <v>25</v>
      </c>
      <c r="B241" t="s">
        <v>1540</v>
      </c>
      <c r="C241">
        <v>-5.7099999999999998E-3</v>
      </c>
      <c r="E241" t="s">
        <v>1309</v>
      </c>
    </row>
    <row r="242" spans="1:5">
      <c r="A242">
        <v>25</v>
      </c>
      <c r="B242" t="s">
        <v>1541</v>
      </c>
      <c r="C242">
        <v>2.1229999999999999E-2</v>
      </c>
      <c r="E242" t="s">
        <v>1309</v>
      </c>
    </row>
    <row r="243" spans="1:5">
      <c r="A243">
        <v>25</v>
      </c>
      <c r="B243" t="s">
        <v>1542</v>
      </c>
      <c r="C243">
        <v>-667058.36</v>
      </c>
      <c r="E243" t="s">
        <v>1309</v>
      </c>
    </row>
    <row r="244" spans="1:5">
      <c r="A244">
        <v>25</v>
      </c>
      <c r="B244" t="s">
        <v>1543</v>
      </c>
      <c r="C244">
        <v>255828308.85000017</v>
      </c>
      <c r="E244" t="s">
        <v>1309</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39.453125" style="106" customWidth="1"/>
    <col min="3" max="3" width="18.81640625" style="106" customWidth="1"/>
    <col min="4" max="4" width="23.1796875" style="106" customWidth="1"/>
    <col min="5" max="5" width="18.1796875" style="106" customWidth="1"/>
    <col min="6" max="6" width="23.1796875" style="106" customWidth="1"/>
    <col min="7" max="7" width="17.1796875" style="106" customWidth="1"/>
    <col min="8" max="8" width="18.81640625" style="106" customWidth="1"/>
    <col min="9" max="9" width="4.81640625" style="106" customWidth="1"/>
    <col min="10" max="10" width="11.36328125" style="106" customWidth="1"/>
    <col min="11" max="11" width="1.1796875" style="106" customWidth="1"/>
    <col min="12" max="12" width="11.54296875" style="106" bestFit="1" customWidth="1"/>
    <col min="13" max="16384" width="9.1796875" style="106"/>
  </cols>
  <sheetData>
    <row r="1" spans="1:13" ht="6" customHeight="1">
      <c r="A1" s="103"/>
      <c r="B1" s="901"/>
      <c r="C1" s="104"/>
      <c r="D1" s="104"/>
      <c r="E1" s="104"/>
      <c r="F1" s="104"/>
      <c r="G1" s="104"/>
      <c r="H1" s="104"/>
      <c r="I1" s="104"/>
      <c r="J1" s="901"/>
      <c r="K1" s="105"/>
    </row>
    <row r="2" spans="1:13" ht="18">
      <c r="A2" s="107"/>
      <c r="B2" s="108" t="str">
        <f>'Cover Sheet'!B2</f>
        <v>SC Germany Consumer 2020-1</v>
      </c>
      <c r="C2" s="902"/>
      <c r="D2" s="109" t="str">
        <f>'Cover Sheet'!D2</f>
        <v>Calculation Date</v>
      </c>
      <c r="E2" s="110"/>
      <c r="F2" s="111">
        <f>'Cover Sheet'!F2</f>
        <v>45820</v>
      </c>
      <c r="G2" s="110"/>
      <c r="H2" s="110"/>
      <c r="I2" s="110"/>
      <c r="J2" s="112"/>
      <c r="K2" s="113"/>
      <c r="L2" s="903"/>
    </row>
    <row r="3" spans="1:13" ht="18">
      <c r="A3" s="107"/>
      <c r="B3" s="108" t="str">
        <f>'Cover Sheet'!B3</f>
        <v>Monthly Investor Report</v>
      </c>
      <c r="C3" s="902"/>
      <c r="D3" s="115" t="str">
        <f>'Cover Sheet'!D3</f>
        <v>Payment Date</v>
      </c>
      <c r="E3" s="116"/>
      <c r="F3" s="117">
        <f>'Cover Sheet'!F3</f>
        <v>45824</v>
      </c>
      <c r="G3" s="116"/>
      <c r="H3" s="116"/>
      <c r="I3" s="116"/>
      <c r="J3" s="118"/>
      <c r="K3" s="113"/>
      <c r="L3" s="904"/>
    </row>
    <row r="4" spans="1:13" ht="13">
      <c r="A4" s="107"/>
      <c r="B4" s="160"/>
      <c r="C4" s="119"/>
      <c r="D4" s="115" t="str">
        <f>'Cover Sheet'!D4</f>
        <v>Period  No</v>
      </c>
      <c r="E4" s="116"/>
      <c r="F4" s="120">
        <f>'Cover Sheet'!F4</f>
        <v>55</v>
      </c>
      <c r="G4" s="116"/>
      <c r="H4" s="121"/>
      <c r="I4" s="116"/>
      <c r="J4" s="122"/>
      <c r="K4" s="113"/>
      <c r="L4" s="903"/>
    </row>
    <row r="5" spans="1:13" ht="18">
      <c r="A5" s="107"/>
      <c r="B5" s="123" t="s">
        <v>447</v>
      </c>
      <c r="C5" s="905"/>
      <c r="D5" s="115" t="str">
        <f>'Cover Sheet'!D5</f>
        <v>Monthly Period</v>
      </c>
      <c r="E5" s="116"/>
      <c r="F5" s="124">
        <f>'Cover Sheet'!F5</f>
        <v>45824</v>
      </c>
      <c r="G5" s="116"/>
      <c r="H5" s="121"/>
      <c r="I5" s="116"/>
      <c r="J5" s="122"/>
      <c r="K5" s="113"/>
      <c r="L5" s="904"/>
    </row>
    <row r="6" spans="1:13"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ht="13">
      <c r="A7" s="107"/>
      <c r="B7" s="906"/>
      <c r="C7" s="906"/>
      <c r="D7" s="130" t="str">
        <f>'Cover Sheet'!D7</f>
        <v>Collection Period</v>
      </c>
      <c r="E7" s="131" t="str">
        <f>'Cover Sheet'!E7</f>
        <v>from</v>
      </c>
      <c r="F7" s="132" t="str">
        <f>'Cover Sheet'!F7</f>
        <v>01.05.2025</v>
      </c>
      <c r="G7" s="131" t="str">
        <f>'Cover Sheet'!G7</f>
        <v>to</v>
      </c>
      <c r="H7" s="132">
        <f>'Cover Sheet'!H7</f>
        <v>45808</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c r="G11" s="136"/>
      <c r="H11" s="137"/>
      <c r="I11" s="101"/>
      <c r="J11" s="136"/>
      <c r="K11" s="113"/>
    </row>
    <row r="12" spans="1:13" ht="18" customHeight="1" thickBot="1">
      <c r="A12" s="107"/>
      <c r="B12" s="101"/>
      <c r="C12" s="101"/>
      <c r="D12" s="166"/>
      <c r="E12" s="101"/>
      <c r="F12" s="135"/>
      <c r="G12" s="136"/>
      <c r="H12" s="137"/>
      <c r="I12" s="101"/>
      <c r="J12" s="136"/>
      <c r="K12" s="113"/>
    </row>
    <row r="13" spans="1:13" ht="18" customHeight="1">
      <c r="A13" s="107"/>
      <c r="B13" s="975" t="s">
        <v>115</v>
      </c>
      <c r="C13" s="975" t="s">
        <v>532</v>
      </c>
      <c r="D13" s="975" t="s">
        <v>37</v>
      </c>
      <c r="E13" s="975" t="s">
        <v>38</v>
      </c>
      <c r="F13" s="975" t="s">
        <v>39</v>
      </c>
      <c r="G13" s="978" t="s">
        <v>449</v>
      </c>
      <c r="H13" s="977"/>
      <c r="I13" s="974"/>
      <c r="J13" s="974"/>
      <c r="K13" s="113"/>
    </row>
    <row r="14" spans="1:13" ht="18" customHeight="1" thickBot="1">
      <c r="A14" s="107"/>
      <c r="B14" s="976"/>
      <c r="C14" s="976"/>
      <c r="D14" s="976"/>
      <c r="E14" s="976"/>
      <c r="F14" s="976"/>
      <c r="G14" s="979"/>
      <c r="H14" s="977"/>
      <c r="I14" s="974"/>
      <c r="J14" s="974"/>
      <c r="K14" s="113"/>
    </row>
    <row r="15" spans="1:13" ht="15" customHeight="1">
      <c r="A15" s="107"/>
      <c r="B15" s="965">
        <v>1</v>
      </c>
      <c r="C15" s="966">
        <f t="shared" ref="C15:C46" si="0">IF($F$4&gt;=B15,VLOOKUP(CONCATENATE("portfolio_",$B15),portfolio_p.p._20,2,0),"")</f>
        <v>1799999933.0899999</v>
      </c>
      <c r="D15" s="966">
        <f t="shared" ref="D15:D46" si="1">IF($F$4&gt;=B15,VLOOKUP(CONCATENATE("portfolio_",$B15),portfolio_p.p._20,3,0),"")</f>
        <v>28004372.020000003</v>
      </c>
      <c r="E15" s="966">
        <f t="shared" ref="E15:E46" si="2">IF($F$4&gt;=B15,VLOOKUP(CONCATENATE("portfolio_",$B15),portfolio_p.p._20,4,0),"")</f>
        <v>37328045.899999999</v>
      </c>
      <c r="F15" s="966">
        <f t="shared" ref="F15:F46" si="3">IF($F$4&gt;=B15,VLOOKUP(CONCATENATE("portfolio_",$B15),portfolio_p.p._20,5,0),"")</f>
        <v>65332417.920000002</v>
      </c>
      <c r="G15" s="967">
        <f t="shared" ref="G15:G46" si="4">IF($F$4&gt;=B15,VLOOKUP(CONCATENATE("portfolio_",$B15),portfolio_p.p._20,6,0),"")</f>
        <v>0.22234338848232582</v>
      </c>
      <c r="H15" s="137"/>
      <c r="I15" s="101"/>
      <c r="J15" s="136"/>
      <c r="K15" s="113"/>
    </row>
    <row r="16" spans="1:13" ht="15" customHeight="1">
      <c r="A16" s="107"/>
      <c r="B16" s="968">
        <v>2</v>
      </c>
      <c r="C16" s="954">
        <f t="shared" si="0"/>
        <v>1799999978.5700002</v>
      </c>
      <c r="D16" s="954">
        <f t="shared" si="1"/>
        <v>27656379.759999998</v>
      </c>
      <c r="E16" s="954">
        <f t="shared" si="2"/>
        <v>32092572.149999999</v>
      </c>
      <c r="F16" s="954">
        <f t="shared" si="3"/>
        <v>59748951.909999996</v>
      </c>
      <c r="G16" s="969">
        <f t="shared" si="4"/>
        <v>0.19416860446843809</v>
      </c>
      <c r="H16" s="137"/>
      <c r="I16" s="101"/>
      <c r="J16" s="136"/>
      <c r="K16" s="113"/>
    </row>
    <row r="17" spans="1:12" ht="15" customHeight="1">
      <c r="A17" s="107"/>
      <c r="B17" s="968">
        <v>3</v>
      </c>
      <c r="C17" s="954">
        <f t="shared" si="0"/>
        <v>1799999995.6100001</v>
      </c>
      <c r="D17" s="954">
        <f t="shared" si="1"/>
        <v>30260180.499999985</v>
      </c>
      <c r="E17" s="954">
        <f t="shared" si="2"/>
        <v>40849586.790000007</v>
      </c>
      <c r="F17" s="954">
        <f t="shared" si="3"/>
        <v>71109767.289999992</v>
      </c>
      <c r="G17" s="969">
        <f t="shared" si="4"/>
        <v>0.2407835061877559</v>
      </c>
      <c r="H17" s="137"/>
      <c r="I17" s="101"/>
      <c r="J17" s="136"/>
      <c r="K17" s="113"/>
    </row>
    <row r="18" spans="1:12" ht="15" customHeight="1">
      <c r="A18" s="107"/>
      <c r="B18" s="968">
        <v>4</v>
      </c>
      <c r="C18" s="954">
        <f t="shared" si="0"/>
        <v>1799999991.5</v>
      </c>
      <c r="D18" s="954">
        <f t="shared" si="1"/>
        <v>29666354.109999999</v>
      </c>
      <c r="E18" s="954">
        <f t="shared" si="2"/>
        <v>42585774.689999998</v>
      </c>
      <c r="F18" s="954">
        <f t="shared" si="3"/>
        <v>72252128.799999997</v>
      </c>
      <c r="G18" s="969">
        <f t="shared" si="4"/>
        <v>0.24972653386196042</v>
      </c>
      <c r="H18" s="137"/>
      <c r="I18" s="101"/>
      <c r="J18" s="136"/>
      <c r="K18" s="113"/>
    </row>
    <row r="19" spans="1:12" ht="15" customHeight="1">
      <c r="A19" s="107"/>
      <c r="B19" s="968">
        <v>5</v>
      </c>
      <c r="C19" s="954">
        <f t="shared" si="0"/>
        <v>1799999993.9699998</v>
      </c>
      <c r="D19" s="954">
        <f t="shared" si="1"/>
        <v>29272948.699999996</v>
      </c>
      <c r="E19" s="954">
        <f t="shared" si="2"/>
        <v>52031411.07</v>
      </c>
      <c r="F19" s="954">
        <f t="shared" si="3"/>
        <v>81304359.769999996</v>
      </c>
      <c r="G19" s="969">
        <f t="shared" si="4"/>
        <v>0.29671164382801685</v>
      </c>
      <c r="H19" s="137"/>
      <c r="I19" s="101"/>
      <c r="J19" s="136"/>
      <c r="K19" s="113"/>
    </row>
    <row r="20" spans="1:12" ht="15" customHeight="1">
      <c r="A20" s="107"/>
      <c r="B20" s="968">
        <v>6</v>
      </c>
      <c r="C20" s="954">
        <f t="shared" si="0"/>
        <v>1799999998.4199996</v>
      </c>
      <c r="D20" s="954">
        <f t="shared" si="1"/>
        <v>28945451.649999999</v>
      </c>
      <c r="E20" s="954">
        <f t="shared" si="2"/>
        <v>45554564.240000002</v>
      </c>
      <c r="F20" s="954">
        <f t="shared" si="3"/>
        <v>74500015.890000001</v>
      </c>
      <c r="G20" s="969">
        <f t="shared" si="4"/>
        <v>0.26479520619498165</v>
      </c>
      <c r="H20" s="137"/>
      <c r="I20" s="101"/>
      <c r="J20" s="136"/>
      <c r="K20" s="113"/>
    </row>
    <row r="21" spans="1:12" ht="15" customHeight="1">
      <c r="A21" s="107"/>
      <c r="B21" s="968">
        <v>7</v>
      </c>
      <c r="C21" s="954">
        <f t="shared" si="0"/>
        <v>1799999986.5399995</v>
      </c>
      <c r="D21" s="954">
        <f t="shared" si="1"/>
        <v>29236040.560000002</v>
      </c>
      <c r="E21" s="954">
        <f t="shared" si="2"/>
        <v>43340599.829999998</v>
      </c>
      <c r="F21" s="954">
        <f t="shared" si="3"/>
        <v>72576640.390000001</v>
      </c>
      <c r="G21" s="969">
        <f t="shared" si="4"/>
        <v>0.25358440259872528</v>
      </c>
      <c r="H21" s="101"/>
      <c r="I21" s="101"/>
      <c r="J21" s="101"/>
      <c r="K21" s="113"/>
    </row>
    <row r="22" spans="1:12" ht="15" customHeight="1">
      <c r="A22" s="107"/>
      <c r="B22" s="968">
        <v>8</v>
      </c>
      <c r="C22" s="954">
        <f t="shared" si="0"/>
        <v>1799999989.6299996</v>
      </c>
      <c r="D22" s="954">
        <f t="shared" si="1"/>
        <v>29279001.03999991</v>
      </c>
      <c r="E22" s="954">
        <f t="shared" si="2"/>
        <v>50076352.280000083</v>
      </c>
      <c r="F22" s="954">
        <f t="shared" si="3"/>
        <v>79355353.319999993</v>
      </c>
      <c r="G22" s="969">
        <f t="shared" si="4"/>
        <v>0.28721403679433843</v>
      </c>
      <c r="H22" s="101"/>
      <c r="I22" s="101"/>
      <c r="J22" s="907"/>
      <c r="K22" s="113"/>
      <c r="L22" s="908"/>
    </row>
    <row r="23" spans="1:12" ht="15" customHeight="1">
      <c r="A23" s="107"/>
      <c r="B23" s="968">
        <v>9</v>
      </c>
      <c r="C23" s="954">
        <f t="shared" si="0"/>
        <v>1799999997.6199999</v>
      </c>
      <c r="D23" s="954">
        <f t="shared" si="1"/>
        <v>29869284.359999947</v>
      </c>
      <c r="E23" s="954">
        <f t="shared" si="2"/>
        <v>62441257.360000052</v>
      </c>
      <c r="F23" s="954">
        <f t="shared" si="3"/>
        <v>92310541.719999999</v>
      </c>
      <c r="G23" s="969">
        <f t="shared" si="4"/>
        <v>0.34535796239374195</v>
      </c>
      <c r="H23" s="101"/>
      <c r="I23" s="101"/>
      <c r="J23" s="909"/>
      <c r="K23" s="113"/>
    </row>
    <row r="24" spans="1:12" ht="15" customHeight="1">
      <c r="A24" s="107"/>
      <c r="B24" s="968">
        <v>10</v>
      </c>
      <c r="C24" s="954">
        <f t="shared" si="0"/>
        <v>1799999984.6999998</v>
      </c>
      <c r="D24" s="954">
        <f t="shared" si="1"/>
        <v>29621444.89000003</v>
      </c>
      <c r="E24" s="954">
        <f t="shared" si="2"/>
        <v>51566098.319999978</v>
      </c>
      <c r="F24" s="954">
        <f t="shared" si="3"/>
        <v>81187543.210000008</v>
      </c>
      <c r="G24" s="969">
        <f t="shared" si="4"/>
        <v>0.29446175163235555</v>
      </c>
      <c r="H24" s="910"/>
      <c r="I24" s="910"/>
      <c r="J24" s="911"/>
      <c r="K24" s="113"/>
    </row>
    <row r="25" spans="1:12" ht="15" customHeight="1">
      <c r="A25" s="107"/>
      <c r="B25" s="968">
        <v>11</v>
      </c>
      <c r="C25" s="954">
        <f t="shared" si="0"/>
        <v>1799999992.8399997</v>
      </c>
      <c r="D25" s="954">
        <f t="shared" si="1"/>
        <v>30177669.470000006</v>
      </c>
      <c r="E25" s="954">
        <f t="shared" si="2"/>
        <v>47987492.899999999</v>
      </c>
      <c r="F25" s="954">
        <f t="shared" si="3"/>
        <v>78165162.370000005</v>
      </c>
      <c r="G25" s="969">
        <f t="shared" si="4"/>
        <v>0.276936625098684</v>
      </c>
      <c r="H25" s="896"/>
      <c r="I25" s="896"/>
      <c r="J25" s="895"/>
      <c r="K25" s="113"/>
    </row>
    <row r="26" spans="1:12" ht="15" customHeight="1">
      <c r="A26" s="107"/>
      <c r="B26" s="968">
        <v>12</v>
      </c>
      <c r="C26" s="954">
        <f t="shared" si="0"/>
        <v>1799999993.5799999</v>
      </c>
      <c r="D26" s="954">
        <f t="shared" si="1"/>
        <v>30876744.159999937</v>
      </c>
      <c r="E26" s="954">
        <f t="shared" si="2"/>
        <v>47465290.02000007</v>
      </c>
      <c r="F26" s="954">
        <f t="shared" si="3"/>
        <v>78342034.180000007</v>
      </c>
      <c r="G26" s="969">
        <f t="shared" si="4"/>
        <v>0.27434619569214269</v>
      </c>
      <c r="H26" s="896"/>
      <c r="I26" s="896"/>
      <c r="J26" s="898"/>
      <c r="K26" s="113"/>
    </row>
    <row r="27" spans="1:12" ht="15" customHeight="1">
      <c r="A27" s="107"/>
      <c r="B27" s="968">
        <v>13</v>
      </c>
      <c r="C27" s="954">
        <f t="shared" si="0"/>
        <v>1799999958.8</v>
      </c>
      <c r="D27" s="954">
        <f t="shared" si="1"/>
        <v>29556876.670000002</v>
      </c>
      <c r="E27" s="954">
        <f t="shared" si="2"/>
        <v>45760187.189999998</v>
      </c>
      <c r="F27" s="954">
        <f t="shared" si="3"/>
        <v>75317063.859999999</v>
      </c>
      <c r="G27" s="969">
        <f t="shared" si="4"/>
        <v>0.26579999999999998</v>
      </c>
      <c r="H27" s="896"/>
      <c r="I27" s="896"/>
      <c r="J27" s="315"/>
      <c r="K27" s="113"/>
    </row>
    <row r="28" spans="1:12" ht="15" customHeight="1">
      <c r="A28" s="107"/>
      <c r="B28" s="968">
        <v>14</v>
      </c>
      <c r="C28" s="954">
        <f t="shared" si="0"/>
        <v>1721647673.05</v>
      </c>
      <c r="D28" s="954">
        <f t="shared" si="1"/>
        <v>28588769.789999947</v>
      </c>
      <c r="E28" s="954">
        <f t="shared" si="2"/>
        <v>30693631.430000052</v>
      </c>
      <c r="F28" s="954">
        <f t="shared" si="3"/>
        <v>59282401.219999999</v>
      </c>
      <c r="G28" s="969">
        <f t="shared" si="4"/>
        <v>0.19415727431021979</v>
      </c>
      <c r="H28" s="896"/>
      <c r="I28" s="896"/>
      <c r="J28" s="895"/>
      <c r="K28" s="113"/>
    </row>
    <row r="29" spans="1:12" ht="15" customHeight="1">
      <c r="A29" s="107"/>
      <c r="B29" s="968">
        <v>15</v>
      </c>
      <c r="C29" s="954">
        <f t="shared" si="0"/>
        <v>1658715590.6799998</v>
      </c>
      <c r="D29" s="954">
        <f t="shared" si="1"/>
        <v>28499176.780000001</v>
      </c>
      <c r="E29" s="954">
        <f t="shared" si="2"/>
        <v>47084893.549999997</v>
      </c>
      <c r="F29" s="954">
        <f t="shared" si="3"/>
        <v>75584070.329999998</v>
      </c>
      <c r="G29" s="969">
        <f t="shared" si="4"/>
        <v>0.29217931468353797</v>
      </c>
      <c r="H29" s="896"/>
      <c r="I29" s="896"/>
      <c r="J29" s="895"/>
      <c r="K29" s="113"/>
    </row>
    <row r="30" spans="1:12" ht="15" customHeight="1">
      <c r="A30" s="107"/>
      <c r="B30" s="968">
        <v>16</v>
      </c>
      <c r="C30" s="954">
        <f t="shared" si="0"/>
        <v>1579516526.0799999</v>
      </c>
      <c r="D30" s="954">
        <f t="shared" si="1"/>
        <v>27185727.459999889</v>
      </c>
      <c r="E30" s="954">
        <f t="shared" si="2"/>
        <v>44025413.580000103</v>
      </c>
      <c r="F30" s="954">
        <f t="shared" si="3"/>
        <v>71211141.039999992</v>
      </c>
      <c r="G30" s="969">
        <f t="shared" si="4"/>
        <v>0.28767597111489629</v>
      </c>
      <c r="H30" s="896"/>
      <c r="I30" s="896"/>
      <c r="J30" s="895"/>
      <c r="K30" s="113"/>
    </row>
    <row r="31" spans="1:12" ht="15" customHeight="1">
      <c r="A31" s="107"/>
      <c r="B31" s="968">
        <v>17</v>
      </c>
      <c r="C31" s="954">
        <f t="shared" si="0"/>
        <v>1504720267.3</v>
      </c>
      <c r="D31" s="954">
        <f t="shared" si="1"/>
        <v>26381970.379999928</v>
      </c>
      <c r="E31" s="954">
        <f t="shared" si="2"/>
        <v>42816372.780000068</v>
      </c>
      <c r="F31" s="954">
        <f t="shared" si="3"/>
        <v>69198343.159999996</v>
      </c>
      <c r="G31" s="969">
        <f t="shared" si="4"/>
        <v>0.29277658709498711</v>
      </c>
      <c r="H31" s="896"/>
      <c r="I31" s="896"/>
      <c r="J31" s="895"/>
      <c r="K31" s="113"/>
    </row>
    <row r="32" spans="1:12" ht="15" customHeight="1">
      <c r="A32" s="107"/>
      <c r="B32" s="968">
        <v>18</v>
      </c>
      <c r="C32" s="954">
        <f t="shared" si="0"/>
        <v>1432703420.5699999</v>
      </c>
      <c r="D32" s="954">
        <f t="shared" si="1"/>
        <v>26625784.189999931</v>
      </c>
      <c r="E32" s="954">
        <f t="shared" si="2"/>
        <v>34486040.660000063</v>
      </c>
      <c r="F32" s="954">
        <f t="shared" si="3"/>
        <v>61111824.849999994</v>
      </c>
      <c r="G32" s="969">
        <f t="shared" si="4"/>
        <v>0.25351552427605717</v>
      </c>
      <c r="H32" s="896"/>
      <c r="I32" s="896"/>
      <c r="J32" s="895"/>
      <c r="K32" s="113"/>
    </row>
    <row r="33" spans="1:11" ht="15" customHeight="1">
      <c r="A33" s="107"/>
      <c r="B33" s="968">
        <v>19</v>
      </c>
      <c r="C33" s="954">
        <f t="shared" si="0"/>
        <v>1366855787.27</v>
      </c>
      <c r="D33" s="954">
        <f t="shared" si="1"/>
        <v>24783879.790000021</v>
      </c>
      <c r="E33" s="954">
        <f t="shared" si="2"/>
        <v>37217290.409999982</v>
      </c>
      <c r="F33" s="954">
        <f t="shared" si="3"/>
        <v>62001170.200000003</v>
      </c>
      <c r="G33" s="969">
        <f t="shared" si="4"/>
        <v>0.28198979417096592</v>
      </c>
      <c r="H33" s="896"/>
      <c r="I33" s="896"/>
      <c r="J33" s="895"/>
      <c r="K33" s="113"/>
    </row>
    <row r="34" spans="1:11" ht="15" customHeight="1">
      <c r="A34" s="107"/>
      <c r="B34" s="968">
        <v>20</v>
      </c>
      <c r="C34" s="954">
        <f t="shared" si="0"/>
        <v>1301382552.8299999</v>
      </c>
      <c r="D34" s="954">
        <f t="shared" si="1"/>
        <v>23445035.290000025</v>
      </c>
      <c r="E34" s="954">
        <f t="shared" si="2"/>
        <v>31526190.429999974</v>
      </c>
      <c r="F34" s="954">
        <f t="shared" si="3"/>
        <v>54971225.719999999</v>
      </c>
      <c r="G34" s="969">
        <f t="shared" si="4"/>
        <v>0.25493282367114412</v>
      </c>
      <c r="H34" s="896"/>
      <c r="I34" s="896"/>
      <c r="J34" s="895"/>
      <c r="K34" s="113"/>
    </row>
    <row r="35" spans="1:11" ht="15" customHeight="1">
      <c r="A35" s="107"/>
      <c r="B35" s="968">
        <v>21</v>
      </c>
      <c r="C35" s="954">
        <f t="shared" si="0"/>
        <v>1243335118.53</v>
      </c>
      <c r="D35" s="954">
        <f t="shared" si="1"/>
        <v>23488188.23000003</v>
      </c>
      <c r="E35" s="954">
        <f t="shared" si="2"/>
        <v>27123684.869999964</v>
      </c>
      <c r="F35" s="954">
        <f t="shared" si="3"/>
        <v>50611873.099999994</v>
      </c>
      <c r="G35" s="969">
        <f t="shared" si="4"/>
        <v>0.23254914342101018</v>
      </c>
      <c r="H35" s="896"/>
      <c r="I35" s="896"/>
      <c r="J35" s="895"/>
      <c r="K35" s="113"/>
    </row>
    <row r="36" spans="1:11" ht="15" customHeight="1">
      <c r="A36" s="107"/>
      <c r="B36" s="968">
        <v>22</v>
      </c>
      <c r="C36" s="954">
        <f t="shared" si="0"/>
        <v>1189492514.1999998</v>
      </c>
      <c r="D36" s="954">
        <f t="shared" si="1"/>
        <v>22033853.800000031</v>
      </c>
      <c r="E36" s="954">
        <f t="shared" si="2"/>
        <v>26062473.989999969</v>
      </c>
      <c r="F36" s="954">
        <f t="shared" si="3"/>
        <v>48096327.789999999</v>
      </c>
      <c r="G36" s="969">
        <f t="shared" si="4"/>
        <v>0.23344606018301084</v>
      </c>
      <c r="H36" s="896"/>
      <c r="I36" s="896"/>
      <c r="J36" s="895"/>
      <c r="K36" s="113"/>
    </row>
    <row r="37" spans="1:11" s="68" customFormat="1" ht="15" customHeight="1">
      <c r="A37" s="912"/>
      <c r="B37" s="968">
        <v>23</v>
      </c>
      <c r="C37" s="954">
        <f t="shared" si="0"/>
        <v>1137704113.1299999</v>
      </c>
      <c r="D37" s="954">
        <f t="shared" si="1"/>
        <v>21376728.610000011</v>
      </c>
      <c r="E37" s="954">
        <f t="shared" si="2"/>
        <v>22264065.199999992</v>
      </c>
      <c r="F37" s="954">
        <f t="shared" si="3"/>
        <v>43640793.810000002</v>
      </c>
      <c r="G37" s="969">
        <f t="shared" si="4"/>
        <v>0.21113469107206151</v>
      </c>
      <c r="H37" s="913"/>
      <c r="I37" s="913"/>
      <c r="J37" s="914"/>
      <c r="K37" s="170"/>
    </row>
    <row r="38" spans="1:11" s="68" customFormat="1" ht="15" customHeight="1">
      <c r="A38" s="912"/>
      <c r="B38" s="968">
        <v>24</v>
      </c>
      <c r="C38" s="954">
        <f t="shared" si="0"/>
        <v>1091302713.23</v>
      </c>
      <c r="D38" s="954">
        <f t="shared" si="1"/>
        <v>20896411.550000001</v>
      </c>
      <c r="E38" s="954">
        <f t="shared" si="2"/>
        <v>17461551.760000002</v>
      </c>
      <c r="F38" s="954">
        <f t="shared" si="3"/>
        <v>38357963.310000002</v>
      </c>
      <c r="G38" s="969">
        <f t="shared" si="4"/>
        <v>0.1759800175602646</v>
      </c>
      <c r="H38" s="910"/>
      <c r="I38" s="910"/>
      <c r="J38" s="895"/>
      <c r="K38" s="170"/>
    </row>
    <row r="39" spans="1:11" s="68" customFormat="1" ht="15" customHeight="1">
      <c r="A39" s="912"/>
      <c r="B39" s="968">
        <v>25</v>
      </c>
      <c r="C39" s="954">
        <f t="shared" si="0"/>
        <v>1050040105.16</v>
      </c>
      <c r="D39" s="954">
        <f t="shared" si="1"/>
        <v>20553036.440000013</v>
      </c>
      <c r="E39" s="954">
        <f t="shared" si="2"/>
        <v>14978129.25999999</v>
      </c>
      <c r="F39" s="954">
        <f t="shared" si="3"/>
        <v>35531165.700000003</v>
      </c>
      <c r="G39" s="969">
        <f t="shared" si="4"/>
        <v>0.15836146117015115</v>
      </c>
      <c r="H39" s="910"/>
      <c r="I39" s="910"/>
      <c r="J39" s="895"/>
      <c r="K39" s="170"/>
    </row>
    <row r="40" spans="1:11" ht="15" customHeight="1">
      <c r="A40" s="107"/>
      <c r="B40" s="968">
        <v>26</v>
      </c>
      <c r="C40" s="954">
        <f t="shared" si="0"/>
        <v>1011546703.21</v>
      </c>
      <c r="D40" s="954">
        <f t="shared" si="1"/>
        <v>19883570.130000003</v>
      </c>
      <c r="E40" s="954">
        <f t="shared" si="2"/>
        <v>9981424.5499999952</v>
      </c>
      <c r="F40" s="954">
        <f t="shared" si="3"/>
        <v>29864994.68</v>
      </c>
      <c r="G40" s="969">
        <f t="shared" si="4"/>
        <v>0.11219035864259508</v>
      </c>
      <c r="H40" s="896"/>
      <c r="I40" s="896"/>
      <c r="J40" s="915"/>
      <c r="K40" s="113"/>
    </row>
    <row r="41" spans="1:11" ht="15" customHeight="1">
      <c r="A41" s="107"/>
      <c r="B41" s="968">
        <v>27</v>
      </c>
      <c r="C41" s="954">
        <f t="shared" si="0"/>
        <v>979508496.29000008</v>
      </c>
      <c r="D41" s="954">
        <f t="shared" si="1"/>
        <v>19747624.75</v>
      </c>
      <c r="E41" s="954">
        <f t="shared" si="2"/>
        <v>16740256.789999997</v>
      </c>
      <c r="F41" s="954">
        <f t="shared" si="3"/>
        <v>36487881.539999999</v>
      </c>
      <c r="G41" s="969">
        <f t="shared" si="4"/>
        <v>0.18686515711438367</v>
      </c>
      <c r="H41" s="896"/>
      <c r="I41" s="896"/>
      <c r="J41" s="898"/>
      <c r="K41" s="113"/>
    </row>
    <row r="42" spans="1:11" ht="15" customHeight="1">
      <c r="A42" s="107"/>
      <c r="B42" s="968">
        <v>28</v>
      </c>
      <c r="C42" s="954">
        <f t="shared" si="0"/>
        <v>940396572.93000007</v>
      </c>
      <c r="D42" s="954">
        <f t="shared" si="1"/>
        <v>19164568.530000001</v>
      </c>
      <c r="E42" s="954">
        <f t="shared" si="2"/>
        <v>14265507.469999997</v>
      </c>
      <c r="F42" s="954">
        <f t="shared" si="3"/>
        <v>33430076</v>
      </c>
      <c r="G42" s="969">
        <f t="shared" si="4"/>
        <v>0.16759060729436059</v>
      </c>
      <c r="H42" s="101"/>
      <c r="I42" s="101"/>
      <c r="J42" s="160"/>
      <c r="K42" s="113"/>
    </row>
    <row r="43" spans="1:11" ht="15" customHeight="1">
      <c r="A43" s="107"/>
      <c r="B43" s="968">
        <v>29</v>
      </c>
      <c r="C43" s="954">
        <f t="shared" si="0"/>
        <v>904083465.13000011</v>
      </c>
      <c r="D43" s="954">
        <f t="shared" si="1"/>
        <v>18959919.519999996</v>
      </c>
      <c r="E43" s="954">
        <f t="shared" si="2"/>
        <v>14103398.550000004</v>
      </c>
      <c r="F43" s="954">
        <f t="shared" si="3"/>
        <v>33063318.07</v>
      </c>
      <c r="G43" s="969">
        <f t="shared" si="4"/>
        <v>0.17194146551605116</v>
      </c>
      <c r="H43" s="101"/>
      <c r="I43" s="101"/>
      <c r="J43" s="160"/>
      <c r="K43" s="113"/>
    </row>
    <row r="44" spans="1:11" ht="15" customHeight="1">
      <c r="A44" s="107"/>
      <c r="B44" s="968">
        <v>30</v>
      </c>
      <c r="C44" s="954">
        <f t="shared" si="0"/>
        <v>867754835.41000021</v>
      </c>
      <c r="D44" s="954">
        <f t="shared" si="1"/>
        <v>18442913.190000013</v>
      </c>
      <c r="E44" s="954">
        <f t="shared" si="2"/>
        <v>10244883.259999992</v>
      </c>
      <c r="F44" s="954">
        <f t="shared" si="3"/>
        <v>28687796.450000003</v>
      </c>
      <c r="G44" s="969">
        <f t="shared" si="4"/>
        <v>0.13282745244842409</v>
      </c>
      <c r="H44" s="101"/>
      <c r="I44" s="101"/>
      <c r="J44" s="160"/>
      <c r="K44" s="113"/>
    </row>
    <row r="45" spans="1:11" ht="15" customHeight="1">
      <c r="A45" s="107"/>
      <c r="B45" s="968">
        <v>31</v>
      </c>
      <c r="C45" s="954">
        <f t="shared" si="0"/>
        <v>837573133.32000017</v>
      </c>
      <c r="D45" s="954">
        <f t="shared" si="1"/>
        <v>17521972.500000007</v>
      </c>
      <c r="E45" s="954">
        <f t="shared" si="2"/>
        <v>12252968.869999992</v>
      </c>
      <c r="F45" s="954">
        <f t="shared" si="3"/>
        <v>29774941.369999997</v>
      </c>
      <c r="G45" s="969">
        <f t="shared" si="4"/>
        <v>0.16209146310244138</v>
      </c>
      <c r="H45" s="101"/>
      <c r="I45" s="101"/>
      <c r="J45" s="160"/>
      <c r="K45" s="113"/>
    </row>
    <row r="46" spans="1:11" ht="15" customHeight="1">
      <c r="A46" s="107"/>
      <c r="B46" s="968">
        <v>32</v>
      </c>
      <c r="C46" s="954">
        <f t="shared" si="0"/>
        <v>805344476.12000012</v>
      </c>
      <c r="D46" s="954">
        <f t="shared" si="1"/>
        <v>17333857.710000008</v>
      </c>
      <c r="E46" s="954">
        <f t="shared" si="2"/>
        <v>11466605.819999993</v>
      </c>
      <c r="F46" s="954">
        <f t="shared" si="3"/>
        <v>28800463.530000001</v>
      </c>
      <c r="G46" s="969">
        <f t="shared" si="4"/>
        <v>0.1580929597284374</v>
      </c>
      <c r="H46" s="101"/>
      <c r="I46" s="101"/>
      <c r="J46" s="160"/>
      <c r="K46" s="113"/>
    </row>
    <row r="47" spans="1:11" ht="15" customHeight="1">
      <c r="A47" s="107"/>
      <c r="B47" s="968">
        <v>33</v>
      </c>
      <c r="C47" s="954">
        <f t="shared" ref="C47:C78" si="5">IF($F$4&gt;=B47,VLOOKUP(CONCATENATE("portfolio_",$B47),portfolio_p.p._20,2,0),"")</f>
        <v>774337554.89999998</v>
      </c>
      <c r="D47" s="954">
        <f t="shared" ref="D47:D78" si="6">IF($F$4&gt;=B47,VLOOKUP(CONCATENATE("portfolio_",$B47),portfolio_p.p._20,3,0),"")</f>
        <v>16768072.819999991</v>
      </c>
      <c r="E47" s="954">
        <f t="shared" ref="E47:E78" si="7">IF($F$4&gt;=B47,VLOOKUP(CONCATENATE("portfolio_",$B47),portfolio_p.p._20,4,0),"")</f>
        <v>11233018.290000008</v>
      </c>
      <c r="F47" s="954">
        <f t="shared" ref="F47:F78" si="8">IF($F$4&gt;=B47,VLOOKUP(CONCATENATE("portfolio_",$B47),portfolio_p.p._20,5,0),"")</f>
        <v>28001091.109999999</v>
      </c>
      <c r="G47" s="969">
        <f t="shared" ref="G47:G78" si="9">IF($F$4&gt;=B47,VLOOKUP(CONCATENATE("portfolio_",$B47),portfolio_p.p._20,6,0),"")</f>
        <v>0.16084043050028773</v>
      </c>
      <c r="H47" s="101"/>
      <c r="I47" s="101"/>
      <c r="J47" s="160"/>
      <c r="K47" s="113"/>
    </row>
    <row r="48" spans="1:11" ht="15" customHeight="1">
      <c r="A48" s="107"/>
      <c r="B48" s="968">
        <v>34</v>
      </c>
      <c r="C48" s="954">
        <f t="shared" si="5"/>
        <v>744253182.51999998</v>
      </c>
      <c r="D48" s="954">
        <f t="shared" si="6"/>
        <v>16558540.009999992</v>
      </c>
      <c r="E48" s="954">
        <f t="shared" si="7"/>
        <v>11174524.560000008</v>
      </c>
      <c r="F48" s="954">
        <f t="shared" si="8"/>
        <v>27733064.57</v>
      </c>
      <c r="G48" s="969">
        <f t="shared" si="9"/>
        <v>0.16601448362724636</v>
      </c>
      <c r="H48" s="101"/>
      <c r="I48" s="101"/>
      <c r="J48" s="160"/>
      <c r="K48" s="113"/>
    </row>
    <row r="49" spans="1:11" ht="15" customHeight="1">
      <c r="A49" s="107"/>
      <c r="B49" s="968">
        <v>35</v>
      </c>
      <c r="C49" s="954">
        <f t="shared" si="5"/>
        <v>714652736.21999991</v>
      </c>
      <c r="D49" s="954">
        <f t="shared" si="6"/>
        <v>16488206.139999997</v>
      </c>
      <c r="E49" s="954">
        <f t="shared" si="7"/>
        <v>6880698.320000004</v>
      </c>
      <c r="F49" s="954">
        <f t="shared" si="8"/>
        <v>23368904.460000001</v>
      </c>
      <c r="G49" s="969">
        <f t="shared" si="9"/>
        <v>0.1096103966598081</v>
      </c>
      <c r="H49" s="101"/>
      <c r="I49" s="101"/>
      <c r="J49" s="160"/>
      <c r="K49" s="113"/>
    </row>
    <row r="50" spans="1:11" ht="15" customHeight="1">
      <c r="A50" s="107"/>
      <c r="B50" s="968">
        <v>36</v>
      </c>
      <c r="C50" s="954">
        <f t="shared" si="5"/>
        <v>689208813.98999989</v>
      </c>
      <c r="D50" s="954">
        <f t="shared" si="6"/>
        <v>15952962.620000008</v>
      </c>
      <c r="E50" s="954">
        <f t="shared" si="7"/>
        <v>7342513.8199999919</v>
      </c>
      <c r="F50" s="954">
        <f t="shared" si="8"/>
        <v>23295476.440000001</v>
      </c>
      <c r="G50" s="969">
        <f t="shared" si="9"/>
        <v>0.12061136486941704</v>
      </c>
      <c r="H50" s="101"/>
      <c r="I50" s="101"/>
      <c r="J50" s="160"/>
      <c r="K50" s="113"/>
    </row>
    <row r="51" spans="1:11" ht="15" customHeight="1">
      <c r="A51" s="107"/>
      <c r="B51" s="968">
        <v>37</v>
      </c>
      <c r="C51" s="954">
        <f t="shared" si="5"/>
        <v>664036503.01999986</v>
      </c>
      <c r="D51" s="954">
        <f t="shared" si="6"/>
        <v>15429784.109999999</v>
      </c>
      <c r="E51" s="954">
        <f t="shared" si="7"/>
        <v>6956068.9400000004</v>
      </c>
      <c r="F51" s="954">
        <f t="shared" si="8"/>
        <v>22385853.050000001</v>
      </c>
      <c r="G51" s="969">
        <f t="shared" si="9"/>
        <v>0.11870972273954117</v>
      </c>
      <c r="H51" s="101"/>
      <c r="I51" s="101"/>
      <c r="J51" s="160"/>
      <c r="K51" s="113"/>
    </row>
    <row r="52" spans="1:11" ht="15" customHeight="1">
      <c r="A52" s="107"/>
      <c r="B52" s="968">
        <v>38</v>
      </c>
      <c r="C52" s="954">
        <f t="shared" si="5"/>
        <v>640143017.51999986</v>
      </c>
      <c r="D52" s="954">
        <f t="shared" si="6"/>
        <v>15255509.430000002</v>
      </c>
      <c r="E52" s="954">
        <f t="shared" si="7"/>
        <v>4508080.209999999</v>
      </c>
      <c r="F52" s="954">
        <f t="shared" si="8"/>
        <v>19763589.640000001</v>
      </c>
      <c r="G52" s="969">
        <f t="shared" si="9"/>
        <v>8.1310047092067239E-2</v>
      </c>
      <c r="H52" s="101"/>
      <c r="I52" s="101"/>
      <c r="J52" s="160"/>
      <c r="K52" s="113"/>
    </row>
    <row r="53" spans="1:11" ht="15" customHeight="1">
      <c r="A53" s="107"/>
      <c r="B53" s="968">
        <v>39</v>
      </c>
      <c r="C53" s="954">
        <f t="shared" si="5"/>
        <v>618529801.1099999</v>
      </c>
      <c r="D53" s="954">
        <f t="shared" si="6"/>
        <v>15218681.960000001</v>
      </c>
      <c r="E53" s="954">
        <f t="shared" si="7"/>
        <v>8160241.1900000004</v>
      </c>
      <c r="F53" s="954">
        <f t="shared" si="8"/>
        <v>23378923.150000002</v>
      </c>
      <c r="G53" s="969">
        <f t="shared" si="9"/>
        <v>0.14731848077192744</v>
      </c>
      <c r="H53" s="101"/>
      <c r="I53" s="101"/>
      <c r="J53" s="160"/>
      <c r="K53" s="113"/>
    </row>
    <row r="54" spans="1:11" ht="15" customHeight="1">
      <c r="A54" s="107"/>
      <c r="B54" s="968">
        <v>40</v>
      </c>
      <c r="C54" s="954">
        <f t="shared" si="5"/>
        <v>593148563.19999993</v>
      </c>
      <c r="D54" s="954">
        <f t="shared" si="6"/>
        <v>14451149.369999997</v>
      </c>
      <c r="E54" s="954">
        <f t="shared" si="7"/>
        <v>6947331.4200000009</v>
      </c>
      <c r="F54" s="954">
        <f t="shared" si="8"/>
        <v>21398480.789999999</v>
      </c>
      <c r="G54" s="969">
        <f t="shared" si="9"/>
        <v>0.13184168859359191</v>
      </c>
      <c r="H54" s="101"/>
      <c r="I54" s="101"/>
      <c r="J54" s="160"/>
      <c r="K54" s="113"/>
    </row>
    <row r="55" spans="1:11" ht="15" customHeight="1">
      <c r="A55" s="107"/>
      <c r="B55" s="968">
        <v>41</v>
      </c>
      <c r="C55" s="954">
        <f t="shared" si="5"/>
        <v>570129389.5799998</v>
      </c>
      <c r="D55" s="954">
        <f t="shared" si="6"/>
        <v>14338922.149999997</v>
      </c>
      <c r="E55" s="954">
        <f t="shared" si="7"/>
        <v>6971384.2400000039</v>
      </c>
      <c r="F55" s="954">
        <f t="shared" si="8"/>
        <v>21310306.390000001</v>
      </c>
      <c r="G55" s="969">
        <f t="shared" si="9"/>
        <v>0.13725590359841389</v>
      </c>
      <c r="H55" s="101"/>
      <c r="I55" s="101"/>
      <c r="J55" s="160"/>
      <c r="K55" s="113"/>
    </row>
    <row r="56" spans="1:11" ht="15" customHeight="1">
      <c r="A56" s="107"/>
      <c r="B56" s="968">
        <v>42</v>
      </c>
      <c r="C56" s="954">
        <f t="shared" si="5"/>
        <v>547537466.84999979</v>
      </c>
      <c r="D56" s="954">
        <f t="shared" si="6"/>
        <v>13875942.959999993</v>
      </c>
      <c r="E56" s="954">
        <f t="shared" si="7"/>
        <v>6931744.9200000046</v>
      </c>
      <c r="F56" s="954">
        <f t="shared" si="8"/>
        <v>20807687.879999999</v>
      </c>
      <c r="G56" s="969">
        <f t="shared" si="9"/>
        <v>0.14177423532382438</v>
      </c>
      <c r="H56" s="101"/>
      <c r="I56" s="101"/>
      <c r="J56" s="160"/>
      <c r="K56" s="113"/>
    </row>
    <row r="57" spans="1:11" ht="15" customHeight="1">
      <c r="A57" s="107"/>
      <c r="B57" s="968">
        <v>43</v>
      </c>
      <c r="C57" s="954">
        <f t="shared" si="5"/>
        <v>525478887.65999985</v>
      </c>
      <c r="D57" s="954">
        <f t="shared" si="6"/>
        <v>13394198.890000004</v>
      </c>
      <c r="E57" s="954">
        <f t="shared" si="7"/>
        <v>6448230.299999997</v>
      </c>
      <c r="F57" s="954">
        <f t="shared" si="8"/>
        <v>19842429.190000001</v>
      </c>
      <c r="G57" s="969">
        <f t="shared" si="9"/>
        <v>0.1377109569398377</v>
      </c>
      <c r="H57" s="101"/>
      <c r="I57" s="101"/>
      <c r="J57" s="160"/>
      <c r="K57" s="113"/>
    </row>
    <row r="58" spans="1:11" ht="15" customHeight="1">
      <c r="A58" s="107"/>
      <c r="B58" s="968">
        <v>44</v>
      </c>
      <c r="C58" s="954">
        <f t="shared" si="5"/>
        <v>504470040.88999987</v>
      </c>
      <c r="D58" s="954">
        <f t="shared" si="6"/>
        <v>13279658.990000008</v>
      </c>
      <c r="E58" s="954">
        <f t="shared" si="7"/>
        <v>5690703.8499999922</v>
      </c>
      <c r="F58" s="954">
        <f t="shared" si="8"/>
        <v>18970362.84</v>
      </c>
      <c r="G58" s="969">
        <f t="shared" si="9"/>
        <v>0.12727606593913154</v>
      </c>
      <c r="H58" s="101"/>
      <c r="I58" s="101"/>
      <c r="J58" s="160"/>
      <c r="K58" s="113"/>
    </row>
    <row r="59" spans="1:11" ht="15" customHeight="1">
      <c r="A59" s="107"/>
      <c r="B59" s="968">
        <v>45</v>
      </c>
      <c r="C59" s="954">
        <f t="shared" si="5"/>
        <v>483797256.39999992</v>
      </c>
      <c r="D59" s="954">
        <f t="shared" si="6"/>
        <v>13035463.549999997</v>
      </c>
      <c r="E59" s="954">
        <f t="shared" si="7"/>
        <v>6586923.1200000057</v>
      </c>
      <c r="F59" s="954">
        <f t="shared" si="8"/>
        <v>19622386.670000002</v>
      </c>
      <c r="G59" s="969">
        <f t="shared" si="9"/>
        <v>0.1516847871625675</v>
      </c>
      <c r="H59" s="101"/>
      <c r="I59" s="101"/>
      <c r="J59" s="160"/>
      <c r="K59" s="113"/>
    </row>
    <row r="60" spans="1:11" ht="15" customHeight="1">
      <c r="A60" s="107"/>
      <c r="B60" s="968">
        <v>46</v>
      </c>
      <c r="C60" s="954">
        <f t="shared" si="5"/>
        <v>462729654.5399999</v>
      </c>
      <c r="D60" s="954">
        <f t="shared" si="6"/>
        <v>12551419.970000004</v>
      </c>
      <c r="E60" s="954">
        <f t="shared" si="7"/>
        <v>5527303.2999999952</v>
      </c>
      <c r="F60" s="954">
        <f t="shared" si="8"/>
        <v>18078723.27</v>
      </c>
      <c r="G60" s="969">
        <f t="shared" si="9"/>
        <v>0.13428793451762377</v>
      </c>
      <c r="H60" s="101"/>
      <c r="I60" s="101"/>
      <c r="J60" s="101"/>
      <c r="K60" s="113"/>
    </row>
    <row r="61" spans="1:11" ht="15" customHeight="1">
      <c r="A61" s="107"/>
      <c r="B61" s="968">
        <v>47</v>
      </c>
      <c r="C61" s="954">
        <f t="shared" si="5"/>
        <v>443196259.30999994</v>
      </c>
      <c r="D61" s="954">
        <f t="shared" si="6"/>
        <v>12176477.020000003</v>
      </c>
      <c r="E61" s="954">
        <f t="shared" si="7"/>
        <v>5092917.0399999982</v>
      </c>
      <c r="F61" s="954">
        <f t="shared" si="8"/>
        <v>17269394.060000002</v>
      </c>
      <c r="G61" s="969">
        <f t="shared" si="9"/>
        <v>0.12950603876520195</v>
      </c>
      <c r="H61" s="101"/>
      <c r="I61" s="101"/>
      <c r="J61" s="101"/>
      <c r="K61" s="113"/>
    </row>
    <row r="62" spans="1:11" ht="15" customHeight="1">
      <c r="A62" s="107"/>
      <c r="B62" s="968">
        <v>48</v>
      </c>
      <c r="C62" s="954">
        <f t="shared" si="5"/>
        <v>424915466.89999992</v>
      </c>
      <c r="D62" s="954">
        <f t="shared" si="6"/>
        <v>12221607.010000002</v>
      </c>
      <c r="E62" s="954">
        <f t="shared" si="7"/>
        <v>4601998.4999999963</v>
      </c>
      <c r="F62" s="954">
        <f t="shared" si="8"/>
        <v>16823605.509999998</v>
      </c>
      <c r="G62" s="969">
        <f t="shared" si="9"/>
        <v>0.12249580060519583</v>
      </c>
      <c r="H62" s="101"/>
      <c r="I62" s="101"/>
      <c r="J62" s="101"/>
      <c r="K62" s="113"/>
    </row>
    <row r="63" spans="1:11" ht="15" customHeight="1">
      <c r="A63" s="107"/>
      <c r="B63" s="968">
        <v>49</v>
      </c>
      <c r="C63" s="954">
        <f t="shared" si="5"/>
        <v>406972073.68999988</v>
      </c>
      <c r="D63" s="954">
        <f t="shared" si="6"/>
        <v>11638694.550000001</v>
      </c>
      <c r="E63" s="954">
        <f t="shared" si="7"/>
        <v>4210609.2499999981</v>
      </c>
      <c r="F63" s="954">
        <f t="shared" si="8"/>
        <v>15849303.799999999</v>
      </c>
      <c r="G63" s="969">
        <f t="shared" si="9"/>
        <v>0.11732743859473116</v>
      </c>
      <c r="H63" s="101"/>
      <c r="I63" s="101"/>
      <c r="J63" s="101"/>
      <c r="K63" s="113"/>
    </row>
    <row r="64" spans="1:11" ht="15" customHeight="1">
      <c r="A64" s="107"/>
      <c r="B64" s="968">
        <v>50</v>
      </c>
      <c r="C64" s="954">
        <f t="shared" si="5"/>
        <v>389757980.49999988</v>
      </c>
      <c r="D64" s="954">
        <f t="shared" si="6"/>
        <v>11258049.42</v>
      </c>
      <c r="E64" s="954">
        <f t="shared" si="7"/>
        <v>2706553.8399999994</v>
      </c>
      <c r="F64" s="954">
        <f t="shared" si="8"/>
        <v>13964603.26</v>
      </c>
      <c r="G64" s="969">
        <f t="shared" si="9"/>
        <v>8.0220184499211644E-2</v>
      </c>
      <c r="H64" s="101"/>
      <c r="I64" s="101"/>
      <c r="J64" s="101"/>
      <c r="K64" s="113"/>
    </row>
    <row r="65" spans="1:11" ht="15" customHeight="1">
      <c r="A65" s="107"/>
      <c r="B65" s="968">
        <v>51</v>
      </c>
      <c r="C65" s="954">
        <f t="shared" si="5"/>
        <v>374849302.1099999</v>
      </c>
      <c r="D65" s="954">
        <f t="shared" si="6"/>
        <v>11343997.870000001</v>
      </c>
      <c r="E65" s="954">
        <f t="shared" si="7"/>
        <v>4935729.04</v>
      </c>
      <c r="F65" s="954">
        <f t="shared" si="8"/>
        <v>16279726.91</v>
      </c>
      <c r="G65" s="969">
        <f t="shared" si="9"/>
        <v>0.14705166788285373</v>
      </c>
      <c r="H65" s="101"/>
      <c r="I65" s="101"/>
      <c r="J65" s="101"/>
      <c r="K65" s="113"/>
    </row>
    <row r="66" spans="1:11" ht="15" customHeight="1">
      <c r="A66" s="107"/>
      <c r="B66" s="968">
        <v>52</v>
      </c>
      <c r="C66" s="954">
        <f t="shared" si="5"/>
        <v>357461476.32999992</v>
      </c>
      <c r="D66" s="954">
        <f t="shared" si="6"/>
        <v>10837869.98</v>
      </c>
      <c r="E66" s="954">
        <f t="shared" si="7"/>
        <v>4359003.6799999988</v>
      </c>
      <c r="F66" s="954">
        <f t="shared" si="8"/>
        <v>15196873.66</v>
      </c>
      <c r="G66" s="969">
        <f t="shared" si="9"/>
        <v>0.13690585763501195</v>
      </c>
      <c r="H66" s="101"/>
      <c r="I66" s="101"/>
      <c r="J66" s="101"/>
      <c r="K66" s="113"/>
    </row>
    <row r="67" spans="1:11" ht="15" customHeight="1">
      <c r="A67" s="107"/>
      <c r="B67" s="968">
        <v>53</v>
      </c>
      <c r="C67" s="954">
        <f t="shared" si="5"/>
        <v>341121321.92999995</v>
      </c>
      <c r="D67" s="954">
        <f t="shared" si="6"/>
        <v>10629875.390000004</v>
      </c>
      <c r="E67" s="954">
        <f t="shared" si="7"/>
        <v>4043611.5699999966</v>
      </c>
      <c r="F67" s="954">
        <f t="shared" si="8"/>
        <v>14673486.960000001</v>
      </c>
      <c r="G67" s="969">
        <f t="shared" si="9"/>
        <v>0.13332946640478571</v>
      </c>
      <c r="H67" s="101"/>
      <c r="I67" s="101"/>
      <c r="J67" s="101"/>
      <c r="K67" s="113"/>
    </row>
    <row r="68" spans="1:11" ht="15" customHeight="1">
      <c r="A68" s="107"/>
      <c r="B68" s="968">
        <v>54</v>
      </c>
      <c r="C68" s="954">
        <f t="shared" si="5"/>
        <v>325648786.45999998</v>
      </c>
      <c r="D68" s="954">
        <f t="shared" si="6"/>
        <v>10053480.15</v>
      </c>
      <c r="E68" s="954">
        <f t="shared" si="7"/>
        <v>4073198.3400000003</v>
      </c>
      <c r="F68" s="954">
        <f t="shared" si="8"/>
        <v>14126678.49</v>
      </c>
      <c r="G68" s="969">
        <f t="shared" si="9"/>
        <v>0.14018839663854388</v>
      </c>
      <c r="H68" s="101"/>
      <c r="I68" s="101"/>
      <c r="J68" s="101"/>
      <c r="K68" s="113"/>
    </row>
    <row r="69" spans="1:11" ht="15" customHeight="1">
      <c r="A69" s="107"/>
      <c r="B69" s="968">
        <v>55</v>
      </c>
      <c r="C69" s="954">
        <f t="shared" si="5"/>
        <v>310618786.55999994</v>
      </c>
      <c r="D69" s="954">
        <f t="shared" si="6"/>
        <v>9917370.9099999983</v>
      </c>
      <c r="E69" s="954">
        <f t="shared" si="7"/>
        <v>3495609.4899999998</v>
      </c>
      <c r="F69" s="954">
        <f t="shared" si="8"/>
        <v>13412980.399999999</v>
      </c>
      <c r="G69" s="969">
        <f t="shared" si="9"/>
        <v>0.12699149349979932</v>
      </c>
      <c r="H69" s="101"/>
      <c r="I69" s="101"/>
      <c r="J69" s="101"/>
      <c r="K69" s="113"/>
    </row>
    <row r="70" spans="1:11" ht="15" customHeight="1">
      <c r="A70" s="107"/>
      <c r="B70" s="968">
        <v>56</v>
      </c>
      <c r="C70" s="954" t="str">
        <f t="shared" si="5"/>
        <v/>
      </c>
      <c r="D70" s="954" t="str">
        <f t="shared" si="6"/>
        <v/>
      </c>
      <c r="E70" s="954" t="str">
        <f t="shared" si="7"/>
        <v/>
      </c>
      <c r="F70" s="954" t="str">
        <f t="shared" si="8"/>
        <v/>
      </c>
      <c r="G70" s="969" t="str">
        <f t="shared" si="9"/>
        <v/>
      </c>
      <c r="H70" s="101"/>
      <c r="I70" s="101"/>
      <c r="J70" s="101"/>
      <c r="K70" s="113"/>
    </row>
    <row r="71" spans="1:11" ht="15" customHeight="1">
      <c r="A71" s="107"/>
      <c r="B71" s="968">
        <v>57</v>
      </c>
      <c r="C71" s="954" t="str">
        <f t="shared" si="5"/>
        <v/>
      </c>
      <c r="D71" s="954" t="str">
        <f t="shared" si="6"/>
        <v/>
      </c>
      <c r="E71" s="954" t="str">
        <f t="shared" si="7"/>
        <v/>
      </c>
      <c r="F71" s="954" t="str">
        <f t="shared" si="8"/>
        <v/>
      </c>
      <c r="G71" s="969" t="str">
        <f t="shared" si="9"/>
        <v/>
      </c>
      <c r="H71" s="101"/>
      <c r="I71" s="101"/>
      <c r="J71" s="101"/>
      <c r="K71" s="113"/>
    </row>
    <row r="72" spans="1:11" ht="15" customHeight="1">
      <c r="A72" s="107"/>
      <c r="B72" s="968">
        <v>58</v>
      </c>
      <c r="C72" s="954" t="str">
        <f t="shared" si="5"/>
        <v/>
      </c>
      <c r="D72" s="954" t="str">
        <f t="shared" si="6"/>
        <v/>
      </c>
      <c r="E72" s="954" t="str">
        <f t="shared" si="7"/>
        <v/>
      </c>
      <c r="F72" s="954" t="str">
        <f t="shared" si="8"/>
        <v/>
      </c>
      <c r="G72" s="969" t="str">
        <f t="shared" si="9"/>
        <v/>
      </c>
      <c r="H72" s="101"/>
      <c r="I72" s="101"/>
      <c r="J72" s="101"/>
      <c r="K72" s="113"/>
    </row>
    <row r="73" spans="1:11" ht="15" customHeight="1">
      <c r="A73" s="107"/>
      <c r="B73" s="968">
        <v>59</v>
      </c>
      <c r="C73" s="954" t="str">
        <f t="shared" si="5"/>
        <v/>
      </c>
      <c r="D73" s="954" t="str">
        <f t="shared" si="6"/>
        <v/>
      </c>
      <c r="E73" s="954" t="str">
        <f t="shared" si="7"/>
        <v/>
      </c>
      <c r="F73" s="954" t="str">
        <f t="shared" si="8"/>
        <v/>
      </c>
      <c r="G73" s="969" t="str">
        <f t="shared" si="9"/>
        <v/>
      </c>
      <c r="H73" s="101"/>
      <c r="I73" s="101"/>
      <c r="J73" s="101"/>
      <c r="K73" s="113"/>
    </row>
    <row r="74" spans="1:11" ht="15" customHeight="1">
      <c r="A74" s="107"/>
      <c r="B74" s="968">
        <v>60</v>
      </c>
      <c r="C74" s="954" t="str">
        <f t="shared" si="5"/>
        <v/>
      </c>
      <c r="D74" s="954" t="str">
        <f t="shared" si="6"/>
        <v/>
      </c>
      <c r="E74" s="954" t="str">
        <f t="shared" si="7"/>
        <v/>
      </c>
      <c r="F74" s="954" t="str">
        <f t="shared" si="8"/>
        <v/>
      </c>
      <c r="G74" s="969" t="str">
        <f t="shared" si="9"/>
        <v/>
      </c>
      <c r="H74" s="101"/>
      <c r="I74" s="101"/>
      <c r="J74" s="101"/>
      <c r="K74" s="113"/>
    </row>
    <row r="75" spans="1:11" ht="15" customHeight="1">
      <c r="A75" s="107"/>
      <c r="B75" s="968">
        <v>61</v>
      </c>
      <c r="C75" s="954" t="str">
        <f t="shared" si="5"/>
        <v/>
      </c>
      <c r="D75" s="954" t="str">
        <f t="shared" si="6"/>
        <v/>
      </c>
      <c r="E75" s="954" t="str">
        <f t="shared" si="7"/>
        <v/>
      </c>
      <c r="F75" s="954" t="str">
        <f t="shared" si="8"/>
        <v/>
      </c>
      <c r="G75" s="969" t="str">
        <f t="shared" si="9"/>
        <v/>
      </c>
      <c r="H75" s="101"/>
      <c r="I75" s="101"/>
      <c r="J75" s="101"/>
      <c r="K75" s="113"/>
    </row>
    <row r="76" spans="1:11" ht="15" customHeight="1">
      <c r="A76" s="107"/>
      <c r="B76" s="968">
        <v>62</v>
      </c>
      <c r="C76" s="954" t="str">
        <f t="shared" si="5"/>
        <v/>
      </c>
      <c r="D76" s="954" t="str">
        <f t="shared" si="6"/>
        <v/>
      </c>
      <c r="E76" s="954" t="str">
        <f t="shared" si="7"/>
        <v/>
      </c>
      <c r="F76" s="954" t="str">
        <f t="shared" si="8"/>
        <v/>
      </c>
      <c r="G76" s="969" t="str">
        <f t="shared" si="9"/>
        <v/>
      </c>
      <c r="H76" s="101"/>
      <c r="I76" s="101"/>
      <c r="J76" s="101"/>
      <c r="K76" s="113"/>
    </row>
    <row r="77" spans="1:11" ht="15" customHeight="1">
      <c r="A77" s="107"/>
      <c r="B77" s="968">
        <v>63</v>
      </c>
      <c r="C77" s="954" t="str">
        <f t="shared" si="5"/>
        <v/>
      </c>
      <c r="D77" s="954" t="str">
        <f t="shared" si="6"/>
        <v/>
      </c>
      <c r="E77" s="954" t="str">
        <f t="shared" si="7"/>
        <v/>
      </c>
      <c r="F77" s="954" t="str">
        <f t="shared" si="8"/>
        <v/>
      </c>
      <c r="G77" s="969" t="str">
        <f t="shared" si="9"/>
        <v/>
      </c>
      <c r="H77" s="101"/>
      <c r="I77" s="101"/>
      <c r="J77" s="101"/>
      <c r="K77" s="113"/>
    </row>
    <row r="78" spans="1:11" ht="15" customHeight="1">
      <c r="A78" s="107"/>
      <c r="B78" s="968">
        <v>64</v>
      </c>
      <c r="C78" s="954" t="str">
        <f t="shared" si="5"/>
        <v/>
      </c>
      <c r="D78" s="954" t="str">
        <f t="shared" si="6"/>
        <v/>
      </c>
      <c r="E78" s="954" t="str">
        <f t="shared" si="7"/>
        <v/>
      </c>
      <c r="F78" s="954" t="str">
        <f t="shared" si="8"/>
        <v/>
      </c>
      <c r="G78" s="969" t="str">
        <f t="shared" si="9"/>
        <v/>
      </c>
      <c r="H78" s="101"/>
      <c r="I78" s="101"/>
      <c r="J78" s="101"/>
      <c r="K78" s="113"/>
    </row>
    <row r="79" spans="1:11" ht="15" customHeight="1">
      <c r="A79" s="107"/>
      <c r="B79" s="968">
        <v>65</v>
      </c>
      <c r="C79" s="954" t="str">
        <f t="shared" ref="C79:C94" si="10">IF($F$4&gt;=B79,VLOOKUP(CONCATENATE("portfolio_",$B79),portfolio_p.p._20,2,0),"")</f>
        <v/>
      </c>
      <c r="D79" s="954" t="str">
        <f t="shared" ref="D79:D94" si="11">IF($F$4&gt;=B79,VLOOKUP(CONCATENATE("portfolio_",$B79),portfolio_p.p._20,3,0),"")</f>
        <v/>
      </c>
      <c r="E79" s="954" t="str">
        <f t="shared" ref="E79:E94" si="12">IF($F$4&gt;=B79,VLOOKUP(CONCATENATE("portfolio_",$B79),portfolio_p.p._20,4,0),"")</f>
        <v/>
      </c>
      <c r="F79" s="954" t="str">
        <f t="shared" ref="F79:F94" si="13">IF($F$4&gt;=B79,VLOOKUP(CONCATENATE("portfolio_",$B79),portfolio_p.p._20,5,0),"")</f>
        <v/>
      </c>
      <c r="G79" s="969" t="str">
        <f t="shared" ref="G79:G94" si="14">IF($F$4&gt;=B79,VLOOKUP(CONCATENATE("portfolio_",$B79),portfolio_p.p._20,6,0),"")</f>
        <v/>
      </c>
      <c r="H79" s="101"/>
      <c r="I79" s="101"/>
      <c r="J79" s="101"/>
      <c r="K79" s="113"/>
    </row>
    <row r="80" spans="1:11" ht="15" customHeight="1">
      <c r="A80" s="107"/>
      <c r="B80" s="968">
        <v>66</v>
      </c>
      <c r="C80" s="954" t="str">
        <f t="shared" si="10"/>
        <v/>
      </c>
      <c r="D80" s="954" t="str">
        <f t="shared" si="11"/>
        <v/>
      </c>
      <c r="E80" s="954" t="str">
        <f t="shared" si="12"/>
        <v/>
      </c>
      <c r="F80" s="954" t="str">
        <f t="shared" si="13"/>
        <v/>
      </c>
      <c r="G80" s="969" t="str">
        <f t="shared" si="14"/>
        <v/>
      </c>
      <c r="H80" s="101"/>
      <c r="I80" s="101"/>
      <c r="J80" s="101"/>
      <c r="K80" s="113"/>
    </row>
    <row r="81" spans="1:11" ht="15" customHeight="1">
      <c r="A81" s="107"/>
      <c r="B81" s="968">
        <v>67</v>
      </c>
      <c r="C81" s="954" t="str">
        <f t="shared" si="10"/>
        <v/>
      </c>
      <c r="D81" s="954" t="str">
        <f t="shared" si="11"/>
        <v/>
      </c>
      <c r="E81" s="954" t="str">
        <f t="shared" si="12"/>
        <v/>
      </c>
      <c r="F81" s="954" t="str">
        <f t="shared" si="13"/>
        <v/>
      </c>
      <c r="G81" s="969" t="str">
        <f t="shared" si="14"/>
        <v/>
      </c>
      <c r="H81" s="101"/>
      <c r="I81" s="101"/>
      <c r="J81" s="101"/>
      <c r="K81" s="113"/>
    </row>
    <row r="82" spans="1:11" ht="15" customHeight="1">
      <c r="A82" s="107"/>
      <c r="B82" s="968">
        <v>68</v>
      </c>
      <c r="C82" s="954" t="str">
        <f t="shared" si="10"/>
        <v/>
      </c>
      <c r="D82" s="954" t="str">
        <f t="shared" si="11"/>
        <v/>
      </c>
      <c r="E82" s="954" t="str">
        <f t="shared" si="12"/>
        <v/>
      </c>
      <c r="F82" s="954" t="str">
        <f t="shared" si="13"/>
        <v/>
      </c>
      <c r="G82" s="969" t="str">
        <f t="shared" si="14"/>
        <v/>
      </c>
      <c r="H82" s="101"/>
      <c r="I82" s="101"/>
      <c r="J82" s="101"/>
      <c r="K82" s="113"/>
    </row>
    <row r="83" spans="1:11" ht="15" customHeight="1">
      <c r="A83" s="107"/>
      <c r="B83" s="968">
        <v>69</v>
      </c>
      <c r="C83" s="954" t="str">
        <f t="shared" si="10"/>
        <v/>
      </c>
      <c r="D83" s="954" t="str">
        <f t="shared" si="11"/>
        <v/>
      </c>
      <c r="E83" s="954" t="str">
        <f t="shared" si="12"/>
        <v/>
      </c>
      <c r="F83" s="954" t="str">
        <f t="shared" si="13"/>
        <v/>
      </c>
      <c r="G83" s="969" t="str">
        <f t="shared" si="14"/>
        <v/>
      </c>
      <c r="H83" s="101"/>
      <c r="I83" s="101"/>
      <c r="J83" s="101"/>
      <c r="K83" s="113"/>
    </row>
    <row r="84" spans="1:11" ht="15" customHeight="1">
      <c r="A84" s="107"/>
      <c r="B84" s="968">
        <v>70</v>
      </c>
      <c r="C84" s="954" t="str">
        <f t="shared" si="10"/>
        <v/>
      </c>
      <c r="D84" s="954" t="str">
        <f t="shared" si="11"/>
        <v/>
      </c>
      <c r="E84" s="954" t="str">
        <f t="shared" si="12"/>
        <v/>
      </c>
      <c r="F84" s="954" t="str">
        <f t="shared" si="13"/>
        <v/>
      </c>
      <c r="G84" s="969" t="str">
        <f t="shared" si="14"/>
        <v/>
      </c>
      <c r="H84" s="101"/>
      <c r="I84" s="101"/>
      <c r="J84" s="101"/>
      <c r="K84" s="113"/>
    </row>
    <row r="85" spans="1:11" ht="15" customHeight="1">
      <c r="A85" s="107"/>
      <c r="B85" s="968">
        <v>71</v>
      </c>
      <c r="C85" s="954" t="str">
        <f t="shared" si="10"/>
        <v/>
      </c>
      <c r="D85" s="954" t="str">
        <f t="shared" si="11"/>
        <v/>
      </c>
      <c r="E85" s="954" t="str">
        <f t="shared" si="12"/>
        <v/>
      </c>
      <c r="F85" s="954" t="str">
        <f t="shared" si="13"/>
        <v/>
      </c>
      <c r="G85" s="969" t="str">
        <f t="shared" si="14"/>
        <v/>
      </c>
      <c r="H85" s="101"/>
      <c r="I85" s="101"/>
      <c r="J85" s="101"/>
      <c r="K85" s="113"/>
    </row>
    <row r="86" spans="1:11" ht="15" customHeight="1">
      <c r="A86" s="107"/>
      <c r="B86" s="968">
        <v>72</v>
      </c>
      <c r="C86" s="954" t="str">
        <f t="shared" si="10"/>
        <v/>
      </c>
      <c r="D86" s="954" t="str">
        <f t="shared" si="11"/>
        <v/>
      </c>
      <c r="E86" s="954" t="str">
        <f t="shared" si="12"/>
        <v/>
      </c>
      <c r="F86" s="954" t="str">
        <f t="shared" si="13"/>
        <v/>
      </c>
      <c r="G86" s="969" t="str">
        <f t="shared" si="14"/>
        <v/>
      </c>
      <c r="H86" s="101"/>
      <c r="I86" s="101"/>
      <c r="J86" s="101"/>
      <c r="K86" s="113"/>
    </row>
    <row r="87" spans="1:11" ht="15" customHeight="1">
      <c r="A87" s="107"/>
      <c r="B87" s="968">
        <v>73</v>
      </c>
      <c r="C87" s="954" t="str">
        <f t="shared" si="10"/>
        <v/>
      </c>
      <c r="D87" s="954" t="str">
        <f t="shared" si="11"/>
        <v/>
      </c>
      <c r="E87" s="954" t="str">
        <f t="shared" si="12"/>
        <v/>
      </c>
      <c r="F87" s="954" t="str">
        <f t="shared" si="13"/>
        <v/>
      </c>
      <c r="G87" s="969" t="str">
        <f t="shared" si="14"/>
        <v/>
      </c>
      <c r="H87" s="101"/>
      <c r="I87" s="101"/>
      <c r="J87" s="101"/>
      <c r="K87" s="113"/>
    </row>
    <row r="88" spans="1:11" ht="15" customHeight="1">
      <c r="A88" s="107"/>
      <c r="B88" s="968">
        <v>74</v>
      </c>
      <c r="C88" s="954" t="str">
        <f t="shared" si="10"/>
        <v/>
      </c>
      <c r="D88" s="954" t="str">
        <f t="shared" si="11"/>
        <v/>
      </c>
      <c r="E88" s="954" t="str">
        <f t="shared" si="12"/>
        <v/>
      </c>
      <c r="F88" s="954" t="str">
        <f t="shared" si="13"/>
        <v/>
      </c>
      <c r="G88" s="969" t="str">
        <f t="shared" si="14"/>
        <v/>
      </c>
      <c r="H88" s="101"/>
      <c r="I88" s="101"/>
      <c r="J88" s="101"/>
      <c r="K88" s="113"/>
    </row>
    <row r="89" spans="1:11" ht="15" customHeight="1">
      <c r="A89" s="107"/>
      <c r="B89" s="968">
        <v>75</v>
      </c>
      <c r="C89" s="954" t="str">
        <f t="shared" si="10"/>
        <v/>
      </c>
      <c r="D89" s="954" t="str">
        <f t="shared" si="11"/>
        <v/>
      </c>
      <c r="E89" s="954" t="str">
        <f t="shared" si="12"/>
        <v/>
      </c>
      <c r="F89" s="954" t="str">
        <f t="shared" si="13"/>
        <v/>
      </c>
      <c r="G89" s="969" t="str">
        <f t="shared" si="14"/>
        <v/>
      </c>
      <c r="H89" s="101"/>
      <c r="I89" s="101"/>
      <c r="J89" s="101"/>
      <c r="K89" s="113"/>
    </row>
    <row r="90" spans="1:11" ht="15" customHeight="1">
      <c r="A90" s="107"/>
      <c r="B90" s="968">
        <v>76</v>
      </c>
      <c r="C90" s="954" t="str">
        <f t="shared" si="10"/>
        <v/>
      </c>
      <c r="D90" s="954" t="str">
        <f t="shared" si="11"/>
        <v/>
      </c>
      <c r="E90" s="954" t="str">
        <f t="shared" si="12"/>
        <v/>
      </c>
      <c r="F90" s="954" t="str">
        <f t="shared" si="13"/>
        <v/>
      </c>
      <c r="G90" s="969" t="str">
        <f t="shared" si="14"/>
        <v/>
      </c>
      <c r="H90" s="101"/>
      <c r="I90" s="101"/>
      <c r="J90" s="101"/>
      <c r="K90" s="113"/>
    </row>
    <row r="91" spans="1:11" ht="15" customHeight="1">
      <c r="A91" s="107"/>
      <c r="B91" s="968">
        <v>77</v>
      </c>
      <c r="C91" s="954" t="str">
        <f t="shared" si="10"/>
        <v/>
      </c>
      <c r="D91" s="954" t="str">
        <f t="shared" si="11"/>
        <v/>
      </c>
      <c r="E91" s="954" t="str">
        <f t="shared" si="12"/>
        <v/>
      </c>
      <c r="F91" s="954" t="str">
        <f t="shared" si="13"/>
        <v/>
      </c>
      <c r="G91" s="969" t="str">
        <f t="shared" si="14"/>
        <v/>
      </c>
      <c r="H91" s="101"/>
      <c r="I91" s="101"/>
      <c r="J91" s="101"/>
      <c r="K91" s="113"/>
    </row>
    <row r="92" spans="1:11" ht="15" customHeight="1">
      <c r="A92" s="107"/>
      <c r="B92" s="968">
        <v>78</v>
      </c>
      <c r="C92" s="954" t="str">
        <f t="shared" si="10"/>
        <v/>
      </c>
      <c r="D92" s="954" t="str">
        <f t="shared" si="11"/>
        <v/>
      </c>
      <c r="E92" s="954" t="str">
        <f t="shared" si="12"/>
        <v/>
      </c>
      <c r="F92" s="954" t="str">
        <f t="shared" si="13"/>
        <v/>
      </c>
      <c r="G92" s="969" t="str">
        <f t="shared" si="14"/>
        <v/>
      </c>
      <c r="H92" s="101"/>
      <c r="I92" s="101"/>
      <c r="J92" s="101"/>
      <c r="K92" s="113"/>
    </row>
    <row r="93" spans="1:11" ht="15" customHeight="1">
      <c r="A93" s="107"/>
      <c r="B93" s="968">
        <v>79</v>
      </c>
      <c r="C93" s="954" t="str">
        <f t="shared" si="10"/>
        <v/>
      </c>
      <c r="D93" s="954" t="str">
        <f t="shared" si="11"/>
        <v/>
      </c>
      <c r="E93" s="954" t="str">
        <f t="shared" si="12"/>
        <v/>
      </c>
      <c r="F93" s="954" t="str">
        <f t="shared" si="13"/>
        <v/>
      </c>
      <c r="G93" s="969" t="str">
        <f t="shared" si="14"/>
        <v/>
      </c>
      <c r="H93" s="101"/>
      <c r="I93" s="101"/>
      <c r="J93" s="101"/>
      <c r="K93" s="113"/>
    </row>
    <row r="94" spans="1:11" ht="15" customHeight="1">
      <c r="A94" s="107"/>
      <c r="B94" s="970">
        <v>80</v>
      </c>
      <c r="C94" s="971" t="str">
        <f t="shared" si="10"/>
        <v/>
      </c>
      <c r="D94" s="971" t="str">
        <f t="shared" si="11"/>
        <v/>
      </c>
      <c r="E94" s="971" t="str">
        <f t="shared" si="12"/>
        <v/>
      </c>
      <c r="F94" s="971" t="str">
        <f t="shared" si="13"/>
        <v/>
      </c>
      <c r="G94" s="972" t="str">
        <f t="shared" si="14"/>
        <v/>
      </c>
      <c r="H94" s="101"/>
      <c r="I94" s="101"/>
      <c r="J94" s="101"/>
      <c r="K94" s="113"/>
    </row>
    <row r="95" spans="1:11" ht="15" customHeight="1">
      <c r="A95" s="148"/>
      <c r="B95" s="916"/>
      <c r="C95" s="150"/>
      <c r="D95" s="150"/>
      <c r="E95" s="150"/>
      <c r="F95" s="150"/>
      <c r="G95" s="150"/>
      <c r="H95" s="150"/>
      <c r="I95" s="150"/>
      <c r="J95" s="150"/>
      <c r="K95" s="151"/>
    </row>
    <row r="96" spans="1:11" ht="15" customHeight="1">
      <c r="A96" s="963"/>
      <c r="B96" s="136"/>
      <c r="C96" s="963"/>
      <c r="D96" s="963"/>
      <c r="E96" s="963"/>
      <c r="F96" s="963"/>
      <c r="G96" s="963"/>
      <c r="H96" s="963"/>
      <c r="I96" s="963"/>
      <c r="J96" s="963"/>
      <c r="K96" s="963"/>
    </row>
    <row r="97" spans="1:11" ht="15" customHeight="1">
      <c r="A97" s="963"/>
      <c r="B97" s="136"/>
      <c r="C97" s="963"/>
      <c r="D97" s="963"/>
      <c r="E97" s="963"/>
      <c r="F97" s="963"/>
      <c r="G97" s="963"/>
      <c r="H97" s="963"/>
      <c r="I97" s="963"/>
      <c r="J97" s="963"/>
      <c r="K97" s="963"/>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2"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734</v>
      </c>
      <c r="C2" s="517">
        <v>1799999933.0899999</v>
      </c>
      <c r="D2" s="517">
        <v>0</v>
      </c>
      <c r="E2" s="517">
        <v>0</v>
      </c>
      <c r="F2" s="517">
        <v>0</v>
      </c>
      <c r="G2" s="517">
        <v>0</v>
      </c>
      <c r="H2" s="517">
        <v>0</v>
      </c>
      <c r="I2" s="517">
        <v>0</v>
      </c>
      <c r="J2" s="517">
        <v>0</v>
      </c>
      <c r="K2" s="517">
        <v>0</v>
      </c>
    </row>
    <row r="3" spans="1:11">
      <c r="A3">
        <v>25</v>
      </c>
      <c r="B3" t="s">
        <v>735</v>
      </c>
      <c r="C3" s="517">
        <v>1799999978.5699999</v>
      </c>
      <c r="D3" s="517">
        <v>6313367.7000000002</v>
      </c>
      <c r="E3" s="517">
        <v>882720.82</v>
      </c>
      <c r="F3" s="517">
        <v>170291.73</v>
      </c>
      <c r="G3" s="517">
        <v>106711.25</v>
      </c>
      <c r="H3" s="517">
        <v>120407.52</v>
      </c>
      <c r="I3" s="517">
        <v>35053.19</v>
      </c>
      <c r="J3" s="517">
        <v>7540.91</v>
      </c>
      <c r="K3" s="517">
        <v>7340.33</v>
      </c>
    </row>
    <row r="4" spans="1:11">
      <c r="A4">
        <v>25</v>
      </c>
      <c r="B4" t="s">
        <v>736</v>
      </c>
      <c r="C4" s="517">
        <v>1799999995.6099999</v>
      </c>
      <c r="D4" s="517">
        <v>6239761.54</v>
      </c>
      <c r="E4" s="517">
        <v>4939221.3099999996</v>
      </c>
      <c r="F4" s="517">
        <v>866738.74</v>
      </c>
      <c r="G4" s="517">
        <v>194212.76</v>
      </c>
      <c r="H4" s="517">
        <v>121117.78</v>
      </c>
      <c r="I4" s="517">
        <v>171314.31</v>
      </c>
      <c r="J4" s="517">
        <v>49669.49</v>
      </c>
      <c r="K4" s="517">
        <v>12521.53</v>
      </c>
    </row>
    <row r="5" spans="1:11">
      <c r="A5">
        <v>25</v>
      </c>
      <c r="B5" t="s">
        <v>737</v>
      </c>
      <c r="C5" s="517">
        <v>1799999991.5</v>
      </c>
      <c r="D5" s="517">
        <v>5963979.6600000001</v>
      </c>
      <c r="E5" s="517">
        <v>5640605.0300000003</v>
      </c>
      <c r="F5" s="517">
        <v>3166805.23</v>
      </c>
      <c r="G5" s="517">
        <v>1020162.48</v>
      </c>
      <c r="H5" s="517">
        <v>109269.04</v>
      </c>
      <c r="I5" s="517">
        <v>191541.71</v>
      </c>
      <c r="J5" s="517">
        <v>172539.29</v>
      </c>
      <c r="K5" s="517">
        <v>80457.740000000005</v>
      </c>
    </row>
    <row r="6" spans="1:11">
      <c r="A6">
        <v>25</v>
      </c>
      <c r="B6" t="s">
        <v>738</v>
      </c>
      <c r="C6" s="517">
        <v>1799999993.97</v>
      </c>
      <c r="D6" s="517">
        <v>6549435.0700000003</v>
      </c>
      <c r="E6" s="517">
        <v>5068350.47</v>
      </c>
      <c r="F6" s="517">
        <v>3154504.95</v>
      </c>
      <c r="G6" s="517">
        <v>3340625.38</v>
      </c>
      <c r="H6" s="517">
        <v>118488.05</v>
      </c>
      <c r="I6" s="517">
        <v>163767.29999999999</v>
      </c>
      <c r="J6" s="517">
        <v>173502.26</v>
      </c>
      <c r="K6" s="517">
        <v>255706.09</v>
      </c>
    </row>
    <row r="7" spans="1:11">
      <c r="A7">
        <v>25</v>
      </c>
      <c r="B7" t="s">
        <v>739</v>
      </c>
      <c r="C7" s="517">
        <v>1799999998.4200001</v>
      </c>
      <c r="D7" s="517">
        <v>6277838.8200000003</v>
      </c>
      <c r="E7" s="517">
        <v>5527447.4199999999</v>
      </c>
      <c r="F7" s="517">
        <v>3012488.71</v>
      </c>
      <c r="G7" s="517">
        <v>3870498.36</v>
      </c>
      <c r="H7" s="517">
        <v>113387.05</v>
      </c>
      <c r="I7" s="517">
        <v>176360.53</v>
      </c>
      <c r="J7" s="517">
        <v>156758.32</v>
      </c>
      <c r="K7" s="517">
        <v>331157.83</v>
      </c>
    </row>
    <row r="8" spans="1:11">
      <c r="A8">
        <v>25</v>
      </c>
      <c r="B8" t="s">
        <v>740</v>
      </c>
      <c r="C8" s="517">
        <v>1799999986.54</v>
      </c>
      <c r="D8" s="517">
        <v>6655977.5800000001</v>
      </c>
      <c r="E8" s="517">
        <v>5191130.95</v>
      </c>
      <c r="F8" s="517">
        <v>3407325.83</v>
      </c>
      <c r="G8" s="517">
        <v>4039360.98</v>
      </c>
      <c r="H8" s="517">
        <v>118494.81</v>
      </c>
      <c r="I8" s="517">
        <v>172245.48</v>
      </c>
      <c r="J8" s="517">
        <v>181574.42</v>
      </c>
      <c r="K8" s="517">
        <v>353834.5</v>
      </c>
    </row>
    <row r="9" spans="1:11">
      <c r="A9">
        <v>25</v>
      </c>
      <c r="B9" t="s">
        <v>741</v>
      </c>
      <c r="C9" s="517">
        <v>1799999989.6300001</v>
      </c>
      <c r="D9" s="517">
        <v>6989530.2400000002</v>
      </c>
      <c r="E9" s="517">
        <v>6091686.4400000004</v>
      </c>
      <c r="F9" s="517">
        <v>3286422.04</v>
      </c>
      <c r="G9" s="517">
        <v>3722868.68</v>
      </c>
      <c r="H9" s="517">
        <v>130308.92</v>
      </c>
      <c r="I9" s="517">
        <v>193558.22</v>
      </c>
      <c r="J9" s="517">
        <v>180801.35</v>
      </c>
      <c r="K9" s="517">
        <v>330872.76</v>
      </c>
    </row>
    <row r="10" spans="1:11">
      <c r="A10">
        <v>25</v>
      </c>
      <c r="B10" t="s">
        <v>742</v>
      </c>
      <c r="C10" s="517">
        <v>1799999997.6199999</v>
      </c>
      <c r="D10" s="517">
        <v>7133920.0300000003</v>
      </c>
      <c r="E10" s="517">
        <v>6233651.4100000001</v>
      </c>
      <c r="F10" s="517">
        <v>3951906.29</v>
      </c>
      <c r="G10" s="517">
        <v>3968753.9</v>
      </c>
      <c r="H10" s="517">
        <v>123361.27</v>
      </c>
      <c r="I10" s="517">
        <v>203944.7</v>
      </c>
      <c r="J10" s="517">
        <v>206015.86</v>
      </c>
      <c r="K10" s="517">
        <v>352934.25</v>
      </c>
    </row>
    <row r="11" spans="1:11">
      <c r="A11">
        <v>25</v>
      </c>
      <c r="B11" t="s">
        <v>743</v>
      </c>
      <c r="C11" s="517">
        <v>1799999984.7</v>
      </c>
      <c r="D11" s="517">
        <v>7100911.4400000004</v>
      </c>
      <c r="E11" s="517">
        <v>6845812.2199999997</v>
      </c>
      <c r="F11" s="517">
        <v>3913890.47</v>
      </c>
      <c r="G11" s="517">
        <v>4226440.32</v>
      </c>
      <c r="H11" s="517">
        <v>134002.84</v>
      </c>
      <c r="I11" s="517">
        <v>208217.89</v>
      </c>
      <c r="J11" s="517">
        <v>206378.3</v>
      </c>
      <c r="K11" s="517">
        <v>360329.81</v>
      </c>
    </row>
    <row r="12" spans="1:11">
      <c r="A12">
        <v>25</v>
      </c>
      <c r="B12" t="s">
        <v>744</v>
      </c>
      <c r="C12" s="517">
        <v>1799999992.8399999</v>
      </c>
      <c r="D12" s="517">
        <v>7461489.7400000002</v>
      </c>
      <c r="E12" s="517">
        <v>7241101.4800000004</v>
      </c>
      <c r="F12" s="517">
        <v>4275039.66</v>
      </c>
      <c r="G12" s="517">
        <v>4343151.6100000003</v>
      </c>
      <c r="H12" s="517">
        <v>139959.49</v>
      </c>
      <c r="I12" s="517">
        <v>229157.81</v>
      </c>
      <c r="J12" s="517">
        <v>221555.95</v>
      </c>
      <c r="K12" s="517">
        <v>388589.53</v>
      </c>
    </row>
    <row r="13" spans="1:11">
      <c r="A13">
        <v>25</v>
      </c>
      <c r="B13" t="s">
        <v>745</v>
      </c>
      <c r="C13" s="517">
        <v>1799999993.5799999</v>
      </c>
      <c r="D13" s="517">
        <v>8614820.8699999992</v>
      </c>
      <c r="E13" s="517">
        <v>7514271.6200000001</v>
      </c>
      <c r="F13" s="517">
        <v>4335660.83</v>
      </c>
      <c r="G13" s="517">
        <v>4808361.93</v>
      </c>
      <c r="H13" s="517">
        <v>153581.03</v>
      </c>
      <c r="I13" s="517">
        <v>244839.78</v>
      </c>
      <c r="J13" s="517">
        <v>232095.29</v>
      </c>
      <c r="K13" s="517">
        <v>398825.01</v>
      </c>
    </row>
    <row r="14" spans="1:11">
      <c r="A14">
        <v>25</v>
      </c>
      <c r="B14" t="s">
        <v>746</v>
      </c>
      <c r="C14" s="517">
        <v>1799999958.8499999</v>
      </c>
      <c r="D14" s="517">
        <v>8149643.4299999997</v>
      </c>
      <c r="E14" s="517">
        <v>7414728.3799999999</v>
      </c>
      <c r="F14" s="517">
        <v>5196772.53</v>
      </c>
      <c r="G14" s="517">
        <v>4804992.51</v>
      </c>
      <c r="H14" s="517">
        <v>154961.70000000001</v>
      </c>
      <c r="I14" s="517">
        <v>238483.66</v>
      </c>
      <c r="J14" s="517">
        <v>278713.81</v>
      </c>
      <c r="K14" s="517">
        <v>407442.13</v>
      </c>
    </row>
    <row r="15" spans="1:11">
      <c r="A15">
        <v>25</v>
      </c>
      <c r="B15" t="s">
        <v>747</v>
      </c>
      <c r="C15" s="517">
        <v>1721647673.05</v>
      </c>
      <c r="D15" s="517">
        <v>9154824.9199999999</v>
      </c>
      <c r="E15" s="517">
        <v>7683441.0999999996</v>
      </c>
      <c r="F15" s="517">
        <v>4571313.0599999996</v>
      </c>
      <c r="G15" s="517">
        <v>5450520.4699999997</v>
      </c>
      <c r="H15" s="517">
        <v>170188.85</v>
      </c>
      <c r="I15" s="517">
        <v>246032.05</v>
      </c>
      <c r="J15" s="517">
        <v>262294.38</v>
      </c>
      <c r="K15" s="517">
        <v>466926.14</v>
      </c>
    </row>
    <row r="16" spans="1:11">
      <c r="A16">
        <v>25</v>
      </c>
      <c r="B16" t="s">
        <v>748</v>
      </c>
      <c r="C16" s="517">
        <v>1658715590.6800001</v>
      </c>
      <c r="D16" s="517">
        <v>8019501.54</v>
      </c>
      <c r="E16" s="517">
        <v>7716322.1399999997</v>
      </c>
      <c r="F16" s="517">
        <v>4957459.62</v>
      </c>
      <c r="G16" s="517">
        <v>5141187.28</v>
      </c>
      <c r="H16" s="517">
        <v>147211.43</v>
      </c>
      <c r="I16" s="517">
        <v>257395.35</v>
      </c>
      <c r="J16" s="517">
        <v>271963.95</v>
      </c>
      <c r="K16" s="517">
        <v>469530.65</v>
      </c>
    </row>
    <row r="17" spans="1:11">
      <c r="A17">
        <v>25</v>
      </c>
      <c r="B17" t="s">
        <v>749</v>
      </c>
      <c r="C17" s="517">
        <v>1579516526.0799999</v>
      </c>
      <c r="D17" s="517">
        <v>2156410.29</v>
      </c>
      <c r="E17" s="517">
        <v>5288311.38</v>
      </c>
      <c r="F17" s="517">
        <v>5855455.6200000001</v>
      </c>
      <c r="G17" s="517">
        <v>8834829.6500000004</v>
      </c>
      <c r="H17" s="517">
        <v>48192.03</v>
      </c>
      <c r="I17" s="517">
        <v>139108.78</v>
      </c>
      <c r="J17" s="517">
        <v>210879.01</v>
      </c>
      <c r="K17" s="517">
        <v>568111.80000000005</v>
      </c>
    </row>
    <row r="18" spans="1:11">
      <c r="A18">
        <v>25</v>
      </c>
      <c r="B18" t="s">
        <v>750</v>
      </c>
      <c r="C18" s="517">
        <v>1504720267.3</v>
      </c>
      <c r="D18" s="517">
        <v>6103836.0999999996</v>
      </c>
      <c r="E18" s="517">
        <v>6642996.2699999996</v>
      </c>
      <c r="F18" s="517">
        <v>5178304.37</v>
      </c>
      <c r="G18" s="517">
        <v>5506748.6600000001</v>
      </c>
      <c r="H18" s="517">
        <v>133430.92000000001</v>
      </c>
      <c r="I18" s="517">
        <v>208618.76</v>
      </c>
      <c r="J18" s="517">
        <v>254284.99</v>
      </c>
      <c r="K18" s="517">
        <v>403187.83</v>
      </c>
    </row>
    <row r="19" spans="1:11">
      <c r="A19">
        <v>25</v>
      </c>
      <c r="B19" t="s">
        <v>751</v>
      </c>
      <c r="C19" s="517">
        <v>1432703420.5699999</v>
      </c>
      <c r="D19" s="517">
        <v>2260407.34</v>
      </c>
      <c r="E19" s="517">
        <v>9054085.6999999993</v>
      </c>
      <c r="F19" s="517">
        <v>5365320.18</v>
      </c>
      <c r="G19" s="517">
        <v>5974539.8099999996</v>
      </c>
      <c r="H19" s="517">
        <v>49911.29</v>
      </c>
      <c r="I19" s="517">
        <v>269591.71000000002</v>
      </c>
      <c r="J19" s="517">
        <v>256300.99</v>
      </c>
      <c r="K19" s="517">
        <v>446608.55</v>
      </c>
    </row>
    <row r="20" spans="1:11">
      <c r="A20">
        <v>25</v>
      </c>
      <c r="B20" t="s">
        <v>752</v>
      </c>
      <c r="C20" s="517">
        <v>1366855787.27</v>
      </c>
      <c r="D20" s="517">
        <v>5370518.8099999996</v>
      </c>
      <c r="E20" s="517">
        <v>5457118.4500000002</v>
      </c>
      <c r="F20" s="517">
        <v>5095288.1900000004</v>
      </c>
      <c r="G20" s="517">
        <v>6238919.1699999999</v>
      </c>
      <c r="H20" s="517">
        <v>126725.15</v>
      </c>
      <c r="I20" s="517">
        <v>189196.42</v>
      </c>
      <c r="J20" s="517">
        <v>248923.14</v>
      </c>
      <c r="K20" s="517">
        <v>453104.3</v>
      </c>
    </row>
    <row r="21" spans="1:11">
      <c r="A21">
        <v>25</v>
      </c>
      <c r="B21" t="s">
        <v>753</v>
      </c>
      <c r="C21" s="517">
        <v>1301382552.8299999</v>
      </c>
      <c r="D21" s="517">
        <v>2149017.19</v>
      </c>
      <c r="E21" s="517">
        <v>5760350.4900000002</v>
      </c>
      <c r="F21" s="517">
        <v>4844307.25</v>
      </c>
      <c r="G21" s="517">
        <v>8429770.8900000006</v>
      </c>
      <c r="H21" s="517">
        <v>50897.63</v>
      </c>
      <c r="I21" s="517">
        <v>152799.78</v>
      </c>
      <c r="J21" s="517">
        <v>187629.01</v>
      </c>
      <c r="K21" s="517">
        <v>545305.07999999996</v>
      </c>
    </row>
    <row r="22" spans="1:11">
      <c r="A22">
        <v>25</v>
      </c>
      <c r="B22" t="s">
        <v>754</v>
      </c>
      <c r="C22" s="517">
        <v>1243335118.53</v>
      </c>
      <c r="D22" s="517">
        <v>4753479.16</v>
      </c>
      <c r="E22" s="517">
        <v>2338223.15</v>
      </c>
      <c r="F22" s="517">
        <v>5410463.6500000004</v>
      </c>
      <c r="G22" s="517">
        <v>7949872.4000000004</v>
      </c>
      <c r="H22" s="517">
        <v>112525.75</v>
      </c>
      <c r="I22" s="517">
        <v>79046.63</v>
      </c>
      <c r="J22" s="517">
        <v>213442.23</v>
      </c>
      <c r="K22" s="517">
        <v>531507.1</v>
      </c>
    </row>
    <row r="23" spans="1:11">
      <c r="A23">
        <v>25</v>
      </c>
      <c r="B23" t="s">
        <v>755</v>
      </c>
      <c r="C23" s="517">
        <v>1189492514.2</v>
      </c>
      <c r="D23" s="517">
        <v>5484736.3200000003</v>
      </c>
      <c r="E23" s="517">
        <v>5666697.2599999998</v>
      </c>
      <c r="F23" s="517">
        <v>4538040.41</v>
      </c>
      <c r="G23" s="517">
        <v>5916666.6100000003</v>
      </c>
      <c r="H23" s="517">
        <v>126126.49</v>
      </c>
      <c r="I23" s="517">
        <v>186838.73</v>
      </c>
      <c r="J23" s="517">
        <v>228677.95</v>
      </c>
      <c r="K23" s="517">
        <v>432182.56</v>
      </c>
    </row>
    <row r="24" spans="1:11">
      <c r="A24">
        <v>25</v>
      </c>
      <c r="B24" t="s">
        <v>756</v>
      </c>
      <c r="C24" s="517">
        <v>1137704113.1300001</v>
      </c>
      <c r="D24" s="517">
        <v>1757770.17</v>
      </c>
      <c r="E24" s="517">
        <v>4233101.5599999996</v>
      </c>
      <c r="F24" s="517">
        <v>4546757.95</v>
      </c>
      <c r="G24" s="517">
        <v>7527347.5199999996</v>
      </c>
      <c r="H24" s="517">
        <v>41504.65</v>
      </c>
      <c r="I24" s="517">
        <v>123654.93</v>
      </c>
      <c r="J24" s="517">
        <v>186407.2</v>
      </c>
      <c r="K24" s="517">
        <v>461402.96</v>
      </c>
    </row>
    <row r="25" spans="1:11">
      <c r="A25">
        <v>25</v>
      </c>
      <c r="B25" t="s">
        <v>757</v>
      </c>
      <c r="C25" s="517">
        <v>1091302713.23</v>
      </c>
      <c r="D25" s="517">
        <v>5094657.88</v>
      </c>
      <c r="E25" s="517">
        <v>1689545.81</v>
      </c>
      <c r="F25" s="517">
        <v>4808622.74</v>
      </c>
      <c r="G25" s="517">
        <v>7285895.5199999996</v>
      </c>
      <c r="H25" s="517">
        <v>118123.09</v>
      </c>
      <c r="I25" s="517">
        <v>58431.03</v>
      </c>
      <c r="J25" s="517">
        <v>194150.52</v>
      </c>
      <c r="K25" s="517">
        <v>457767.63</v>
      </c>
    </row>
    <row r="26" spans="1:11">
      <c r="A26">
        <v>25</v>
      </c>
      <c r="B26" t="s">
        <v>758</v>
      </c>
      <c r="C26" s="517">
        <v>1050040105.16</v>
      </c>
      <c r="D26" s="517">
        <v>2059584.85</v>
      </c>
      <c r="E26" s="517">
        <v>5233159.66</v>
      </c>
      <c r="F26" s="517">
        <v>4294615.3</v>
      </c>
      <c r="G26" s="517">
        <v>7814341.3200000003</v>
      </c>
      <c r="H26" s="517">
        <v>47028.25</v>
      </c>
      <c r="I26" s="517">
        <v>147594.74</v>
      </c>
      <c r="J26" s="517">
        <v>178869.72</v>
      </c>
      <c r="K26" s="517">
        <v>493733.59</v>
      </c>
    </row>
    <row r="27" spans="1:11">
      <c r="A27">
        <v>25</v>
      </c>
      <c r="B27" t="s">
        <v>759</v>
      </c>
      <c r="C27" s="517">
        <v>1011546703.21</v>
      </c>
      <c r="D27" s="517">
        <v>4456205.7699999996</v>
      </c>
      <c r="E27" s="517">
        <v>1815264.82</v>
      </c>
      <c r="F27" s="517">
        <v>4953579.13</v>
      </c>
      <c r="G27" s="517">
        <v>6770256.79</v>
      </c>
      <c r="H27" s="517">
        <v>104073.61</v>
      </c>
      <c r="I27" s="517">
        <v>55924.44</v>
      </c>
      <c r="J27" s="517">
        <v>193239.12</v>
      </c>
      <c r="K27" s="517">
        <v>455336.04</v>
      </c>
    </row>
    <row r="28" spans="1:11">
      <c r="A28">
        <v>25</v>
      </c>
      <c r="B28" t="s">
        <v>760</v>
      </c>
      <c r="C28" s="517">
        <v>979508496.28999996</v>
      </c>
      <c r="D28" s="517">
        <v>4706084.9800000004</v>
      </c>
      <c r="E28" s="517">
        <v>4781727.82</v>
      </c>
      <c r="F28" s="517">
        <v>1417695.23</v>
      </c>
      <c r="G28" s="517">
        <v>7880938.2800000003</v>
      </c>
      <c r="H28" s="517">
        <v>113745.45</v>
      </c>
      <c r="I28" s="517">
        <v>164408.4</v>
      </c>
      <c r="J28" s="517">
        <v>62354.98</v>
      </c>
      <c r="K28" s="517">
        <v>596455.79</v>
      </c>
    </row>
    <row r="29" spans="1:11">
      <c r="A29">
        <v>25</v>
      </c>
      <c r="B29" t="s">
        <v>761</v>
      </c>
      <c r="C29" s="517">
        <v>940396572.92999995</v>
      </c>
      <c r="D29" s="517">
        <v>1945485.7</v>
      </c>
      <c r="E29" s="517">
        <v>4168293.21</v>
      </c>
      <c r="F29" s="517">
        <v>4301529.82</v>
      </c>
      <c r="G29" s="517">
        <v>7337130.7599999998</v>
      </c>
      <c r="H29" s="517">
        <v>45485.79</v>
      </c>
      <c r="I29" s="517">
        <v>112608.72</v>
      </c>
      <c r="J29" s="517">
        <v>189043.59</v>
      </c>
      <c r="K29" s="517">
        <v>493499.22</v>
      </c>
    </row>
    <row r="30" spans="1:11">
      <c r="A30">
        <v>25</v>
      </c>
      <c r="B30" t="s">
        <v>762</v>
      </c>
      <c r="C30" s="517">
        <v>904083465.13</v>
      </c>
      <c r="D30" s="517">
        <v>4901116.0999999996</v>
      </c>
      <c r="E30" s="517">
        <v>4564945.1100000003</v>
      </c>
      <c r="F30" s="517">
        <v>3265378.23</v>
      </c>
      <c r="G30" s="517">
        <v>4891706.97</v>
      </c>
      <c r="H30" s="517">
        <v>115968.29</v>
      </c>
      <c r="I30" s="517">
        <v>160370.97</v>
      </c>
      <c r="J30" s="517">
        <v>170321.64</v>
      </c>
      <c r="K30" s="517">
        <v>372523.55</v>
      </c>
    </row>
    <row r="31" spans="1:11">
      <c r="A31">
        <v>25</v>
      </c>
      <c r="B31" t="s">
        <v>763</v>
      </c>
      <c r="C31" s="517">
        <v>867754835.40999997</v>
      </c>
      <c r="D31" s="517">
        <v>1533474.44</v>
      </c>
      <c r="E31" s="517">
        <v>6127716.8200000003</v>
      </c>
      <c r="F31" s="517">
        <v>3270227.48</v>
      </c>
      <c r="G31" s="517">
        <v>3810132.42</v>
      </c>
      <c r="H31" s="517">
        <v>38960.910000000003</v>
      </c>
      <c r="I31" s="517">
        <v>194099.41</v>
      </c>
      <c r="J31" s="517">
        <v>171882.87</v>
      </c>
      <c r="K31" s="517">
        <v>282182.53999999998</v>
      </c>
    </row>
    <row r="32" spans="1:11">
      <c r="A32">
        <v>25</v>
      </c>
      <c r="B32" t="s">
        <v>764</v>
      </c>
      <c r="C32" s="517">
        <v>837573133.32000005</v>
      </c>
      <c r="D32" s="517">
        <v>4796556.5</v>
      </c>
      <c r="E32" s="517">
        <v>3678024.96</v>
      </c>
      <c r="F32" s="517">
        <v>3464176.11</v>
      </c>
      <c r="G32" s="517">
        <v>4968428.66</v>
      </c>
      <c r="H32" s="517">
        <v>115912.08</v>
      </c>
      <c r="I32" s="517">
        <v>135702.82999999999</v>
      </c>
      <c r="J32" s="517">
        <v>181372.65</v>
      </c>
      <c r="K32" s="517">
        <v>369846.71</v>
      </c>
    </row>
    <row r="33" spans="1:11">
      <c r="A33">
        <v>25</v>
      </c>
      <c r="B33" t="s">
        <v>765</v>
      </c>
      <c r="C33" s="517">
        <v>805344476.12</v>
      </c>
      <c r="D33" s="517">
        <v>2122777.5099999998</v>
      </c>
      <c r="E33" s="517">
        <v>3561041.38</v>
      </c>
      <c r="F33" s="517">
        <v>3605145.19</v>
      </c>
      <c r="G33" s="517">
        <v>6335455.5499999998</v>
      </c>
      <c r="H33" s="517">
        <v>51622.720000000001</v>
      </c>
      <c r="I33" s="517">
        <v>106503.2</v>
      </c>
      <c r="J33" s="517">
        <v>145310.67000000001</v>
      </c>
      <c r="K33" s="517">
        <v>428909.76</v>
      </c>
    </row>
    <row r="34" spans="1:11">
      <c r="A34">
        <v>25</v>
      </c>
      <c r="B34" t="s">
        <v>766</v>
      </c>
      <c r="C34" s="517">
        <v>774337554.89999998</v>
      </c>
      <c r="D34" s="517">
        <v>4473384.62</v>
      </c>
      <c r="E34" s="517">
        <v>1535075.82</v>
      </c>
      <c r="F34" s="517">
        <v>3309766.94</v>
      </c>
      <c r="G34" s="517">
        <v>5941946.5300000003</v>
      </c>
      <c r="H34" s="517">
        <v>103458.96</v>
      </c>
      <c r="I34" s="517">
        <v>58209.64</v>
      </c>
      <c r="J34" s="517">
        <v>139376.04999999999</v>
      </c>
      <c r="K34" s="517">
        <v>404012.72</v>
      </c>
    </row>
    <row r="35" spans="1:11">
      <c r="A35">
        <v>25</v>
      </c>
      <c r="B35" t="s">
        <v>767</v>
      </c>
      <c r="C35" s="517">
        <v>744253182.51999998</v>
      </c>
      <c r="D35" s="517">
        <v>2132407.4700000002</v>
      </c>
      <c r="E35" s="517">
        <v>3503142.97</v>
      </c>
      <c r="F35" s="517">
        <v>3669346.01</v>
      </c>
      <c r="G35" s="517">
        <v>5342471.8499999996</v>
      </c>
      <c r="H35" s="517">
        <v>53876.58</v>
      </c>
      <c r="I35" s="517">
        <v>102721.4</v>
      </c>
      <c r="J35" s="517">
        <v>157822.51999999999</v>
      </c>
      <c r="K35" s="517">
        <v>376583.32</v>
      </c>
    </row>
    <row r="36" spans="1:11">
      <c r="A36">
        <v>25</v>
      </c>
      <c r="B36" t="s">
        <v>768</v>
      </c>
      <c r="C36" s="517">
        <v>714652736.22000003</v>
      </c>
      <c r="D36" s="517">
        <v>1891767.24</v>
      </c>
      <c r="E36" s="517">
        <v>4020922.4</v>
      </c>
      <c r="F36" s="517">
        <v>2804854.34</v>
      </c>
      <c r="G36" s="517">
        <v>5075477.04</v>
      </c>
      <c r="H36" s="517">
        <v>47909.96</v>
      </c>
      <c r="I36" s="517">
        <v>115069.75999999999</v>
      </c>
      <c r="J36" s="517">
        <v>119738.49</v>
      </c>
      <c r="K36" s="517">
        <v>368811.52000000002</v>
      </c>
    </row>
    <row r="37" spans="1:11">
      <c r="A37">
        <v>25</v>
      </c>
      <c r="B37" t="s">
        <v>769</v>
      </c>
      <c r="C37" s="517">
        <v>689208813.99000001</v>
      </c>
      <c r="D37" s="517">
        <v>4015303.9</v>
      </c>
      <c r="E37" s="517">
        <v>3507063.77</v>
      </c>
      <c r="F37" s="517">
        <v>1245723.22</v>
      </c>
      <c r="G37" s="517">
        <v>4597970.47</v>
      </c>
      <c r="H37" s="517">
        <v>101225.72</v>
      </c>
      <c r="I37" s="517">
        <v>132286.34</v>
      </c>
      <c r="J37" s="517">
        <v>66738.399999999994</v>
      </c>
      <c r="K37" s="517">
        <v>366968.67</v>
      </c>
    </row>
    <row r="38" spans="1:11">
      <c r="A38">
        <v>25</v>
      </c>
      <c r="B38" t="s">
        <v>770</v>
      </c>
      <c r="C38" s="517">
        <v>664036503.01999998</v>
      </c>
      <c r="D38" s="517">
        <v>1615005.19</v>
      </c>
      <c r="E38" s="517">
        <v>3351474.16</v>
      </c>
      <c r="F38" s="517">
        <v>3410957.12</v>
      </c>
      <c r="G38" s="517">
        <v>4983436.8099999996</v>
      </c>
      <c r="H38" s="517">
        <v>41323.269999999997</v>
      </c>
      <c r="I38" s="517">
        <v>94111.49</v>
      </c>
      <c r="J38" s="517">
        <v>146746.95000000001</v>
      </c>
      <c r="K38" s="517">
        <v>359264.22</v>
      </c>
    </row>
    <row r="39" spans="1:11">
      <c r="A39">
        <v>25</v>
      </c>
      <c r="B39" t="s">
        <v>771</v>
      </c>
      <c r="C39" s="517">
        <v>640143017.51999998</v>
      </c>
      <c r="D39" s="517">
        <v>3820235.41</v>
      </c>
      <c r="E39" s="517">
        <v>1299255.8899999999</v>
      </c>
      <c r="F39" s="517">
        <v>2792930.92</v>
      </c>
      <c r="G39" s="517">
        <v>5401686.2000000002</v>
      </c>
      <c r="H39" s="517">
        <v>98552.14</v>
      </c>
      <c r="I39" s="517">
        <v>47796.13</v>
      </c>
      <c r="J39" s="517">
        <v>116609.89</v>
      </c>
      <c r="K39" s="517">
        <v>379888.83</v>
      </c>
    </row>
    <row r="40" spans="1:11">
      <c r="A40">
        <v>25</v>
      </c>
      <c r="B40" t="s">
        <v>772</v>
      </c>
      <c r="C40" s="517">
        <v>618529801.11000001</v>
      </c>
      <c r="D40" s="517">
        <v>3345055.5</v>
      </c>
      <c r="E40" s="517">
        <v>3163187.63</v>
      </c>
      <c r="F40" s="517">
        <v>2532583.65</v>
      </c>
      <c r="G40" s="517">
        <v>3528784.9</v>
      </c>
      <c r="H40" s="517">
        <v>91525.91</v>
      </c>
      <c r="I40" s="517">
        <v>120870.68</v>
      </c>
      <c r="J40" s="517">
        <v>135843.12</v>
      </c>
      <c r="K40" s="517">
        <v>262041.60000000001</v>
      </c>
    </row>
    <row r="41" spans="1:11">
      <c r="A41">
        <v>25</v>
      </c>
      <c r="B41" t="s">
        <v>773</v>
      </c>
      <c r="C41" s="517">
        <v>593148563.20000005</v>
      </c>
      <c r="D41" s="517">
        <v>1557008.81</v>
      </c>
      <c r="E41" s="517">
        <v>2701841.43</v>
      </c>
      <c r="F41" s="517">
        <v>2703966.97</v>
      </c>
      <c r="G41" s="517">
        <v>5021908.87</v>
      </c>
      <c r="H41" s="517">
        <v>40753.46</v>
      </c>
      <c r="I41" s="517">
        <v>84504.11</v>
      </c>
      <c r="J41" s="517">
        <v>124846.04</v>
      </c>
      <c r="K41" s="517">
        <v>359071.24</v>
      </c>
    </row>
    <row r="42" spans="1:11">
      <c r="A42">
        <v>25</v>
      </c>
      <c r="B42" t="s">
        <v>774</v>
      </c>
      <c r="C42" s="517">
        <v>570129389.58000004</v>
      </c>
      <c r="D42" s="517">
        <v>3270910.87</v>
      </c>
      <c r="E42" s="517">
        <v>3015472.85</v>
      </c>
      <c r="F42" s="517">
        <v>523870.24</v>
      </c>
      <c r="G42" s="517">
        <v>4324867.1500000004</v>
      </c>
      <c r="H42" s="517">
        <v>87813.9</v>
      </c>
      <c r="I42" s="517">
        <v>115083.04</v>
      </c>
      <c r="J42" s="517">
        <v>31967.75</v>
      </c>
      <c r="K42" s="517">
        <v>331281.88</v>
      </c>
    </row>
    <row r="43" spans="1:11">
      <c r="A43">
        <v>25</v>
      </c>
      <c r="B43" t="s">
        <v>775</v>
      </c>
      <c r="C43" s="517">
        <v>547537466.85000002</v>
      </c>
      <c r="D43" s="517">
        <v>3892343.73</v>
      </c>
      <c r="E43" s="517">
        <v>2770911.81</v>
      </c>
      <c r="F43" s="517">
        <v>2266822.84</v>
      </c>
      <c r="G43" s="517">
        <v>3355316.26</v>
      </c>
      <c r="H43" s="517">
        <v>102337.69</v>
      </c>
      <c r="I43" s="517">
        <v>104477.45</v>
      </c>
      <c r="J43" s="517">
        <v>128153.81</v>
      </c>
      <c r="K43" s="517">
        <v>291892.69</v>
      </c>
    </row>
    <row r="44" spans="1:11">
      <c r="A44">
        <v>25</v>
      </c>
      <c r="B44" t="s">
        <v>776</v>
      </c>
      <c r="C44" s="517">
        <v>525478887.66000003</v>
      </c>
      <c r="D44" s="517">
        <v>3220590.92</v>
      </c>
      <c r="E44" s="517">
        <v>1083273.29</v>
      </c>
      <c r="F44" s="517">
        <v>3804331.9</v>
      </c>
      <c r="G44" s="517">
        <v>2761434.36</v>
      </c>
      <c r="H44" s="517">
        <v>86763.03</v>
      </c>
      <c r="I44" s="517">
        <v>47858.720000000001</v>
      </c>
      <c r="J44" s="517">
        <v>190340.44</v>
      </c>
      <c r="K44" s="517">
        <v>235540.73</v>
      </c>
    </row>
    <row r="45" spans="1:11">
      <c r="A45">
        <v>25</v>
      </c>
      <c r="B45" t="s">
        <v>777</v>
      </c>
      <c r="C45" s="517">
        <v>504470040.88999999</v>
      </c>
      <c r="D45" s="517">
        <v>1217385.98</v>
      </c>
      <c r="E45" s="517">
        <v>2470401.7599999998</v>
      </c>
      <c r="F45" s="517">
        <v>2457322.4300000002</v>
      </c>
      <c r="G45" s="517">
        <v>4325953</v>
      </c>
      <c r="H45" s="517">
        <v>35444.86</v>
      </c>
      <c r="I45" s="517">
        <v>87494.32</v>
      </c>
      <c r="J45" s="517">
        <v>125844.64</v>
      </c>
      <c r="K45" s="517">
        <v>327050.82</v>
      </c>
    </row>
    <row r="46" spans="1:11">
      <c r="A46">
        <v>25</v>
      </c>
      <c r="B46" t="s">
        <v>778</v>
      </c>
      <c r="C46" s="517">
        <v>483797256.39999998</v>
      </c>
      <c r="D46" s="517">
        <v>3666050.91</v>
      </c>
      <c r="E46" s="517">
        <v>2289090.67</v>
      </c>
      <c r="F46" s="517">
        <v>2104811.9</v>
      </c>
      <c r="G46" s="517">
        <v>2941467.9</v>
      </c>
      <c r="H46" s="517">
        <v>101119.4</v>
      </c>
      <c r="I46" s="517">
        <v>89069.96</v>
      </c>
      <c r="J46" s="517">
        <v>140422.39999999999</v>
      </c>
      <c r="K46" s="517">
        <v>274027.19</v>
      </c>
    </row>
    <row r="47" spans="1:11">
      <c r="A47">
        <v>25</v>
      </c>
      <c r="B47" t="s">
        <v>779</v>
      </c>
      <c r="C47" s="517">
        <v>462729654.54000002</v>
      </c>
      <c r="D47" s="517">
        <v>1430444.59</v>
      </c>
      <c r="E47" s="517">
        <v>2481013.5699999998</v>
      </c>
      <c r="F47" s="517">
        <v>2100394.7200000002</v>
      </c>
      <c r="G47" s="517">
        <v>3590332.63</v>
      </c>
      <c r="H47" s="517">
        <v>38354.31</v>
      </c>
      <c r="I47" s="517">
        <v>83058.559999999998</v>
      </c>
      <c r="J47" s="517">
        <v>101603.19</v>
      </c>
      <c r="K47" s="517">
        <v>309874.55</v>
      </c>
    </row>
    <row r="48" spans="1:11">
      <c r="A48">
        <v>25</v>
      </c>
      <c r="B48" t="s">
        <v>780</v>
      </c>
      <c r="C48" s="517">
        <v>443196259.31</v>
      </c>
      <c r="D48" s="517">
        <v>3479794.8</v>
      </c>
      <c r="E48" s="517">
        <v>879683.18</v>
      </c>
      <c r="F48" s="517">
        <v>2279885.16</v>
      </c>
      <c r="G48" s="517">
        <v>3359991.49</v>
      </c>
      <c r="H48" s="517">
        <v>103538.51</v>
      </c>
      <c r="I48" s="517">
        <v>37608.589999999997</v>
      </c>
      <c r="J48" s="517">
        <v>108902.43</v>
      </c>
      <c r="K48" s="517">
        <v>288079.98</v>
      </c>
    </row>
    <row r="49" spans="1:11">
      <c r="A49">
        <v>25</v>
      </c>
      <c r="B49" t="s">
        <v>781</v>
      </c>
      <c r="C49" s="517">
        <v>424915466.89999998</v>
      </c>
      <c r="D49" s="517">
        <v>3109251.13</v>
      </c>
      <c r="E49" s="517">
        <v>789854.05</v>
      </c>
      <c r="F49" s="517">
        <v>2231102.16</v>
      </c>
      <c r="G49" s="517">
        <v>3485444.38</v>
      </c>
      <c r="H49" s="517">
        <v>86311.92</v>
      </c>
      <c r="I49" s="517">
        <v>35114.1</v>
      </c>
      <c r="J49" s="517">
        <v>106945.26</v>
      </c>
      <c r="K49" s="517">
        <v>271761.58</v>
      </c>
    </row>
    <row r="50" spans="1:11">
      <c r="A50">
        <v>25</v>
      </c>
      <c r="B50" t="s">
        <v>782</v>
      </c>
      <c r="C50" s="517">
        <v>406972073.69</v>
      </c>
      <c r="D50" s="517">
        <v>1212942.3999999999</v>
      </c>
      <c r="E50" s="517">
        <v>2178056.14</v>
      </c>
      <c r="F50" s="517">
        <v>1796094.18</v>
      </c>
      <c r="G50" s="517">
        <v>3737363.05</v>
      </c>
      <c r="H50" s="517">
        <v>35761.78</v>
      </c>
      <c r="I50" s="517">
        <v>70267.75</v>
      </c>
      <c r="J50" s="517">
        <v>92373.35</v>
      </c>
      <c r="K50" s="517">
        <v>293052.98</v>
      </c>
    </row>
    <row r="51" spans="1:11">
      <c r="A51">
        <v>25</v>
      </c>
      <c r="B51" t="s">
        <v>783</v>
      </c>
      <c r="C51" s="517">
        <v>389757980.5</v>
      </c>
      <c r="D51" s="517">
        <v>3118885.55</v>
      </c>
      <c r="E51" s="517">
        <v>1945041.95</v>
      </c>
      <c r="F51" s="517">
        <v>1564948.55</v>
      </c>
      <c r="G51" s="517">
        <v>2271917.19</v>
      </c>
      <c r="H51" s="517">
        <v>87205.88</v>
      </c>
      <c r="I51" s="517">
        <v>83535.42</v>
      </c>
      <c r="J51" s="517">
        <v>98455.41</v>
      </c>
      <c r="K51" s="517">
        <v>199960.73</v>
      </c>
    </row>
    <row r="52" spans="1:11">
      <c r="A52">
        <v>25</v>
      </c>
      <c r="B52" t="s">
        <v>784</v>
      </c>
      <c r="C52" s="517">
        <v>374849302.11000001</v>
      </c>
      <c r="D52" s="517">
        <v>2336577.88</v>
      </c>
      <c r="E52" s="517">
        <v>2007672.25</v>
      </c>
      <c r="F52" s="517">
        <v>459404.84</v>
      </c>
      <c r="G52" s="517">
        <v>3254026.55</v>
      </c>
      <c r="H52" s="517">
        <v>71641.66</v>
      </c>
      <c r="I52" s="517">
        <v>83169.570000000007</v>
      </c>
      <c r="J52" s="517">
        <v>33261.72</v>
      </c>
      <c r="K52" s="517">
        <v>273444.71000000002</v>
      </c>
    </row>
    <row r="53" spans="1:11">
      <c r="A53">
        <v>25</v>
      </c>
      <c r="B53" t="s">
        <v>785</v>
      </c>
      <c r="C53" s="517">
        <v>357461476.32999998</v>
      </c>
      <c r="D53" s="517">
        <v>1253317.26</v>
      </c>
      <c r="E53" s="517">
        <v>2374334.0499999998</v>
      </c>
      <c r="F53" s="517">
        <v>1587726.1</v>
      </c>
      <c r="G53" s="517">
        <v>2960862.6</v>
      </c>
      <c r="H53" s="517">
        <v>37003.379999999997</v>
      </c>
      <c r="I53" s="517">
        <v>82300.460000000006</v>
      </c>
      <c r="J53" s="517">
        <v>81776.34</v>
      </c>
      <c r="K53" s="517">
        <v>247993.93</v>
      </c>
    </row>
    <row r="54" spans="1:11">
      <c r="A54">
        <v>25</v>
      </c>
      <c r="B54" t="s">
        <v>786</v>
      </c>
      <c r="C54" s="517">
        <v>341121321.93000001</v>
      </c>
      <c r="D54" s="517">
        <v>2766773.45</v>
      </c>
      <c r="E54" s="517">
        <v>2174527.9700000002</v>
      </c>
      <c r="F54" s="517">
        <v>1450008.08</v>
      </c>
      <c r="G54" s="517">
        <v>1963450.76</v>
      </c>
      <c r="H54" s="517">
        <v>84402.81</v>
      </c>
      <c r="I54" s="517">
        <v>95088.59</v>
      </c>
      <c r="J54" s="517">
        <v>94808.57</v>
      </c>
      <c r="K54" s="517">
        <v>181833.38</v>
      </c>
    </row>
    <row r="55" spans="1:11">
      <c r="A55">
        <v>25</v>
      </c>
      <c r="B55" t="s">
        <v>787</v>
      </c>
      <c r="C55" s="517">
        <v>325648786.45999998</v>
      </c>
      <c r="D55" s="517">
        <v>997504.37</v>
      </c>
      <c r="E55" s="517">
        <v>2684697.54</v>
      </c>
      <c r="F55" s="517">
        <v>1543197.05</v>
      </c>
      <c r="G55" s="517">
        <v>2064327.58</v>
      </c>
      <c r="H55" s="517">
        <v>33659.83</v>
      </c>
      <c r="I55" s="517">
        <v>108382.83</v>
      </c>
      <c r="J55" s="517">
        <v>96820.44</v>
      </c>
      <c r="K55" s="517">
        <v>187685.7</v>
      </c>
    </row>
    <row r="56" spans="1:11">
      <c r="A56">
        <v>25</v>
      </c>
      <c r="B56" t="s">
        <v>788</v>
      </c>
      <c r="C56" s="517">
        <v>310618786.56</v>
      </c>
      <c r="D56" s="517">
        <v>2247778.36</v>
      </c>
      <c r="E56" s="517">
        <v>723490.3</v>
      </c>
      <c r="F56" s="517">
        <v>2142429.59</v>
      </c>
      <c r="G56" s="517">
        <v>1907741.66</v>
      </c>
      <c r="H56" s="517">
        <v>71517.31</v>
      </c>
      <c r="I56" s="517">
        <v>35618.71</v>
      </c>
      <c r="J56" s="517">
        <v>125115.36</v>
      </c>
      <c r="K56" s="517">
        <v>171323.32</v>
      </c>
    </row>
    <row r="57" spans="1:11">
      <c r="A57">
        <v>25</v>
      </c>
      <c r="B57" t="s">
        <v>789</v>
      </c>
    </row>
    <row r="58" spans="1:11">
      <c r="A58">
        <v>25</v>
      </c>
      <c r="B58" t="s">
        <v>790</v>
      </c>
    </row>
    <row r="59" spans="1:11">
      <c r="A59">
        <v>25</v>
      </c>
      <c r="B59" t="s">
        <v>791</v>
      </c>
    </row>
    <row r="60" spans="1:11">
      <c r="A60">
        <v>25</v>
      </c>
      <c r="B60" t="s">
        <v>792</v>
      </c>
    </row>
    <row r="61" spans="1:11">
      <c r="A61">
        <v>25</v>
      </c>
      <c r="B61" t="s">
        <v>793</v>
      </c>
    </row>
    <row r="62" spans="1:11">
      <c r="A62">
        <v>25</v>
      </c>
      <c r="B62" t="s">
        <v>794</v>
      </c>
    </row>
    <row r="63" spans="1:11">
      <c r="A63">
        <v>25</v>
      </c>
      <c r="B63" t="s">
        <v>795</v>
      </c>
    </row>
    <row r="64" spans="1:11">
      <c r="A64">
        <v>25</v>
      </c>
      <c r="B64" t="s">
        <v>796</v>
      </c>
    </row>
    <row r="65" spans="1:2">
      <c r="A65">
        <v>25</v>
      </c>
      <c r="B65" t="s">
        <v>797</v>
      </c>
    </row>
    <row r="66" spans="1:2">
      <c r="A66">
        <v>25</v>
      </c>
      <c r="B66" t="s">
        <v>798</v>
      </c>
    </row>
    <row r="67" spans="1:2">
      <c r="A67">
        <v>25</v>
      </c>
      <c r="B67" t="s">
        <v>799</v>
      </c>
    </row>
    <row r="68" spans="1:2">
      <c r="A68">
        <v>25</v>
      </c>
      <c r="B68" t="s">
        <v>800</v>
      </c>
    </row>
    <row r="69" spans="1:2">
      <c r="A69">
        <v>25</v>
      </c>
      <c r="B69" t="s">
        <v>801</v>
      </c>
    </row>
    <row r="70" spans="1:2">
      <c r="A70">
        <v>25</v>
      </c>
      <c r="B70" t="s">
        <v>802</v>
      </c>
    </row>
    <row r="71" spans="1:2">
      <c r="A71">
        <v>25</v>
      </c>
      <c r="B71" t="s">
        <v>803</v>
      </c>
    </row>
    <row r="72" spans="1:2">
      <c r="A72">
        <v>25</v>
      </c>
      <c r="B72" t="s">
        <v>804</v>
      </c>
    </row>
    <row r="73" spans="1:2">
      <c r="A73">
        <v>25</v>
      </c>
      <c r="B73" t="s">
        <v>805</v>
      </c>
    </row>
    <row r="74" spans="1:2">
      <c r="A74">
        <v>25</v>
      </c>
      <c r="B74" t="s">
        <v>806</v>
      </c>
    </row>
    <row r="75" spans="1:2">
      <c r="A75">
        <v>25</v>
      </c>
      <c r="B75" t="s">
        <v>807</v>
      </c>
    </row>
    <row r="76" spans="1:2">
      <c r="A76">
        <v>25</v>
      </c>
      <c r="B76" t="s">
        <v>808</v>
      </c>
    </row>
    <row r="77" spans="1:2">
      <c r="A77">
        <v>25</v>
      </c>
      <c r="B77" t="s">
        <v>809</v>
      </c>
    </row>
    <row r="78" spans="1:2">
      <c r="A78">
        <v>25</v>
      </c>
      <c r="B78" t="s">
        <v>810</v>
      </c>
    </row>
    <row r="79" spans="1:2">
      <c r="A79">
        <v>25</v>
      </c>
      <c r="B79" t="s">
        <v>811</v>
      </c>
    </row>
    <row r="80" spans="1:2">
      <c r="A80">
        <v>25</v>
      </c>
      <c r="B80" t="s">
        <v>812</v>
      </c>
    </row>
    <row r="81" spans="1:2">
      <c r="A81">
        <v>25</v>
      </c>
      <c r="B81" t="s">
        <v>813</v>
      </c>
    </row>
    <row r="82" spans="1:2">
      <c r="A82">
        <v>25</v>
      </c>
      <c r="B82" t="s">
        <v>957</v>
      </c>
    </row>
    <row r="83" spans="1:2">
      <c r="A83">
        <v>25</v>
      </c>
      <c r="B83" t="s">
        <v>957</v>
      </c>
    </row>
    <row r="84" spans="1:2">
      <c r="A84">
        <v>25</v>
      </c>
      <c r="B84" t="s">
        <v>957</v>
      </c>
    </row>
    <row r="85" spans="1:2">
      <c r="A85">
        <v>25</v>
      </c>
      <c r="B85" t="s">
        <v>957</v>
      </c>
    </row>
    <row r="86" spans="1:2">
      <c r="A86">
        <v>25</v>
      </c>
      <c r="B86" t="s">
        <v>957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8"/>
  <sheetViews>
    <sheetView workbookViewId="0">
      <selection activeCell="C56" sqref="C56"/>
    </sheetView>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814</v>
      </c>
      <c r="C2">
        <v>0</v>
      </c>
      <c r="D2" s="517">
        <v>0</v>
      </c>
      <c r="E2" s="517">
        <v>0</v>
      </c>
      <c r="F2" s="517">
        <v>1865332396.49</v>
      </c>
      <c r="G2">
        <v>0</v>
      </c>
      <c r="H2" s="517">
        <v>0</v>
      </c>
      <c r="I2" s="517">
        <v>0</v>
      </c>
      <c r="J2" s="517">
        <v>0</v>
      </c>
      <c r="K2">
        <v>0</v>
      </c>
    </row>
    <row r="3" spans="1:11">
      <c r="A3">
        <v>25</v>
      </c>
      <c r="B3" t="s">
        <v>815</v>
      </c>
      <c r="C3">
        <v>16</v>
      </c>
      <c r="D3" s="517">
        <v>147487.32</v>
      </c>
      <c r="E3" s="517">
        <v>147487.32</v>
      </c>
      <c r="F3" s="517">
        <v>1925228852.76</v>
      </c>
      <c r="G3">
        <v>7.6607682140522054E-5</v>
      </c>
      <c r="H3" s="517">
        <v>-479.73</v>
      </c>
      <c r="I3" s="517">
        <v>-479.73</v>
      </c>
      <c r="J3" s="517">
        <v>147967.04999999999</v>
      </c>
      <c r="K3">
        <v>7.6856862906389068E-5</v>
      </c>
    </row>
    <row r="4" spans="1:11">
      <c r="A4">
        <v>25</v>
      </c>
      <c r="B4" t="s">
        <v>816</v>
      </c>
      <c r="C4">
        <v>24</v>
      </c>
      <c r="D4" s="517">
        <v>157926.42000000001</v>
      </c>
      <c r="E4" s="517">
        <v>305413.74</v>
      </c>
      <c r="F4" s="517">
        <v>1996496542.3599999</v>
      </c>
      <c r="G4">
        <v>1.5297484043672792E-4</v>
      </c>
      <c r="H4" s="517">
        <v>257.69</v>
      </c>
      <c r="I4" s="517">
        <v>-222.04</v>
      </c>
      <c r="J4" s="517">
        <v>305635.78000000003</v>
      </c>
      <c r="K4">
        <v>1.5308605525493017E-4</v>
      </c>
    </row>
    <row r="5" spans="1:11">
      <c r="A5">
        <v>25</v>
      </c>
      <c r="B5" t="s">
        <v>817</v>
      </c>
      <c r="C5">
        <v>132</v>
      </c>
      <c r="D5" s="517">
        <v>1099521.49</v>
      </c>
      <c r="E5" s="517">
        <v>1404935.23</v>
      </c>
      <c r="F5" s="517">
        <v>2069848195.1199999</v>
      </c>
      <c r="G5">
        <v>6.7876244901068634E-4</v>
      </c>
      <c r="H5" s="517">
        <v>9982.5</v>
      </c>
      <c r="I5" s="517">
        <v>9760.4599999999991</v>
      </c>
      <c r="J5" s="517">
        <v>1395174.77</v>
      </c>
      <c r="K5">
        <v>6.7404690512538499E-4</v>
      </c>
    </row>
    <row r="6" spans="1:11">
      <c r="A6">
        <v>25</v>
      </c>
      <c r="B6" t="s">
        <v>818</v>
      </c>
      <c r="C6">
        <v>315</v>
      </c>
      <c r="D6" s="517">
        <v>2218875.8199999998</v>
      </c>
      <c r="E6" s="517">
        <v>3623811.05</v>
      </c>
      <c r="F6" s="517">
        <v>2153371435.1599998</v>
      </c>
      <c r="G6">
        <v>1.6828546115318667E-3</v>
      </c>
      <c r="H6" s="517">
        <v>24886.76</v>
      </c>
      <c r="I6" s="517">
        <v>34647.22</v>
      </c>
      <c r="J6" s="517">
        <v>3589163.83</v>
      </c>
      <c r="K6">
        <v>1.6667648559819024E-3</v>
      </c>
    </row>
    <row r="7" spans="1:11">
      <c r="A7">
        <v>25</v>
      </c>
      <c r="B7" t="s">
        <v>819</v>
      </c>
      <c r="C7">
        <v>507</v>
      </c>
      <c r="D7" s="517">
        <v>2239836.88</v>
      </c>
      <c r="E7" s="517">
        <v>5863647.9299999997</v>
      </c>
      <c r="F7" s="517">
        <v>2230111276.0500002</v>
      </c>
      <c r="G7">
        <v>2.6293073323165133E-3</v>
      </c>
      <c r="H7" s="517">
        <v>3854.39</v>
      </c>
      <c r="I7" s="517">
        <v>38501.61</v>
      </c>
      <c r="J7" s="517">
        <v>5825146.3200000003</v>
      </c>
      <c r="K7">
        <v>2.6120428978403131E-3</v>
      </c>
    </row>
    <row r="8" spans="1:11">
      <c r="A8">
        <v>25</v>
      </c>
      <c r="B8" t="s">
        <v>820</v>
      </c>
      <c r="C8">
        <v>775</v>
      </c>
      <c r="D8" s="517">
        <v>2857778.09</v>
      </c>
      <c r="E8" s="517">
        <v>8721426.0199999996</v>
      </c>
      <c r="F8" s="517">
        <v>2305545697.6199999</v>
      </c>
      <c r="G8">
        <v>3.7828033636475183E-3</v>
      </c>
      <c r="H8" s="517">
        <v>5493.97</v>
      </c>
      <c r="I8" s="517">
        <v>43995.58</v>
      </c>
      <c r="J8" s="517">
        <v>8677430.4399999995</v>
      </c>
      <c r="K8">
        <v>3.763720861814908E-3</v>
      </c>
    </row>
    <row r="9" spans="1:11">
      <c r="A9">
        <v>25</v>
      </c>
      <c r="B9" t="s">
        <v>821</v>
      </c>
      <c r="C9">
        <v>1035</v>
      </c>
      <c r="D9" s="517">
        <v>2403241.33</v>
      </c>
      <c r="E9" s="517">
        <v>11124667.35</v>
      </c>
      <c r="F9" s="517">
        <v>2387304300.2600002</v>
      </c>
      <c r="G9">
        <v>4.6599285012758618E-3</v>
      </c>
      <c r="H9" s="517">
        <v>22450.16</v>
      </c>
      <c r="I9" s="517">
        <v>66445.740000000005</v>
      </c>
      <c r="J9" s="517">
        <v>11058221.609999999</v>
      </c>
      <c r="K9">
        <v>4.6320955434108902E-3</v>
      </c>
    </row>
    <row r="10" spans="1:11">
      <c r="A10">
        <v>25</v>
      </c>
      <c r="B10" t="s">
        <v>822</v>
      </c>
      <c r="C10">
        <v>1358</v>
      </c>
      <c r="D10" s="517">
        <v>3038826.26</v>
      </c>
      <c r="E10" s="517">
        <v>14163493.609999999</v>
      </c>
      <c r="F10" s="517">
        <v>2482653655.3200002</v>
      </c>
      <c r="G10">
        <v>5.7049816754139258E-3</v>
      </c>
      <c r="H10" s="517">
        <v>31479.16</v>
      </c>
      <c r="I10" s="517">
        <v>97924.9</v>
      </c>
      <c r="J10" s="517">
        <v>14065568.710000001</v>
      </c>
      <c r="K10">
        <v>5.6655380342156619E-3</v>
      </c>
    </row>
    <row r="11" spans="1:11">
      <c r="A11">
        <v>25</v>
      </c>
      <c r="B11" t="s">
        <v>823</v>
      </c>
      <c r="C11">
        <v>1606</v>
      </c>
      <c r="D11" s="517">
        <v>2948583.92</v>
      </c>
      <c r="E11" s="517">
        <v>17112077.530000001</v>
      </c>
      <c r="F11" s="517">
        <v>2566789790.5900002</v>
      </c>
      <c r="G11">
        <v>6.6667233883872653E-3</v>
      </c>
      <c r="H11" s="517">
        <v>52785.46</v>
      </c>
      <c r="I11" s="517">
        <v>150710.35999999999</v>
      </c>
      <c r="J11" s="517">
        <v>16961367.170000002</v>
      </c>
      <c r="K11">
        <v>6.6080078829132633E-3</v>
      </c>
    </row>
    <row r="12" spans="1:11">
      <c r="A12">
        <v>25</v>
      </c>
      <c r="B12" t="s">
        <v>824</v>
      </c>
      <c r="C12">
        <v>1934</v>
      </c>
      <c r="D12" s="517">
        <v>3478842.52</v>
      </c>
      <c r="E12" s="517">
        <v>20590920.050000001</v>
      </c>
      <c r="F12" s="517">
        <v>2648433796.2199998</v>
      </c>
      <c r="G12">
        <v>7.7747535465634713E-3</v>
      </c>
      <c r="H12" s="517">
        <v>70308.759999999995</v>
      </c>
      <c r="I12" s="517">
        <v>221019.12</v>
      </c>
      <c r="J12" s="517">
        <v>20369900.93</v>
      </c>
      <c r="K12">
        <v>7.6913007827770202E-3</v>
      </c>
    </row>
    <row r="13" spans="1:11">
      <c r="A13">
        <v>25</v>
      </c>
      <c r="B13" t="s">
        <v>825</v>
      </c>
      <c r="C13">
        <v>2253</v>
      </c>
      <c r="D13" s="517">
        <v>3348605.56</v>
      </c>
      <c r="E13" s="517">
        <v>23939525.609999999</v>
      </c>
      <c r="F13" s="517">
        <v>2730124401.23</v>
      </c>
      <c r="G13">
        <v>8.7686574279232671E-3</v>
      </c>
      <c r="H13" s="517">
        <v>118385.37</v>
      </c>
      <c r="I13" s="517">
        <v>339404.49</v>
      </c>
      <c r="J13" s="517">
        <v>23600121.120000001</v>
      </c>
      <c r="K13">
        <v>8.6443391038765367E-3</v>
      </c>
    </row>
    <row r="14" spans="1:11">
      <c r="A14">
        <v>25</v>
      </c>
      <c r="B14" t="s">
        <v>826</v>
      </c>
      <c r="C14">
        <v>2547</v>
      </c>
      <c r="D14" s="517">
        <v>3035221.94</v>
      </c>
      <c r="E14" s="517">
        <v>26974747.550000001</v>
      </c>
      <c r="F14" s="517">
        <v>2730124401.23</v>
      </c>
      <c r="G14">
        <v>9.8804096757814774E-3</v>
      </c>
      <c r="H14" s="517">
        <v>101904.44</v>
      </c>
      <c r="I14" s="517">
        <v>441308.93</v>
      </c>
      <c r="J14" s="517">
        <v>26533438.620000001</v>
      </c>
      <c r="K14">
        <v>9.7187654189112866E-3</v>
      </c>
    </row>
    <row r="15" spans="1:11">
      <c r="A15">
        <v>25</v>
      </c>
      <c r="B15" t="s">
        <v>827</v>
      </c>
      <c r="C15">
        <v>2882</v>
      </c>
      <c r="D15" s="517">
        <v>3649681.15</v>
      </c>
      <c r="E15" s="517">
        <v>30624428.699999999</v>
      </c>
      <c r="F15" s="517">
        <v>2730124401.23</v>
      </c>
      <c r="G15">
        <v>1.1217228301465975E-2</v>
      </c>
      <c r="H15" s="517">
        <v>168996.44</v>
      </c>
      <c r="I15" s="517">
        <v>610305.37</v>
      </c>
      <c r="J15" s="517">
        <v>30014123.329999998</v>
      </c>
      <c r="K15">
        <v>1.0993683407421937E-2</v>
      </c>
    </row>
    <row r="16" spans="1:11">
      <c r="A16">
        <v>25</v>
      </c>
      <c r="B16" t="s">
        <v>828</v>
      </c>
      <c r="C16">
        <v>3239</v>
      </c>
      <c r="D16" s="517">
        <v>3614994.27</v>
      </c>
      <c r="E16" s="517">
        <v>34239422.969999999</v>
      </c>
      <c r="F16" s="517">
        <v>2730124401.23</v>
      </c>
      <c r="G16">
        <v>1.2541341689255681E-2</v>
      </c>
      <c r="H16" s="517">
        <v>152385.89000000001</v>
      </c>
      <c r="I16" s="517">
        <v>762691.26</v>
      </c>
      <c r="J16" s="517">
        <v>33476731.710000001</v>
      </c>
      <c r="K16">
        <v>1.2261980331342326E-2</v>
      </c>
    </row>
    <row r="17" spans="1:11">
      <c r="A17">
        <v>25</v>
      </c>
      <c r="B17" t="s">
        <v>829</v>
      </c>
      <c r="C17">
        <v>3622</v>
      </c>
      <c r="D17" s="517">
        <v>3585117.74</v>
      </c>
      <c r="E17" s="517">
        <v>37824540.710000001</v>
      </c>
      <c r="F17" s="517">
        <v>2730124401.23</v>
      </c>
      <c r="G17">
        <v>1.385451179182859E-2</v>
      </c>
      <c r="H17" s="517">
        <v>111648.37</v>
      </c>
      <c r="I17" s="517">
        <v>874339.63</v>
      </c>
      <c r="J17" s="517">
        <v>36950201.079999998</v>
      </c>
      <c r="K17">
        <v>1.3534255458598468E-2</v>
      </c>
    </row>
    <row r="18" spans="1:11">
      <c r="A18">
        <v>25</v>
      </c>
      <c r="B18" t="s">
        <v>830</v>
      </c>
      <c r="C18">
        <v>3912</v>
      </c>
      <c r="D18" s="517">
        <v>2818503.57</v>
      </c>
      <c r="E18" s="517">
        <v>40643044.280000001</v>
      </c>
      <c r="F18" s="517">
        <v>2730124401.23</v>
      </c>
      <c r="G18">
        <v>1.4886883638595055E-2</v>
      </c>
      <c r="H18" s="517">
        <v>178137.94</v>
      </c>
      <c r="I18" s="517">
        <v>1052477.57</v>
      </c>
      <c r="J18" s="517">
        <v>39590566.710000001</v>
      </c>
      <c r="K18">
        <v>1.4501378285972357E-2</v>
      </c>
    </row>
    <row r="19" spans="1:11">
      <c r="A19">
        <v>25</v>
      </c>
      <c r="B19" t="s">
        <v>831</v>
      </c>
      <c r="C19">
        <v>4325</v>
      </c>
      <c r="D19" s="517">
        <v>4735808.45</v>
      </c>
      <c r="E19" s="517">
        <v>45378852.729999997</v>
      </c>
      <c r="F19" s="517">
        <v>2730124401.23</v>
      </c>
      <c r="G19">
        <v>1.6621532963683093E-2</v>
      </c>
      <c r="H19" s="517">
        <v>186401.94</v>
      </c>
      <c r="I19" s="517">
        <v>1238879.51</v>
      </c>
      <c r="J19" s="517">
        <v>44139973.219999999</v>
      </c>
      <c r="K19">
        <v>1.616775162337426E-2</v>
      </c>
    </row>
    <row r="20" spans="1:11">
      <c r="A20">
        <v>25</v>
      </c>
      <c r="B20" t="s">
        <v>832</v>
      </c>
      <c r="C20">
        <v>4652</v>
      </c>
      <c r="D20" s="517">
        <v>3472064.24</v>
      </c>
      <c r="E20" s="517">
        <v>48850916.969999999</v>
      </c>
      <c r="F20" s="517">
        <v>2730124401.23</v>
      </c>
      <c r="G20">
        <v>1.7893293414758413E-2</v>
      </c>
      <c r="H20" s="517">
        <v>185101.49</v>
      </c>
      <c r="I20" s="517">
        <v>1423981</v>
      </c>
      <c r="J20" s="517">
        <v>47426935.969999999</v>
      </c>
      <c r="K20">
        <v>1.7371712420369126E-2</v>
      </c>
    </row>
    <row r="21" spans="1:11">
      <c r="A21">
        <v>25</v>
      </c>
      <c r="B21" t="s">
        <v>833</v>
      </c>
      <c r="C21">
        <v>4988</v>
      </c>
      <c r="D21" s="517">
        <v>3076208.58</v>
      </c>
      <c r="E21" s="517">
        <v>51927125.549999997</v>
      </c>
      <c r="F21" s="517">
        <v>2730124401.23</v>
      </c>
      <c r="G21">
        <v>1.9020058399758392E-2</v>
      </c>
      <c r="H21" s="517">
        <v>169052.85</v>
      </c>
      <c r="I21" s="517">
        <v>1593033.85</v>
      </c>
      <c r="J21" s="517">
        <v>50334091.700000003</v>
      </c>
      <c r="K21">
        <v>1.843655610613313E-2</v>
      </c>
    </row>
    <row r="22" spans="1:11">
      <c r="A22">
        <v>25</v>
      </c>
      <c r="B22" t="s">
        <v>834</v>
      </c>
      <c r="C22">
        <v>5324</v>
      </c>
      <c r="D22" s="517">
        <v>3230731.23</v>
      </c>
      <c r="E22" s="517">
        <v>55157856.780000001</v>
      </c>
      <c r="F22" s="517">
        <v>2730124401.23</v>
      </c>
      <c r="G22">
        <v>2.0203422508933953E-2</v>
      </c>
      <c r="H22" s="517">
        <v>209071.26</v>
      </c>
      <c r="I22" s="517">
        <v>1802105.11</v>
      </c>
      <c r="J22" s="517">
        <v>53355751.670000002</v>
      </c>
      <c r="K22">
        <v>1.9543340825773983E-2</v>
      </c>
    </row>
    <row r="23" spans="1:11">
      <c r="A23">
        <v>25</v>
      </c>
      <c r="B23" t="s">
        <v>835</v>
      </c>
      <c r="C23">
        <v>5671</v>
      </c>
      <c r="D23" s="517">
        <v>3692073.28</v>
      </c>
      <c r="E23" s="517">
        <v>58849930.060000002</v>
      </c>
      <c r="F23" s="517">
        <v>2730124401.23</v>
      </c>
      <c r="G23">
        <v>2.1555768679803168E-2</v>
      </c>
      <c r="H23" s="517">
        <v>286489.58</v>
      </c>
      <c r="I23" s="517">
        <v>2088594.69</v>
      </c>
      <c r="J23" s="517">
        <v>56761335.369999997</v>
      </c>
      <c r="K23">
        <v>2.0790750540315081E-2</v>
      </c>
    </row>
    <row r="24" spans="1:11">
      <c r="A24">
        <v>25</v>
      </c>
      <c r="B24" t="s">
        <v>836</v>
      </c>
      <c r="C24">
        <v>5972</v>
      </c>
      <c r="D24" s="517">
        <v>2760606.09</v>
      </c>
      <c r="E24" s="517">
        <v>61610536.149999999</v>
      </c>
      <c r="F24" s="517">
        <v>2730124401.23</v>
      </c>
      <c r="G24">
        <v>2.2566933624798446E-2</v>
      </c>
      <c r="H24" s="517">
        <v>281752.38</v>
      </c>
      <c r="I24" s="517">
        <v>2370347.0699999998</v>
      </c>
      <c r="J24" s="517">
        <v>59240189.079999998</v>
      </c>
      <c r="K24">
        <v>2.169871418800938E-2</v>
      </c>
    </row>
    <row r="25" spans="1:11">
      <c r="A25">
        <v>25</v>
      </c>
      <c r="B25" t="s">
        <v>837</v>
      </c>
      <c r="C25">
        <v>6280</v>
      </c>
      <c r="D25" s="517">
        <v>2904644.76</v>
      </c>
      <c r="E25" s="517">
        <v>64515180.909999996</v>
      </c>
      <c r="F25" s="517">
        <v>2730124401.23</v>
      </c>
      <c r="G25">
        <v>2.3630857583242015E-2</v>
      </c>
      <c r="H25" s="517">
        <v>185063.2</v>
      </c>
      <c r="I25" s="517">
        <v>2555410.27</v>
      </c>
      <c r="J25" s="517">
        <v>61959770.640000001</v>
      </c>
      <c r="K25">
        <v>2.2694852517374426E-2</v>
      </c>
    </row>
    <row r="26" spans="1:11">
      <c r="A26">
        <v>25</v>
      </c>
      <c r="B26" t="s">
        <v>838</v>
      </c>
      <c r="C26">
        <v>6589</v>
      </c>
      <c r="D26" s="517">
        <v>2962236.25</v>
      </c>
      <c r="E26" s="517">
        <v>67477417.159999996</v>
      </c>
      <c r="F26" s="517">
        <v>2730124401.23</v>
      </c>
      <c r="G26">
        <v>2.471587636431493E-2</v>
      </c>
      <c r="H26" s="517">
        <v>4711560.2699999996</v>
      </c>
      <c r="I26" s="517">
        <v>7266970.54</v>
      </c>
      <c r="J26" s="517">
        <v>60210446.619999997</v>
      </c>
      <c r="K26">
        <v>2.2054103685851627E-2</v>
      </c>
    </row>
    <row r="27" spans="1:11">
      <c r="A27">
        <v>25</v>
      </c>
      <c r="B27" t="s">
        <v>839</v>
      </c>
      <c r="C27">
        <v>6808</v>
      </c>
      <c r="D27" s="517">
        <v>2173212.2400000002</v>
      </c>
      <c r="E27" s="517">
        <v>69650629.400000006</v>
      </c>
      <c r="F27" s="517">
        <v>2730124401.23</v>
      </c>
      <c r="G27">
        <v>2.5511888531020925E-2</v>
      </c>
      <c r="H27" s="517">
        <v>177779.61</v>
      </c>
      <c r="I27" s="517">
        <v>7444750.1500000004</v>
      </c>
      <c r="J27" s="517">
        <v>62205879.25</v>
      </c>
      <c r="K27">
        <v>2.2784998083594452E-2</v>
      </c>
    </row>
    <row r="28" spans="1:11">
      <c r="A28">
        <v>25</v>
      </c>
      <c r="B28" t="s">
        <v>840</v>
      </c>
      <c r="C28">
        <v>7053</v>
      </c>
      <c r="D28" s="517">
        <v>2624041.8199999998</v>
      </c>
      <c r="E28" s="517">
        <v>72274671.219999999</v>
      </c>
      <c r="F28" s="517">
        <v>2730124401.23</v>
      </c>
      <c r="G28">
        <v>2.647303221327137E-2</v>
      </c>
      <c r="H28" s="517">
        <v>161908.4</v>
      </c>
      <c r="I28" s="517">
        <v>7606658.5499999998</v>
      </c>
      <c r="J28" s="517">
        <v>64668012.670000002</v>
      </c>
      <c r="K28">
        <v>2.3686837362013678E-2</v>
      </c>
    </row>
    <row r="29" spans="1:11">
      <c r="A29">
        <v>25</v>
      </c>
      <c r="B29" t="s">
        <v>841</v>
      </c>
      <c r="C29">
        <v>7325</v>
      </c>
      <c r="D29" s="517">
        <v>2883031.8</v>
      </c>
      <c r="E29" s="517">
        <v>75157703.019999996</v>
      </c>
      <c r="F29" s="517">
        <v>2730124401.23</v>
      </c>
      <c r="G29">
        <v>2.7529039697289717E-2</v>
      </c>
      <c r="H29" s="517">
        <v>196623.44</v>
      </c>
      <c r="I29" s="517">
        <v>7803281.9900000002</v>
      </c>
      <c r="J29" s="517">
        <v>67354421.030000001</v>
      </c>
      <c r="K29">
        <v>2.4670824889757723E-2</v>
      </c>
    </row>
    <row r="30" spans="1:11">
      <c r="A30">
        <v>25</v>
      </c>
      <c r="B30" t="s">
        <v>842</v>
      </c>
      <c r="C30">
        <v>7620</v>
      </c>
      <c r="D30" s="517">
        <v>3265311.65</v>
      </c>
      <c r="E30" s="517">
        <v>78423014.670000002</v>
      </c>
      <c r="F30" s="517">
        <v>2730124401.23</v>
      </c>
      <c r="G30">
        <v>2.8725070049799989E-2</v>
      </c>
      <c r="H30" s="517">
        <v>249299.79</v>
      </c>
      <c r="I30" s="517">
        <v>8052581.7800000003</v>
      </c>
      <c r="J30" s="517">
        <v>70370432.890000001</v>
      </c>
      <c r="K30">
        <v>2.5775540798908682E-2</v>
      </c>
    </row>
    <row r="31" spans="1:11">
      <c r="A31">
        <v>25</v>
      </c>
      <c r="B31" t="s">
        <v>843</v>
      </c>
      <c r="C31">
        <v>7829</v>
      </c>
      <c r="D31" s="517">
        <v>1493905.64</v>
      </c>
      <c r="E31" s="517">
        <v>79916920.310000002</v>
      </c>
      <c r="F31" s="517">
        <v>2730124401.23</v>
      </c>
      <c r="G31">
        <v>2.9272263298329965E-2</v>
      </c>
      <c r="H31" s="517">
        <v>250132.45</v>
      </c>
      <c r="I31" s="517">
        <v>8302714.2300000004</v>
      </c>
      <c r="J31" s="517">
        <v>71614206.079999998</v>
      </c>
      <c r="K31">
        <v>2.6231114614314176E-2</v>
      </c>
    </row>
    <row r="32" spans="1:11">
      <c r="A32">
        <v>25</v>
      </c>
      <c r="B32" t="s">
        <v>844</v>
      </c>
      <c r="C32">
        <v>8081</v>
      </c>
      <c r="D32" s="517">
        <v>2453715.83</v>
      </c>
      <c r="E32" s="517">
        <v>82370636.140000001</v>
      </c>
      <c r="F32" s="517">
        <v>2730124401.23</v>
      </c>
      <c r="G32">
        <v>3.0171019350945929E-2</v>
      </c>
      <c r="H32" s="517">
        <v>263009.46999999997</v>
      </c>
      <c r="I32" s="517">
        <v>8565723.6999999993</v>
      </c>
      <c r="J32" s="517">
        <v>73804912.439999998</v>
      </c>
      <c r="K32">
        <v>2.7033534591591777E-2</v>
      </c>
    </row>
    <row r="33" spans="1:11">
      <c r="A33">
        <v>25</v>
      </c>
      <c r="B33" t="s">
        <v>845</v>
      </c>
      <c r="C33">
        <v>8325</v>
      </c>
      <c r="D33" s="517">
        <v>2206457.69</v>
      </c>
      <c r="E33" s="517">
        <v>84577093.829999998</v>
      </c>
      <c r="F33" s="517">
        <v>2730124401.23</v>
      </c>
      <c r="G33">
        <v>3.0979208783268472E-2</v>
      </c>
      <c r="H33" s="517">
        <v>276668.58</v>
      </c>
      <c r="I33" s="517">
        <v>8842392.2799999993</v>
      </c>
      <c r="J33" s="517">
        <v>75734701.549999997</v>
      </c>
      <c r="K33">
        <v>2.7740384839562374E-2</v>
      </c>
    </row>
    <row r="34" spans="1:11">
      <c r="A34">
        <v>25</v>
      </c>
      <c r="B34" t="s">
        <v>846</v>
      </c>
      <c r="C34">
        <v>8542</v>
      </c>
      <c r="D34" s="517">
        <v>2083281.27</v>
      </c>
      <c r="E34" s="517">
        <v>86660375.099999994</v>
      </c>
      <c r="F34" s="517">
        <v>2730124401.23</v>
      </c>
      <c r="G34">
        <v>3.174228070374998E-2</v>
      </c>
      <c r="H34" s="517">
        <v>261274.42</v>
      </c>
      <c r="I34" s="517">
        <v>9103666.6999999993</v>
      </c>
      <c r="J34" s="517">
        <v>77556708.400000006</v>
      </c>
      <c r="K34">
        <v>2.8407756205196529E-2</v>
      </c>
    </row>
    <row r="35" spans="1:11">
      <c r="A35">
        <v>25</v>
      </c>
      <c r="B35" t="s">
        <v>847</v>
      </c>
      <c r="C35">
        <v>8746</v>
      </c>
      <c r="D35" s="517">
        <v>1867381.73</v>
      </c>
      <c r="E35" s="517">
        <v>88527756.829999998</v>
      </c>
      <c r="F35" s="517">
        <v>2730124401.23</v>
      </c>
      <c r="G35">
        <v>3.2426272147201674E-2</v>
      </c>
      <c r="H35" s="517">
        <v>315106.34999999998</v>
      </c>
      <c r="I35" s="517">
        <v>9418773.0500000007</v>
      </c>
      <c r="J35" s="517">
        <v>79108983.780000001</v>
      </c>
      <c r="K35">
        <v>2.8976329336626239E-2</v>
      </c>
    </row>
    <row r="36" spans="1:11">
      <c r="A36">
        <v>25</v>
      </c>
      <c r="B36" t="s">
        <v>848</v>
      </c>
      <c r="C36">
        <v>8943</v>
      </c>
      <c r="D36" s="517">
        <v>2075017.77</v>
      </c>
      <c r="E36" s="517">
        <v>90602774.599999994</v>
      </c>
      <c r="F36" s="517">
        <v>2730124401.23</v>
      </c>
      <c r="G36">
        <v>3.3186317282531456E-2</v>
      </c>
      <c r="H36" s="517">
        <v>204987.12</v>
      </c>
      <c r="I36" s="517">
        <v>9623760.1699999999</v>
      </c>
      <c r="J36" s="517">
        <v>80979014.430000007</v>
      </c>
      <c r="K36">
        <v>2.9661291036231389E-2</v>
      </c>
    </row>
    <row r="37" spans="1:11">
      <c r="A37">
        <v>25</v>
      </c>
      <c r="B37" t="s">
        <v>849</v>
      </c>
      <c r="C37">
        <v>9135</v>
      </c>
      <c r="D37" s="517">
        <v>1876834.53</v>
      </c>
      <c r="E37" s="517">
        <v>92479609.129999995</v>
      </c>
      <c r="F37" s="517">
        <v>2730124401.23</v>
      </c>
      <c r="G37">
        <v>3.3873771132310035E-2</v>
      </c>
      <c r="H37" s="517">
        <v>1560772.79</v>
      </c>
      <c r="I37" s="517">
        <v>11184532.960000001</v>
      </c>
      <c r="J37" s="517">
        <v>81295076.170000002</v>
      </c>
      <c r="K37">
        <v>2.9777059292014026E-2</v>
      </c>
    </row>
    <row r="38" spans="1:11">
      <c r="A38">
        <v>25</v>
      </c>
      <c r="B38" t="s">
        <v>850</v>
      </c>
      <c r="C38">
        <v>9311</v>
      </c>
      <c r="D38" s="517">
        <v>1507632.45</v>
      </c>
      <c r="E38" s="517">
        <v>93987241.579999998</v>
      </c>
      <c r="F38" s="517">
        <v>2730124401.23</v>
      </c>
      <c r="G38">
        <v>3.4425992287258421E-2</v>
      </c>
      <c r="H38" s="517">
        <v>317518.5</v>
      </c>
      <c r="I38" s="517">
        <v>11502051.460000001</v>
      </c>
      <c r="J38" s="517">
        <v>82485190.120000005</v>
      </c>
      <c r="K38">
        <v>3.021297860377279E-2</v>
      </c>
    </row>
    <row r="39" spans="1:11">
      <c r="A39">
        <v>25</v>
      </c>
      <c r="B39" t="s">
        <v>851</v>
      </c>
      <c r="C39">
        <v>9501</v>
      </c>
      <c r="D39" s="517">
        <v>1849626.77</v>
      </c>
      <c r="E39" s="517">
        <v>95836868.349999994</v>
      </c>
      <c r="F39" s="517">
        <v>2730124401.23</v>
      </c>
      <c r="G39">
        <v>3.5103480378704616E-2</v>
      </c>
      <c r="H39" s="517">
        <v>277721.07</v>
      </c>
      <c r="I39" s="517">
        <v>11779772.529999999</v>
      </c>
      <c r="J39" s="517">
        <v>84057095.819999993</v>
      </c>
      <c r="K39">
        <v>3.078874200096151E-2</v>
      </c>
    </row>
    <row r="40" spans="1:11">
      <c r="A40">
        <v>25</v>
      </c>
      <c r="B40" t="s">
        <v>852</v>
      </c>
      <c r="C40">
        <v>9695</v>
      </c>
      <c r="D40" s="517">
        <v>2002314.76</v>
      </c>
      <c r="E40" s="517">
        <v>97839183.109999999</v>
      </c>
      <c r="F40" s="517">
        <v>2730124401.23</v>
      </c>
      <c r="G40">
        <v>3.5836895588318471E-2</v>
      </c>
      <c r="H40" s="517">
        <v>314968.46999999997</v>
      </c>
      <c r="I40" s="517">
        <v>12094741</v>
      </c>
      <c r="J40" s="517">
        <v>85744442.109999999</v>
      </c>
      <c r="K40">
        <v>3.1406789401746543E-2</v>
      </c>
    </row>
    <row r="41" spans="1:11">
      <c r="A41">
        <v>25</v>
      </c>
      <c r="B41" t="s">
        <v>853</v>
      </c>
      <c r="C41">
        <v>9848</v>
      </c>
      <c r="D41" s="517">
        <v>1620692.83</v>
      </c>
      <c r="E41" s="517">
        <v>99459875.939999998</v>
      </c>
      <c r="F41" s="517">
        <v>2730124401.23</v>
      </c>
      <c r="G41">
        <v>3.6430528914796131E-2</v>
      </c>
      <c r="H41" s="517">
        <v>277300.58</v>
      </c>
      <c r="I41" s="517">
        <v>12372041.58</v>
      </c>
      <c r="J41" s="517">
        <v>87087834.359999999</v>
      </c>
      <c r="K41">
        <v>3.1898852052589403E-2</v>
      </c>
    </row>
    <row r="42" spans="1:11">
      <c r="A42">
        <v>25</v>
      </c>
      <c r="B42" t="s">
        <v>854</v>
      </c>
      <c r="C42">
        <v>9994</v>
      </c>
      <c r="D42" s="517">
        <v>1281616.3400000001</v>
      </c>
      <c r="E42" s="517">
        <v>100741492.28</v>
      </c>
      <c r="F42" s="517">
        <v>2730124401.23</v>
      </c>
      <c r="G42">
        <v>3.6899964058272602E-2</v>
      </c>
      <c r="H42" s="517">
        <v>278569.33</v>
      </c>
      <c r="I42" s="517">
        <v>12650610.91</v>
      </c>
      <c r="J42" s="517">
        <v>88090881.370000005</v>
      </c>
      <c r="K42">
        <v>3.2266251798017891E-2</v>
      </c>
    </row>
    <row r="43" spans="1:11">
      <c r="A43">
        <v>25</v>
      </c>
      <c r="B43" t="s">
        <v>855</v>
      </c>
      <c r="C43">
        <v>10140</v>
      </c>
      <c r="D43" s="517">
        <v>1250891.31</v>
      </c>
      <c r="E43" s="517">
        <v>101992383.59</v>
      </c>
      <c r="F43" s="517">
        <v>2730124401.23</v>
      </c>
      <c r="G43">
        <v>3.7358145124833687E-2</v>
      </c>
      <c r="H43" s="517">
        <v>326599.52</v>
      </c>
      <c r="I43" s="517">
        <v>12977210.43</v>
      </c>
      <c r="J43" s="517">
        <v>89015173.159999996</v>
      </c>
      <c r="K43">
        <v>3.2604804792007315E-2</v>
      </c>
    </row>
    <row r="44" spans="1:11">
      <c r="A44">
        <v>25</v>
      </c>
      <c r="B44" t="s">
        <v>856</v>
      </c>
      <c r="C44">
        <v>10276</v>
      </c>
      <c r="D44" s="517">
        <v>1166417.58</v>
      </c>
      <c r="E44" s="517">
        <v>103158801.17</v>
      </c>
      <c r="F44" s="517">
        <v>2730124401.23</v>
      </c>
      <c r="G44">
        <v>3.7785384843095057E-2</v>
      </c>
      <c r="H44" s="517">
        <v>312342.63</v>
      </c>
      <c r="I44" s="517">
        <v>13289553.060000001</v>
      </c>
      <c r="J44" s="517">
        <v>89869248.109999999</v>
      </c>
      <c r="K44">
        <v>3.291763850376609E-2</v>
      </c>
    </row>
    <row r="45" spans="1:11">
      <c r="A45">
        <v>25</v>
      </c>
      <c r="B45" t="s">
        <v>857</v>
      </c>
      <c r="C45">
        <v>10441</v>
      </c>
      <c r="D45" s="517">
        <v>1702421.65</v>
      </c>
      <c r="E45" s="517">
        <v>104861222.81999999</v>
      </c>
      <c r="F45" s="517">
        <v>2730124401.23</v>
      </c>
      <c r="G45">
        <v>3.8408954102148972E-2</v>
      </c>
      <c r="H45" s="517">
        <v>281732.40000000002</v>
      </c>
      <c r="I45" s="517">
        <v>13571285.460000001</v>
      </c>
      <c r="J45" s="517">
        <v>91289937.359999999</v>
      </c>
      <c r="K45">
        <v>3.3438013783866863E-2</v>
      </c>
    </row>
    <row r="46" spans="1:11">
      <c r="A46">
        <v>25</v>
      </c>
      <c r="B46" t="s">
        <v>858</v>
      </c>
      <c r="C46">
        <v>10597</v>
      </c>
      <c r="D46" s="517">
        <v>1445215.19</v>
      </c>
      <c r="E46" s="517">
        <v>106306438.01000001</v>
      </c>
      <c r="F46" s="517">
        <v>2730124401.23</v>
      </c>
      <c r="G46">
        <v>3.893831283369574E-2</v>
      </c>
      <c r="H46" s="517">
        <v>332224.62</v>
      </c>
      <c r="I46" s="517">
        <v>13903510.08</v>
      </c>
      <c r="J46" s="517">
        <v>92402927.930000007</v>
      </c>
      <c r="K46">
        <v>3.3845684060539442E-2</v>
      </c>
    </row>
    <row r="47" spans="1:11">
      <c r="A47">
        <v>25</v>
      </c>
      <c r="B47" t="s">
        <v>859</v>
      </c>
      <c r="C47">
        <v>10756</v>
      </c>
      <c r="D47" s="517">
        <v>1454671.96</v>
      </c>
      <c r="E47" s="517">
        <v>107761109.97</v>
      </c>
      <c r="F47" s="517">
        <v>2730124401.23</v>
      </c>
      <c r="G47">
        <v>3.9471135425715585E-2</v>
      </c>
      <c r="H47" s="517">
        <v>372435.02</v>
      </c>
      <c r="I47" s="517">
        <v>14275945.1</v>
      </c>
      <c r="J47" s="517">
        <v>93485164.870000005</v>
      </c>
      <c r="K47">
        <v>3.4242089784583526E-2</v>
      </c>
    </row>
    <row r="48" spans="1:11">
      <c r="A48">
        <v>25</v>
      </c>
      <c r="B48" t="s">
        <v>860</v>
      </c>
      <c r="C48">
        <v>10887</v>
      </c>
      <c r="D48" s="517">
        <v>1011398.35</v>
      </c>
      <c r="E48" s="517">
        <v>108772508.31999999</v>
      </c>
      <c r="F48" s="517">
        <v>2730124401.23</v>
      </c>
      <c r="G48">
        <v>3.9841594130653843E-2</v>
      </c>
      <c r="H48" s="517">
        <v>340485.08</v>
      </c>
      <c r="I48" s="517">
        <v>14616430.18</v>
      </c>
      <c r="J48" s="517">
        <v>94156078.140000001</v>
      </c>
      <c r="K48">
        <v>3.4487834362998238E-2</v>
      </c>
    </row>
    <row r="49" spans="1:11">
      <c r="A49">
        <v>25</v>
      </c>
      <c r="B49" t="s">
        <v>861</v>
      </c>
      <c r="C49">
        <v>11030</v>
      </c>
      <c r="D49" s="517">
        <v>1119787.7</v>
      </c>
      <c r="E49" s="517">
        <v>109892296.02</v>
      </c>
      <c r="F49" s="517">
        <v>2730124401.23</v>
      </c>
      <c r="G49">
        <v>4.0251754085085037E-2</v>
      </c>
      <c r="H49" s="517">
        <v>334974.38</v>
      </c>
      <c r="I49" s="517">
        <v>14951404.560000001</v>
      </c>
      <c r="J49" s="517">
        <v>94940891.459999993</v>
      </c>
      <c r="K49">
        <v>3.4775298670355968E-2</v>
      </c>
    </row>
    <row r="50" spans="1:11">
      <c r="A50">
        <v>25</v>
      </c>
      <c r="B50" t="s">
        <v>862</v>
      </c>
      <c r="C50">
        <v>11171</v>
      </c>
      <c r="D50" s="517">
        <v>1364789.39</v>
      </c>
      <c r="E50" s="517">
        <v>111257085.41</v>
      </c>
      <c r="F50" s="517">
        <v>2730124401.23</v>
      </c>
      <c r="G50">
        <v>4.0751654159010289E-2</v>
      </c>
      <c r="H50" s="517">
        <v>2663051.4312</v>
      </c>
      <c r="I50" s="517">
        <v>17614455.9912</v>
      </c>
      <c r="J50" s="517">
        <v>93642629.418799996</v>
      </c>
      <c r="K50">
        <v>3.4299766478272327E-2</v>
      </c>
    </row>
    <row r="51" spans="1:11">
      <c r="A51">
        <v>25</v>
      </c>
      <c r="B51" t="s">
        <v>863</v>
      </c>
      <c r="C51">
        <v>11287</v>
      </c>
      <c r="D51" s="517">
        <v>944075.13</v>
      </c>
      <c r="E51" s="517">
        <v>112201160.54000001</v>
      </c>
      <c r="F51" s="517">
        <v>2730124401.23</v>
      </c>
      <c r="G51">
        <v>4.1097453467486729E-2</v>
      </c>
      <c r="H51" s="517">
        <v>-8077.94</v>
      </c>
      <c r="I51" s="517">
        <v>17606378.051199999</v>
      </c>
      <c r="J51" s="517">
        <v>94594782.488800004</v>
      </c>
      <c r="K51">
        <v>3.4648524604301685E-2</v>
      </c>
    </row>
    <row r="52" spans="1:11">
      <c r="A52">
        <v>25</v>
      </c>
      <c r="B52" t="s">
        <v>864</v>
      </c>
      <c r="C52">
        <v>11414</v>
      </c>
      <c r="D52" s="517">
        <v>1108098.8700000001</v>
      </c>
      <c r="E52" s="517">
        <v>113309259.41</v>
      </c>
      <c r="F52" s="517">
        <v>2730124401.23</v>
      </c>
      <c r="G52">
        <v>4.1503331994304324E-2</v>
      </c>
      <c r="H52" s="517">
        <v>236397.08</v>
      </c>
      <c r="I52" s="517">
        <v>17842775.131200001</v>
      </c>
      <c r="J52" s="517">
        <v>95466484.278799996</v>
      </c>
      <c r="K52">
        <v>3.496781473980147E-2</v>
      </c>
    </row>
    <row r="53" spans="1:11">
      <c r="A53">
        <v>25</v>
      </c>
      <c r="B53" t="s">
        <v>865</v>
      </c>
      <c r="C53">
        <v>11547</v>
      </c>
      <c r="D53" s="517">
        <v>1143276.32</v>
      </c>
      <c r="E53" s="517">
        <v>114452535.73</v>
      </c>
      <c r="F53" s="517">
        <v>2730124401.23</v>
      </c>
      <c r="G53">
        <v>4.1922095446799354E-2</v>
      </c>
      <c r="H53" s="517">
        <v>262503.78999999998</v>
      </c>
      <c r="I53" s="517">
        <v>18105278.9212</v>
      </c>
      <c r="J53" s="517">
        <v>96347256.808799997</v>
      </c>
      <c r="K53">
        <v>3.5290427339287118E-2</v>
      </c>
    </row>
    <row r="54" spans="1:11">
      <c r="A54">
        <v>25</v>
      </c>
      <c r="B54" t="s">
        <v>866</v>
      </c>
      <c r="C54">
        <v>11656</v>
      </c>
      <c r="D54" s="517">
        <v>799048.51</v>
      </c>
      <c r="E54" s="517">
        <v>115251584.23999999</v>
      </c>
      <c r="F54" s="517">
        <v>2730124401.23</v>
      </c>
      <c r="G54">
        <v>4.2214773871870392E-2</v>
      </c>
      <c r="H54" s="517">
        <v>263265.02</v>
      </c>
      <c r="I54" s="517">
        <v>18368543.941199999</v>
      </c>
      <c r="J54" s="517">
        <v>96883040.298800007</v>
      </c>
      <c r="K54">
        <v>3.5486676085226536E-2</v>
      </c>
    </row>
    <row r="55" spans="1:11">
      <c r="A55">
        <v>25</v>
      </c>
      <c r="B55" t="s">
        <v>867</v>
      </c>
      <c r="C55">
        <v>11765</v>
      </c>
      <c r="D55" s="517">
        <v>903321.41</v>
      </c>
      <c r="E55" s="517">
        <v>116154905.65000001</v>
      </c>
      <c r="F55" s="517">
        <v>2730124401.23</v>
      </c>
      <c r="G55">
        <v>4.254564575799874E-2</v>
      </c>
      <c r="H55" s="517">
        <v>268765.7</v>
      </c>
      <c r="I55" s="517">
        <v>18637309.641199999</v>
      </c>
      <c r="J55" s="517">
        <v>97517596.0088</v>
      </c>
      <c r="K55">
        <v>3.5719103482935638E-2</v>
      </c>
    </row>
    <row r="56" spans="1:11">
      <c r="A56">
        <v>25</v>
      </c>
      <c r="B56" t="s">
        <v>868</v>
      </c>
      <c r="C56">
        <v>11872</v>
      </c>
      <c r="D56" s="517">
        <v>877657.75</v>
      </c>
      <c r="E56" s="517">
        <v>117032563.40000001</v>
      </c>
      <c r="F56" s="517">
        <v>2730124401.23</v>
      </c>
      <c r="G56">
        <v>4.2867117464417903E-2</v>
      </c>
      <c r="H56" s="517">
        <v>282796.34999999998</v>
      </c>
      <c r="I56" s="517">
        <v>18920105.9912</v>
      </c>
      <c r="J56" s="517">
        <v>98112457.408800006</v>
      </c>
      <c r="K56">
        <v>3.59369915028852E-2</v>
      </c>
    </row>
    <row r="57" spans="1:11">
      <c r="A57">
        <v>25</v>
      </c>
      <c r="B57" t="s">
        <v>869</v>
      </c>
    </row>
    <row r="58" spans="1:11">
      <c r="A58">
        <v>25</v>
      </c>
      <c r="B58" t="s">
        <v>870</v>
      </c>
    </row>
    <row r="59" spans="1:11">
      <c r="A59">
        <v>25</v>
      </c>
      <c r="B59" t="s">
        <v>871</v>
      </c>
    </row>
    <row r="60" spans="1:11">
      <c r="A60">
        <v>25</v>
      </c>
      <c r="B60" t="s">
        <v>872</v>
      </c>
    </row>
    <row r="61" spans="1:11">
      <c r="A61">
        <v>25</v>
      </c>
      <c r="B61" t="s">
        <v>873</v>
      </c>
    </row>
    <row r="62" spans="1:11">
      <c r="A62">
        <v>25</v>
      </c>
      <c r="B62" t="s">
        <v>874</v>
      </c>
    </row>
    <row r="63" spans="1:11">
      <c r="A63">
        <v>25</v>
      </c>
      <c r="B63" t="s">
        <v>875</v>
      </c>
    </row>
    <row r="64" spans="1:11">
      <c r="A64">
        <v>25</v>
      </c>
      <c r="B64" t="s">
        <v>876</v>
      </c>
    </row>
    <row r="65" spans="1:2">
      <c r="A65">
        <v>25</v>
      </c>
      <c r="B65" t="s">
        <v>877</v>
      </c>
    </row>
    <row r="66" spans="1:2">
      <c r="A66">
        <v>25</v>
      </c>
      <c r="B66" t="s">
        <v>878</v>
      </c>
    </row>
    <row r="67" spans="1:2">
      <c r="A67">
        <v>25</v>
      </c>
      <c r="B67" t="s">
        <v>879</v>
      </c>
    </row>
    <row r="68" spans="1:2">
      <c r="A68">
        <v>25</v>
      </c>
      <c r="B68" t="s">
        <v>880</v>
      </c>
    </row>
    <row r="69" spans="1:2">
      <c r="A69">
        <v>25</v>
      </c>
      <c r="B69" t="s">
        <v>881</v>
      </c>
    </row>
    <row r="70" spans="1:2">
      <c r="A70">
        <v>25</v>
      </c>
      <c r="B70" t="s">
        <v>882</v>
      </c>
    </row>
    <row r="71" spans="1:2">
      <c r="A71">
        <v>25</v>
      </c>
      <c r="B71" t="s">
        <v>883</v>
      </c>
    </row>
    <row r="72" spans="1:2">
      <c r="A72">
        <v>25</v>
      </c>
      <c r="B72" t="s">
        <v>884</v>
      </c>
    </row>
    <row r="73" spans="1:2">
      <c r="A73">
        <v>25</v>
      </c>
      <c r="B73" t="s">
        <v>885</v>
      </c>
    </row>
    <row r="74" spans="1:2">
      <c r="A74">
        <v>25</v>
      </c>
      <c r="B74" t="s">
        <v>886</v>
      </c>
    </row>
    <row r="75" spans="1:2">
      <c r="A75">
        <v>25</v>
      </c>
      <c r="B75" t="s">
        <v>887</v>
      </c>
    </row>
    <row r="76" spans="1:2">
      <c r="A76">
        <v>25</v>
      </c>
      <c r="B76" t="s">
        <v>888</v>
      </c>
    </row>
    <row r="77" spans="1:2">
      <c r="A77">
        <v>25</v>
      </c>
      <c r="B77" t="s">
        <v>889</v>
      </c>
    </row>
    <row r="78" spans="1:2">
      <c r="A78">
        <v>25</v>
      </c>
      <c r="B78" t="s">
        <v>890</v>
      </c>
    </row>
    <row r="79" spans="1:2">
      <c r="A79">
        <v>25</v>
      </c>
      <c r="B79" t="s">
        <v>891</v>
      </c>
    </row>
    <row r="80" spans="1:2">
      <c r="A80">
        <v>25</v>
      </c>
      <c r="B80" t="s">
        <v>892</v>
      </c>
    </row>
    <row r="81" spans="1:2">
      <c r="A81">
        <v>25</v>
      </c>
      <c r="B81" t="s">
        <v>893</v>
      </c>
    </row>
    <row r="82" spans="1:2">
      <c r="A82">
        <v>25</v>
      </c>
      <c r="B82" t="s">
        <v>958</v>
      </c>
    </row>
    <row r="83" spans="1:2">
      <c r="A83">
        <v>25</v>
      </c>
      <c r="B83" t="s">
        <v>958</v>
      </c>
    </row>
    <row r="84" spans="1:2">
      <c r="A84">
        <v>25</v>
      </c>
      <c r="B84" t="s">
        <v>958</v>
      </c>
    </row>
    <row r="85" spans="1:2">
      <c r="A85">
        <v>25</v>
      </c>
      <c r="B85" t="s">
        <v>958</v>
      </c>
    </row>
    <row r="86" spans="1:2">
      <c r="A86">
        <v>25</v>
      </c>
      <c r="B86" t="s">
        <v>958</v>
      </c>
    </row>
    <row r="87" spans="1:2">
      <c r="A87">
        <v>25</v>
      </c>
      <c r="B87" t="s">
        <v>958</v>
      </c>
    </row>
    <row r="88" spans="1:2">
      <c r="A88">
        <v>25</v>
      </c>
      <c r="B88" t="s">
        <v>958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56"/>
  <sheetViews>
    <sheetView workbookViewId="0"/>
  </sheetViews>
  <sheetFormatPr baseColWidth="10" defaultColWidth="8.7265625" defaultRowHeight="12.5"/>
  <cols>
    <col min="1" max="1" width="13" customWidth="1"/>
    <col min="2" max="2" width="41" customWidth="1"/>
    <col min="3" max="7" width="13" customWidth="1"/>
  </cols>
  <sheetData>
    <row r="1" spans="1:7">
      <c r="A1" t="s">
        <v>552</v>
      </c>
      <c r="B1" t="s">
        <v>549</v>
      </c>
      <c r="C1" t="s">
        <v>959</v>
      </c>
      <c r="D1" t="s">
        <v>960</v>
      </c>
      <c r="E1" t="s">
        <v>961</v>
      </c>
      <c r="F1" t="s">
        <v>962</v>
      </c>
      <c r="G1" t="s">
        <v>963</v>
      </c>
    </row>
    <row r="2" spans="1:7">
      <c r="A2">
        <v>25</v>
      </c>
      <c r="B2" t="s">
        <v>894</v>
      </c>
      <c r="C2">
        <v>1799999933.0899999</v>
      </c>
      <c r="D2">
        <v>28004372.020000003</v>
      </c>
      <c r="E2">
        <v>37328045.899999999</v>
      </c>
      <c r="F2">
        <v>65332417.920000002</v>
      </c>
      <c r="G2">
        <v>0.22234338848232582</v>
      </c>
    </row>
    <row r="3" spans="1:7">
      <c r="A3">
        <v>25</v>
      </c>
      <c r="B3" t="s">
        <v>895</v>
      </c>
      <c r="C3">
        <v>1799999978.5700002</v>
      </c>
      <c r="D3">
        <v>27656379.759999998</v>
      </c>
      <c r="E3">
        <v>32092572.149999999</v>
      </c>
      <c r="F3">
        <v>59748951.909999996</v>
      </c>
      <c r="G3">
        <v>0.19416860446843809</v>
      </c>
    </row>
    <row r="4" spans="1:7">
      <c r="A4">
        <v>25</v>
      </c>
      <c r="B4" t="s">
        <v>896</v>
      </c>
      <c r="C4">
        <v>1799999995.6100001</v>
      </c>
      <c r="D4">
        <v>30260180.499999985</v>
      </c>
      <c r="E4">
        <v>40849586.790000007</v>
      </c>
      <c r="F4">
        <v>71109767.289999992</v>
      </c>
      <c r="G4">
        <v>0.2407835061877559</v>
      </c>
    </row>
    <row r="5" spans="1:7">
      <c r="A5">
        <v>25</v>
      </c>
      <c r="B5" t="s">
        <v>897</v>
      </c>
      <c r="C5">
        <v>1799999991.5</v>
      </c>
      <c r="D5">
        <v>29666354.109999999</v>
      </c>
      <c r="E5">
        <v>42585774.689999998</v>
      </c>
      <c r="F5">
        <v>72252128.799999997</v>
      </c>
      <c r="G5">
        <v>0.24972653386196042</v>
      </c>
    </row>
    <row r="6" spans="1:7">
      <c r="A6">
        <v>25</v>
      </c>
      <c r="B6" t="s">
        <v>898</v>
      </c>
      <c r="C6">
        <v>1799999993.9699998</v>
      </c>
      <c r="D6">
        <v>29272948.699999996</v>
      </c>
      <c r="E6">
        <v>52031411.07</v>
      </c>
      <c r="F6">
        <v>81304359.769999996</v>
      </c>
      <c r="G6">
        <v>0.29671164382801685</v>
      </c>
    </row>
    <row r="7" spans="1:7">
      <c r="A7">
        <v>25</v>
      </c>
      <c r="B7" t="s">
        <v>899</v>
      </c>
      <c r="C7">
        <v>1799999998.4199996</v>
      </c>
      <c r="D7">
        <v>28945451.649999999</v>
      </c>
      <c r="E7">
        <v>45554564.240000002</v>
      </c>
      <c r="F7">
        <v>74500015.890000001</v>
      </c>
      <c r="G7">
        <v>0.26479520619498165</v>
      </c>
    </row>
    <row r="8" spans="1:7">
      <c r="A8">
        <v>25</v>
      </c>
      <c r="B8" t="s">
        <v>900</v>
      </c>
      <c r="C8">
        <v>1799999986.5399995</v>
      </c>
      <c r="D8">
        <v>29236040.560000002</v>
      </c>
      <c r="E8">
        <v>43340599.829999998</v>
      </c>
      <c r="F8">
        <v>72576640.390000001</v>
      </c>
      <c r="G8">
        <v>0.25358440259872528</v>
      </c>
    </row>
    <row r="9" spans="1:7">
      <c r="A9">
        <v>25</v>
      </c>
      <c r="B9" t="s">
        <v>901</v>
      </c>
      <c r="C9">
        <v>1799999989.6299996</v>
      </c>
      <c r="D9">
        <v>29279001.03999991</v>
      </c>
      <c r="E9">
        <v>50076352.280000083</v>
      </c>
      <c r="F9">
        <v>79355353.319999993</v>
      </c>
      <c r="G9">
        <v>0.28721403679433843</v>
      </c>
    </row>
    <row r="10" spans="1:7">
      <c r="A10">
        <v>25</v>
      </c>
      <c r="B10" t="s">
        <v>902</v>
      </c>
      <c r="C10">
        <v>1799999997.6199999</v>
      </c>
      <c r="D10">
        <v>29869284.359999947</v>
      </c>
      <c r="E10">
        <v>62441257.360000052</v>
      </c>
      <c r="F10">
        <v>92310541.719999999</v>
      </c>
      <c r="G10">
        <v>0.34535796239374195</v>
      </c>
    </row>
    <row r="11" spans="1:7">
      <c r="A11">
        <v>25</v>
      </c>
      <c r="B11" t="s">
        <v>903</v>
      </c>
      <c r="C11">
        <v>1799999984.6999998</v>
      </c>
      <c r="D11">
        <v>29621444.89000003</v>
      </c>
      <c r="E11">
        <v>51566098.319999978</v>
      </c>
      <c r="F11">
        <v>81187543.210000008</v>
      </c>
      <c r="G11">
        <v>0.29446175163235555</v>
      </c>
    </row>
    <row r="12" spans="1:7">
      <c r="A12">
        <v>25</v>
      </c>
      <c r="B12" t="s">
        <v>904</v>
      </c>
      <c r="C12">
        <v>1799999992.8399997</v>
      </c>
      <c r="D12">
        <v>30177669.470000006</v>
      </c>
      <c r="E12">
        <v>47987492.899999999</v>
      </c>
      <c r="F12">
        <v>78165162.370000005</v>
      </c>
      <c r="G12">
        <v>0.276936625098684</v>
      </c>
    </row>
    <row r="13" spans="1:7">
      <c r="A13">
        <v>25</v>
      </c>
      <c r="B13" t="s">
        <v>905</v>
      </c>
      <c r="C13">
        <v>1799999993.5799999</v>
      </c>
      <c r="D13">
        <v>30876744.159999937</v>
      </c>
      <c r="E13">
        <v>47465290.02000007</v>
      </c>
      <c r="F13">
        <v>78342034.180000007</v>
      </c>
      <c r="G13">
        <v>0.27434619569214269</v>
      </c>
    </row>
    <row r="14" spans="1:7">
      <c r="A14">
        <v>25</v>
      </c>
      <c r="B14" t="s">
        <v>906</v>
      </c>
      <c r="C14">
        <v>1799999958.8</v>
      </c>
      <c r="D14">
        <v>29556876.670000002</v>
      </c>
      <c r="E14">
        <v>45760187.189999998</v>
      </c>
      <c r="F14">
        <v>75317063.859999999</v>
      </c>
      <c r="G14">
        <v>0.26579999999999998</v>
      </c>
    </row>
    <row r="15" spans="1:7">
      <c r="A15">
        <v>25</v>
      </c>
      <c r="B15" t="s">
        <v>907</v>
      </c>
      <c r="C15">
        <v>1721647673.05</v>
      </c>
      <c r="D15">
        <v>28588769.789999947</v>
      </c>
      <c r="E15">
        <v>30693631.430000052</v>
      </c>
      <c r="F15">
        <v>59282401.219999999</v>
      </c>
      <c r="G15">
        <v>0.19415727431021979</v>
      </c>
    </row>
    <row r="16" spans="1:7">
      <c r="A16">
        <v>25</v>
      </c>
      <c r="B16" t="s">
        <v>908</v>
      </c>
      <c r="C16">
        <v>1658715590.6799998</v>
      </c>
      <c r="D16">
        <v>28499176.780000001</v>
      </c>
      <c r="E16">
        <v>47084893.549999997</v>
      </c>
      <c r="F16">
        <v>75584070.329999998</v>
      </c>
      <c r="G16">
        <v>0.29217931468353797</v>
      </c>
    </row>
    <row r="17" spans="1:7">
      <c r="A17">
        <v>25</v>
      </c>
      <c r="B17" t="s">
        <v>909</v>
      </c>
      <c r="C17">
        <v>1579516526.0799999</v>
      </c>
      <c r="D17">
        <v>27185727.459999889</v>
      </c>
      <c r="E17">
        <v>44025413.580000103</v>
      </c>
      <c r="F17">
        <v>71211141.039999992</v>
      </c>
      <c r="G17">
        <v>0.28767597111489629</v>
      </c>
    </row>
    <row r="18" spans="1:7">
      <c r="A18">
        <v>25</v>
      </c>
      <c r="B18" t="s">
        <v>910</v>
      </c>
      <c r="C18">
        <v>1504720267.3</v>
      </c>
      <c r="D18">
        <v>26381970.379999928</v>
      </c>
      <c r="E18">
        <v>42816372.780000068</v>
      </c>
      <c r="F18">
        <v>69198343.159999996</v>
      </c>
      <c r="G18">
        <v>0.29277658709498711</v>
      </c>
    </row>
    <row r="19" spans="1:7">
      <c r="A19">
        <v>25</v>
      </c>
      <c r="B19" t="s">
        <v>911</v>
      </c>
      <c r="C19">
        <v>1432703420.5699999</v>
      </c>
      <c r="D19">
        <v>26625784.189999931</v>
      </c>
      <c r="E19">
        <v>34486040.660000063</v>
      </c>
      <c r="F19">
        <v>61111824.849999994</v>
      </c>
      <c r="G19">
        <v>0.25351552427605717</v>
      </c>
    </row>
    <row r="20" spans="1:7">
      <c r="A20">
        <v>25</v>
      </c>
      <c r="B20" t="s">
        <v>912</v>
      </c>
      <c r="C20">
        <v>1366855787.27</v>
      </c>
      <c r="D20">
        <v>24783879.790000021</v>
      </c>
      <c r="E20">
        <v>37217290.409999982</v>
      </c>
      <c r="F20">
        <v>62001170.200000003</v>
      </c>
      <c r="G20">
        <v>0.28198979417096592</v>
      </c>
    </row>
    <row r="21" spans="1:7">
      <c r="A21">
        <v>25</v>
      </c>
      <c r="B21" t="s">
        <v>913</v>
      </c>
      <c r="C21">
        <v>1301382552.8299999</v>
      </c>
      <c r="D21">
        <v>23445035.290000025</v>
      </c>
      <c r="E21">
        <v>31526190.429999974</v>
      </c>
      <c r="F21">
        <v>54971225.719999999</v>
      </c>
      <c r="G21">
        <v>0.25493282367114412</v>
      </c>
    </row>
    <row r="22" spans="1:7">
      <c r="A22">
        <v>25</v>
      </c>
      <c r="B22" t="s">
        <v>914</v>
      </c>
      <c r="C22">
        <v>1243335118.53</v>
      </c>
      <c r="D22">
        <v>23488188.23000003</v>
      </c>
      <c r="E22">
        <v>27123684.869999964</v>
      </c>
      <c r="F22">
        <v>50611873.099999994</v>
      </c>
      <c r="G22">
        <v>0.23254914342101018</v>
      </c>
    </row>
    <row r="23" spans="1:7">
      <c r="A23">
        <v>25</v>
      </c>
      <c r="B23" t="s">
        <v>915</v>
      </c>
      <c r="C23">
        <v>1189492514.1999998</v>
      </c>
      <c r="D23">
        <v>22033853.800000031</v>
      </c>
      <c r="E23">
        <v>26062473.989999969</v>
      </c>
      <c r="F23">
        <v>48096327.789999999</v>
      </c>
      <c r="G23">
        <v>0.23344606018301084</v>
      </c>
    </row>
    <row r="24" spans="1:7">
      <c r="A24">
        <v>25</v>
      </c>
      <c r="B24" t="s">
        <v>916</v>
      </c>
      <c r="C24">
        <v>1137704113.1299999</v>
      </c>
      <c r="D24">
        <v>21376728.610000011</v>
      </c>
      <c r="E24">
        <v>22264065.199999992</v>
      </c>
      <c r="F24">
        <v>43640793.810000002</v>
      </c>
      <c r="G24">
        <v>0.21113469107206151</v>
      </c>
    </row>
    <row r="25" spans="1:7">
      <c r="A25">
        <v>25</v>
      </c>
      <c r="B25" t="s">
        <v>917</v>
      </c>
      <c r="C25">
        <v>1091302713.23</v>
      </c>
      <c r="D25">
        <v>20896411.550000001</v>
      </c>
      <c r="E25">
        <v>17461551.760000002</v>
      </c>
      <c r="F25">
        <v>38357963.310000002</v>
      </c>
      <c r="G25">
        <v>0.1759800175602646</v>
      </c>
    </row>
    <row r="26" spans="1:7">
      <c r="A26">
        <v>25</v>
      </c>
      <c r="B26" t="s">
        <v>918</v>
      </c>
      <c r="C26">
        <v>1050040105.16</v>
      </c>
      <c r="D26">
        <v>20553036.440000013</v>
      </c>
      <c r="E26">
        <v>14978129.25999999</v>
      </c>
      <c r="F26">
        <v>35531165.700000003</v>
      </c>
      <c r="G26">
        <v>0.15836146117015115</v>
      </c>
    </row>
    <row r="27" spans="1:7">
      <c r="A27">
        <v>25</v>
      </c>
      <c r="B27" t="s">
        <v>919</v>
      </c>
      <c r="C27">
        <v>1011546703.21</v>
      </c>
      <c r="D27">
        <v>19883570.130000003</v>
      </c>
      <c r="E27">
        <v>9981424.5499999952</v>
      </c>
      <c r="F27">
        <v>29864994.68</v>
      </c>
      <c r="G27">
        <v>0.11219035864259508</v>
      </c>
    </row>
    <row r="28" spans="1:7">
      <c r="A28">
        <v>25</v>
      </c>
      <c r="B28" t="s">
        <v>920</v>
      </c>
      <c r="C28">
        <v>979508496.29000008</v>
      </c>
      <c r="D28">
        <v>19747624.75</v>
      </c>
      <c r="E28">
        <v>16740256.789999997</v>
      </c>
      <c r="F28">
        <v>36487881.539999999</v>
      </c>
      <c r="G28">
        <v>0.18686515711438367</v>
      </c>
    </row>
    <row r="29" spans="1:7">
      <c r="A29">
        <v>25</v>
      </c>
      <c r="B29" t="s">
        <v>921</v>
      </c>
      <c r="C29">
        <v>940396572.93000007</v>
      </c>
      <c r="D29">
        <v>19164568.530000001</v>
      </c>
      <c r="E29">
        <v>14265507.469999997</v>
      </c>
      <c r="F29">
        <v>33430076</v>
      </c>
      <c r="G29">
        <v>0.16759060729436059</v>
      </c>
    </row>
    <row r="30" spans="1:7">
      <c r="A30">
        <v>25</v>
      </c>
      <c r="B30" t="s">
        <v>922</v>
      </c>
      <c r="C30">
        <v>904083465.13000011</v>
      </c>
      <c r="D30">
        <v>18959919.519999996</v>
      </c>
      <c r="E30">
        <v>14103398.550000004</v>
      </c>
      <c r="F30">
        <v>33063318.07</v>
      </c>
      <c r="G30">
        <v>0.17194146551605116</v>
      </c>
    </row>
    <row r="31" spans="1:7">
      <c r="A31">
        <v>25</v>
      </c>
      <c r="B31" t="s">
        <v>923</v>
      </c>
      <c r="C31">
        <v>867754835.41000021</v>
      </c>
      <c r="D31">
        <v>18442913.190000013</v>
      </c>
      <c r="E31">
        <v>10244883.259999992</v>
      </c>
      <c r="F31">
        <v>28687796.450000003</v>
      </c>
      <c r="G31">
        <v>0.13282745244842409</v>
      </c>
    </row>
    <row r="32" spans="1:7">
      <c r="A32">
        <v>25</v>
      </c>
      <c r="B32" t="s">
        <v>924</v>
      </c>
      <c r="C32">
        <v>837573133.32000017</v>
      </c>
      <c r="D32">
        <v>17521972.500000007</v>
      </c>
      <c r="E32">
        <v>12252968.869999992</v>
      </c>
      <c r="F32">
        <v>29774941.369999997</v>
      </c>
      <c r="G32">
        <v>0.16209146310244138</v>
      </c>
    </row>
    <row r="33" spans="1:7">
      <c r="A33">
        <v>25</v>
      </c>
      <c r="B33" t="s">
        <v>925</v>
      </c>
      <c r="C33">
        <v>805344476.12000012</v>
      </c>
      <c r="D33">
        <v>17333857.710000008</v>
      </c>
      <c r="E33">
        <v>11466605.819999993</v>
      </c>
      <c r="F33">
        <v>28800463.530000001</v>
      </c>
      <c r="G33">
        <v>0.1580929597284374</v>
      </c>
    </row>
    <row r="34" spans="1:7">
      <c r="A34">
        <v>25</v>
      </c>
      <c r="B34" t="s">
        <v>926</v>
      </c>
      <c r="C34">
        <v>774337554.89999998</v>
      </c>
      <c r="D34">
        <v>16768072.819999991</v>
      </c>
      <c r="E34">
        <v>11233018.290000008</v>
      </c>
      <c r="F34">
        <v>28001091.109999999</v>
      </c>
      <c r="G34">
        <v>0.16084043050028773</v>
      </c>
    </row>
    <row r="35" spans="1:7">
      <c r="A35">
        <v>25</v>
      </c>
      <c r="B35" t="s">
        <v>927</v>
      </c>
      <c r="C35">
        <v>744253182.51999998</v>
      </c>
      <c r="D35">
        <v>16558540.009999992</v>
      </c>
      <c r="E35">
        <v>11174524.560000008</v>
      </c>
      <c r="F35">
        <v>27733064.57</v>
      </c>
      <c r="G35">
        <v>0.16601448362724636</v>
      </c>
    </row>
    <row r="36" spans="1:7">
      <c r="A36">
        <v>25</v>
      </c>
      <c r="B36" t="s">
        <v>928</v>
      </c>
      <c r="C36">
        <v>714652736.21999991</v>
      </c>
      <c r="D36">
        <v>16488206.139999997</v>
      </c>
      <c r="E36">
        <v>6880698.320000004</v>
      </c>
      <c r="F36">
        <v>23368904.460000001</v>
      </c>
      <c r="G36">
        <v>0.1096103966598081</v>
      </c>
    </row>
    <row r="37" spans="1:7">
      <c r="A37">
        <v>25</v>
      </c>
      <c r="B37" t="s">
        <v>929</v>
      </c>
      <c r="C37">
        <v>689208813.98999989</v>
      </c>
      <c r="D37">
        <v>15952962.620000008</v>
      </c>
      <c r="E37">
        <v>7342513.8199999919</v>
      </c>
      <c r="F37">
        <v>23295476.440000001</v>
      </c>
      <c r="G37">
        <v>0.12061136486941704</v>
      </c>
    </row>
    <row r="38" spans="1:7">
      <c r="A38">
        <v>25</v>
      </c>
      <c r="B38" t="s">
        <v>930</v>
      </c>
      <c r="C38">
        <v>664036503.01999986</v>
      </c>
      <c r="D38">
        <v>15429784.109999999</v>
      </c>
      <c r="E38">
        <v>6956068.9400000004</v>
      </c>
      <c r="F38">
        <v>22385853.050000001</v>
      </c>
      <c r="G38">
        <v>0.11870972273954117</v>
      </c>
    </row>
    <row r="39" spans="1:7">
      <c r="A39">
        <v>25</v>
      </c>
      <c r="B39" t="s">
        <v>931</v>
      </c>
      <c r="C39">
        <v>640143017.51999986</v>
      </c>
      <c r="D39">
        <v>15255509.430000002</v>
      </c>
      <c r="E39">
        <v>4508080.209999999</v>
      </c>
      <c r="F39">
        <v>19763589.640000001</v>
      </c>
      <c r="G39">
        <v>8.1310047092067239E-2</v>
      </c>
    </row>
    <row r="40" spans="1:7">
      <c r="A40">
        <v>25</v>
      </c>
      <c r="B40" t="s">
        <v>932</v>
      </c>
      <c r="C40">
        <v>618529801.1099999</v>
      </c>
      <c r="D40">
        <v>15218681.960000001</v>
      </c>
      <c r="E40">
        <v>8160241.1900000004</v>
      </c>
      <c r="F40">
        <v>23378923.150000002</v>
      </c>
      <c r="G40">
        <v>0.14731848077192744</v>
      </c>
    </row>
    <row r="41" spans="1:7">
      <c r="A41">
        <v>25</v>
      </c>
      <c r="B41" t="s">
        <v>933</v>
      </c>
      <c r="C41">
        <v>593148563.19999993</v>
      </c>
      <c r="D41">
        <v>14451149.369999997</v>
      </c>
      <c r="E41">
        <v>6947331.4200000009</v>
      </c>
      <c r="F41">
        <v>21398480.789999999</v>
      </c>
      <c r="G41">
        <v>0.13184168859359191</v>
      </c>
    </row>
    <row r="42" spans="1:7">
      <c r="A42">
        <v>25</v>
      </c>
      <c r="B42" t="s">
        <v>934</v>
      </c>
      <c r="C42">
        <v>570129389.5799998</v>
      </c>
      <c r="D42">
        <v>14338922.149999997</v>
      </c>
      <c r="E42">
        <v>6971384.2400000039</v>
      </c>
      <c r="F42">
        <v>21310306.390000001</v>
      </c>
      <c r="G42">
        <v>0.13725590359841389</v>
      </c>
    </row>
    <row r="43" spans="1:7">
      <c r="A43">
        <v>25</v>
      </c>
      <c r="B43" t="s">
        <v>935</v>
      </c>
      <c r="C43">
        <v>547537466.84999979</v>
      </c>
      <c r="D43">
        <v>13875942.959999993</v>
      </c>
      <c r="E43">
        <v>6931744.9200000046</v>
      </c>
      <c r="F43">
        <v>20807687.879999999</v>
      </c>
      <c r="G43">
        <v>0.14177423532382438</v>
      </c>
    </row>
    <row r="44" spans="1:7">
      <c r="A44">
        <v>25</v>
      </c>
      <c r="B44" t="s">
        <v>936</v>
      </c>
      <c r="C44">
        <v>525478887.65999985</v>
      </c>
      <c r="D44">
        <v>13394198.890000004</v>
      </c>
      <c r="E44">
        <v>6448230.299999997</v>
      </c>
      <c r="F44">
        <v>19842429.190000001</v>
      </c>
      <c r="G44">
        <v>0.1377109569398377</v>
      </c>
    </row>
    <row r="45" spans="1:7">
      <c r="A45">
        <v>25</v>
      </c>
      <c r="B45" t="s">
        <v>937</v>
      </c>
      <c r="C45">
        <v>504470040.88999987</v>
      </c>
      <c r="D45">
        <v>13279658.990000008</v>
      </c>
      <c r="E45">
        <v>5690703.8499999922</v>
      </c>
      <c r="F45">
        <v>18970362.84</v>
      </c>
      <c r="G45">
        <v>0.12727606593913154</v>
      </c>
    </row>
    <row r="46" spans="1:7">
      <c r="A46">
        <v>25</v>
      </c>
      <c r="B46" t="s">
        <v>938</v>
      </c>
      <c r="C46">
        <v>483797256.39999992</v>
      </c>
      <c r="D46">
        <v>13035463.549999997</v>
      </c>
      <c r="E46">
        <v>6586923.1200000057</v>
      </c>
      <c r="F46">
        <v>19622386.670000002</v>
      </c>
      <c r="G46">
        <v>0.1516847871625675</v>
      </c>
    </row>
    <row r="47" spans="1:7">
      <c r="A47">
        <v>25</v>
      </c>
      <c r="B47" t="s">
        <v>939</v>
      </c>
      <c r="C47">
        <v>462729654.5399999</v>
      </c>
      <c r="D47">
        <v>12551419.970000004</v>
      </c>
      <c r="E47">
        <v>5527303.2999999952</v>
      </c>
      <c r="F47">
        <v>18078723.27</v>
      </c>
      <c r="G47">
        <v>0.13428793451762377</v>
      </c>
    </row>
    <row r="48" spans="1:7">
      <c r="A48">
        <v>25</v>
      </c>
      <c r="B48" t="s">
        <v>940</v>
      </c>
      <c r="C48">
        <v>443196259.30999994</v>
      </c>
      <c r="D48">
        <v>12176477.020000003</v>
      </c>
      <c r="E48">
        <v>5092917.0399999982</v>
      </c>
      <c r="F48">
        <v>17269394.060000002</v>
      </c>
      <c r="G48">
        <v>0.12950603876520195</v>
      </c>
    </row>
    <row r="49" spans="1:7">
      <c r="A49">
        <v>25</v>
      </c>
      <c r="B49" t="s">
        <v>941</v>
      </c>
      <c r="C49">
        <v>424915466.89999992</v>
      </c>
      <c r="D49">
        <v>12221607.010000002</v>
      </c>
      <c r="E49">
        <v>4601998.4999999963</v>
      </c>
      <c r="F49">
        <v>16823605.509999998</v>
      </c>
      <c r="G49">
        <v>0.12249580060519583</v>
      </c>
    </row>
    <row r="50" spans="1:7">
      <c r="A50">
        <v>25</v>
      </c>
      <c r="B50" t="s">
        <v>942</v>
      </c>
      <c r="C50">
        <v>406972073.68999988</v>
      </c>
      <c r="D50">
        <v>11638694.550000001</v>
      </c>
      <c r="E50">
        <v>4210609.2499999981</v>
      </c>
      <c r="F50">
        <v>15849303.799999999</v>
      </c>
      <c r="G50">
        <v>0.11732743859473116</v>
      </c>
    </row>
    <row r="51" spans="1:7">
      <c r="A51">
        <v>25</v>
      </c>
      <c r="B51" t="s">
        <v>943</v>
      </c>
      <c r="C51">
        <v>389757980.49999988</v>
      </c>
      <c r="D51">
        <v>11258049.42</v>
      </c>
      <c r="E51">
        <v>2706553.8399999994</v>
      </c>
      <c r="F51">
        <v>13964603.26</v>
      </c>
      <c r="G51">
        <v>8.0220184499211644E-2</v>
      </c>
    </row>
    <row r="52" spans="1:7">
      <c r="A52">
        <v>25</v>
      </c>
      <c r="B52" t="s">
        <v>1544</v>
      </c>
      <c r="C52">
        <v>374849302.1099999</v>
      </c>
      <c r="D52">
        <v>11343997.870000001</v>
      </c>
      <c r="E52">
        <v>4935729.04</v>
      </c>
      <c r="F52">
        <v>16279726.91</v>
      </c>
      <c r="G52">
        <v>0.14705166788285373</v>
      </c>
    </row>
    <row r="53" spans="1:7">
      <c r="A53">
        <v>25</v>
      </c>
      <c r="B53" t="s">
        <v>1545</v>
      </c>
      <c r="C53">
        <v>357461476.32999992</v>
      </c>
      <c r="D53">
        <v>10837869.98</v>
      </c>
      <c r="E53">
        <v>4359003.6799999988</v>
      </c>
      <c r="F53">
        <v>15196873.66</v>
      </c>
      <c r="G53">
        <v>0.13690585763501195</v>
      </c>
    </row>
    <row r="54" spans="1:7">
      <c r="A54">
        <v>25</v>
      </c>
      <c r="B54" t="s">
        <v>1546</v>
      </c>
      <c r="C54">
        <v>341121321.92999995</v>
      </c>
      <c r="D54">
        <v>10629875.390000004</v>
      </c>
      <c r="E54">
        <v>4043611.5699999966</v>
      </c>
      <c r="F54">
        <v>14673486.960000001</v>
      </c>
      <c r="G54">
        <v>0.13332946640478571</v>
      </c>
    </row>
    <row r="55" spans="1:7">
      <c r="A55">
        <v>25</v>
      </c>
      <c r="B55" t="s">
        <v>1547</v>
      </c>
      <c r="C55">
        <v>325648786.45999998</v>
      </c>
      <c r="D55">
        <v>10053480.15</v>
      </c>
      <c r="E55">
        <v>4073198.3400000003</v>
      </c>
      <c r="F55">
        <v>14126678.49</v>
      </c>
      <c r="G55">
        <v>0.14018839663854388</v>
      </c>
    </row>
    <row r="56" spans="1:7">
      <c r="A56">
        <v>25</v>
      </c>
      <c r="B56" t="s">
        <v>1548</v>
      </c>
      <c r="C56">
        <v>310618786.55999994</v>
      </c>
      <c r="D56">
        <v>9917370.9099999983</v>
      </c>
      <c r="E56">
        <v>3495609.4899999998</v>
      </c>
      <c r="F56">
        <v>13412980.399999999</v>
      </c>
      <c r="G56">
        <v>0.12699149349979932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0"/>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558</v>
      </c>
      <c r="B1" t="s">
        <v>559</v>
      </c>
      <c r="C1" t="s">
        <v>528</v>
      </c>
      <c r="D1" t="s">
        <v>315</v>
      </c>
      <c r="E1" t="s">
        <v>560</v>
      </c>
      <c r="F1" t="s">
        <v>517</v>
      </c>
      <c r="G1" t="s">
        <v>259</v>
      </c>
      <c r="H1" t="s">
        <v>561</v>
      </c>
      <c r="I1" t="s">
        <v>515</v>
      </c>
      <c r="J1" t="s">
        <v>562</v>
      </c>
      <c r="K1" t="s">
        <v>516</v>
      </c>
      <c r="L1" t="s">
        <v>518</v>
      </c>
      <c r="M1" t="s">
        <v>538</v>
      </c>
      <c r="N1" t="s">
        <v>964</v>
      </c>
      <c r="O1" t="s">
        <v>965</v>
      </c>
      <c r="P1" t="s">
        <v>966</v>
      </c>
      <c r="Q1" t="s">
        <v>967</v>
      </c>
      <c r="R1" t="s">
        <v>563</v>
      </c>
      <c r="S1" t="s">
        <v>564</v>
      </c>
    </row>
    <row r="2" spans="1:19">
      <c r="A2">
        <v>25</v>
      </c>
      <c r="B2" t="s">
        <v>108</v>
      </c>
      <c r="C2" t="s">
        <v>1549</v>
      </c>
      <c r="D2" t="s">
        <v>1550</v>
      </c>
      <c r="E2" t="s">
        <v>1551</v>
      </c>
      <c r="F2" t="s">
        <v>1552</v>
      </c>
      <c r="G2" t="s">
        <v>1553</v>
      </c>
      <c r="H2" t="s">
        <v>487</v>
      </c>
      <c r="I2" t="s">
        <v>487</v>
      </c>
      <c r="J2" t="s">
        <v>488</v>
      </c>
      <c r="K2" t="s">
        <v>488</v>
      </c>
      <c r="L2" t="s">
        <v>1554</v>
      </c>
      <c r="M2" t="s">
        <v>1555</v>
      </c>
      <c r="N2" t="s">
        <v>1556</v>
      </c>
      <c r="O2" t="s">
        <v>1556</v>
      </c>
      <c r="P2" t="s">
        <v>1557</v>
      </c>
      <c r="Q2" t="s">
        <v>1554</v>
      </c>
      <c r="R2" t="s">
        <v>1309</v>
      </c>
      <c r="S2" t="s">
        <v>1309</v>
      </c>
    </row>
    <row r="3" spans="1:19">
      <c r="A3">
        <v>25</v>
      </c>
      <c r="B3" t="s">
        <v>499</v>
      </c>
      <c r="C3" t="s">
        <v>1558</v>
      </c>
      <c r="D3" t="s">
        <v>1550</v>
      </c>
      <c r="E3" t="s">
        <v>1559</v>
      </c>
      <c r="F3" t="s">
        <v>1552</v>
      </c>
      <c r="G3" t="s">
        <v>1554</v>
      </c>
      <c r="H3" t="s">
        <v>35</v>
      </c>
      <c r="I3" t="s">
        <v>35</v>
      </c>
      <c r="J3" t="s">
        <v>35</v>
      </c>
      <c r="K3" t="s">
        <v>35</v>
      </c>
      <c r="L3" t="s">
        <v>35</v>
      </c>
      <c r="M3" t="s">
        <v>35</v>
      </c>
      <c r="N3" t="s">
        <v>35</v>
      </c>
      <c r="O3" t="s">
        <v>35</v>
      </c>
      <c r="P3" t="s">
        <v>35</v>
      </c>
      <c r="Q3" t="s">
        <v>35</v>
      </c>
      <c r="R3" t="s">
        <v>1309</v>
      </c>
      <c r="S3" t="s">
        <v>1309</v>
      </c>
    </row>
    <row r="4" spans="1:19">
      <c r="A4">
        <v>25</v>
      </c>
      <c r="B4" t="s">
        <v>289</v>
      </c>
      <c r="C4" t="s">
        <v>35</v>
      </c>
      <c r="D4" t="s">
        <v>35</v>
      </c>
      <c r="E4" t="s">
        <v>35</v>
      </c>
      <c r="F4" t="s">
        <v>35</v>
      </c>
      <c r="G4" t="s">
        <v>35</v>
      </c>
      <c r="H4" t="s">
        <v>35</v>
      </c>
      <c r="I4" t="s">
        <v>35</v>
      </c>
      <c r="J4" t="s">
        <v>35</v>
      </c>
      <c r="K4" t="s">
        <v>35</v>
      </c>
      <c r="L4" t="s">
        <v>35</v>
      </c>
      <c r="M4" t="s">
        <v>35</v>
      </c>
      <c r="N4" t="s">
        <v>35</v>
      </c>
      <c r="O4" t="s">
        <v>35</v>
      </c>
      <c r="P4" t="s">
        <v>35</v>
      </c>
      <c r="Q4" t="s">
        <v>35</v>
      </c>
      <c r="R4" t="s">
        <v>1309</v>
      </c>
      <c r="S4" t="s">
        <v>1309</v>
      </c>
    </row>
    <row r="5" spans="1:19">
      <c r="A5">
        <v>25</v>
      </c>
      <c r="B5" t="s">
        <v>293</v>
      </c>
      <c r="C5" t="s">
        <v>35</v>
      </c>
      <c r="D5" t="s">
        <v>35</v>
      </c>
      <c r="E5" t="s">
        <v>35</v>
      </c>
      <c r="F5" t="s">
        <v>35</v>
      </c>
      <c r="G5" t="s">
        <v>35</v>
      </c>
      <c r="H5" t="s">
        <v>35</v>
      </c>
      <c r="I5" t="s">
        <v>35</v>
      </c>
      <c r="J5" t="s">
        <v>35</v>
      </c>
      <c r="K5" t="s">
        <v>35</v>
      </c>
      <c r="L5" t="s">
        <v>35</v>
      </c>
      <c r="M5" t="s">
        <v>35</v>
      </c>
      <c r="N5" t="s">
        <v>35</v>
      </c>
      <c r="O5" t="s">
        <v>35</v>
      </c>
      <c r="P5" t="s">
        <v>35</v>
      </c>
      <c r="Q5" t="s">
        <v>35</v>
      </c>
      <c r="R5" t="s">
        <v>1309</v>
      </c>
      <c r="S5" t="s">
        <v>1309</v>
      </c>
    </row>
    <row r="6" spans="1:19">
      <c r="A6">
        <v>25</v>
      </c>
      <c r="B6" t="s">
        <v>313</v>
      </c>
      <c r="C6" t="s">
        <v>1560</v>
      </c>
      <c r="D6" t="s">
        <v>1561</v>
      </c>
      <c r="E6" t="s">
        <v>1559</v>
      </c>
      <c r="F6" t="s">
        <v>1552</v>
      </c>
      <c r="G6" t="s">
        <v>1554</v>
      </c>
      <c r="H6" t="s">
        <v>1562</v>
      </c>
      <c r="I6" t="s">
        <v>1562</v>
      </c>
      <c r="J6" t="s">
        <v>1563</v>
      </c>
      <c r="K6" t="s">
        <v>1563</v>
      </c>
      <c r="L6" t="s">
        <v>1554</v>
      </c>
      <c r="M6" t="s">
        <v>1564</v>
      </c>
      <c r="N6" t="s">
        <v>1565</v>
      </c>
      <c r="O6" t="s">
        <v>35</v>
      </c>
      <c r="P6" t="s">
        <v>1557</v>
      </c>
      <c r="Q6" t="s">
        <v>1554</v>
      </c>
      <c r="R6" t="s">
        <v>1309</v>
      </c>
      <c r="S6" t="s">
        <v>1309</v>
      </c>
    </row>
    <row r="7" spans="1:19">
      <c r="A7">
        <v>25</v>
      </c>
      <c r="B7" t="s">
        <v>297</v>
      </c>
      <c r="C7" t="s">
        <v>35</v>
      </c>
      <c r="D7" t="s">
        <v>35</v>
      </c>
      <c r="E7" t="s">
        <v>35</v>
      </c>
      <c r="F7" t="s">
        <v>1552</v>
      </c>
      <c r="G7" t="s">
        <v>1566</v>
      </c>
      <c r="H7" t="s">
        <v>35</v>
      </c>
      <c r="I7" t="s">
        <v>1567</v>
      </c>
      <c r="J7" t="s">
        <v>488</v>
      </c>
      <c r="K7" t="s">
        <v>488</v>
      </c>
      <c r="L7" t="s">
        <v>1554</v>
      </c>
      <c r="M7" t="s">
        <v>35</v>
      </c>
      <c r="N7" t="s">
        <v>35</v>
      </c>
      <c r="O7" t="s">
        <v>35</v>
      </c>
      <c r="P7" t="s">
        <v>35</v>
      </c>
      <c r="Q7" t="s">
        <v>35</v>
      </c>
      <c r="R7" t="s">
        <v>1309</v>
      </c>
      <c r="S7" t="s">
        <v>1309</v>
      </c>
    </row>
    <row r="8" spans="1:19">
      <c r="A8">
        <v>25</v>
      </c>
      <c r="B8" t="s">
        <v>500</v>
      </c>
      <c r="C8" t="s">
        <v>35</v>
      </c>
      <c r="D8" t="s">
        <v>35</v>
      </c>
      <c r="E8" t="s">
        <v>35</v>
      </c>
      <c r="F8" t="s">
        <v>35</v>
      </c>
      <c r="G8" t="s">
        <v>35</v>
      </c>
      <c r="H8" t="s">
        <v>35</v>
      </c>
      <c r="I8" t="s">
        <v>1568</v>
      </c>
      <c r="J8" t="s">
        <v>35</v>
      </c>
      <c r="K8" t="s">
        <v>1563</v>
      </c>
      <c r="L8" t="s">
        <v>1554</v>
      </c>
      <c r="M8" t="s">
        <v>1564</v>
      </c>
      <c r="N8" t="s">
        <v>35</v>
      </c>
      <c r="O8" t="s">
        <v>35</v>
      </c>
      <c r="P8" t="s">
        <v>35</v>
      </c>
      <c r="Q8" t="s">
        <v>35</v>
      </c>
      <c r="R8" t="s">
        <v>1309</v>
      </c>
      <c r="S8" t="s">
        <v>1309</v>
      </c>
    </row>
    <row r="9" spans="1:19">
      <c r="A9">
        <v>25</v>
      </c>
      <c r="B9" t="s">
        <v>1569</v>
      </c>
      <c r="C9" t="s">
        <v>1570</v>
      </c>
      <c r="D9" t="s">
        <v>1571</v>
      </c>
      <c r="E9" t="s">
        <v>1572</v>
      </c>
      <c r="F9" t="s">
        <v>1573</v>
      </c>
      <c r="G9" t="s">
        <v>1574</v>
      </c>
      <c r="H9" t="s">
        <v>1575</v>
      </c>
      <c r="I9" t="s">
        <v>1576</v>
      </c>
      <c r="J9" t="s">
        <v>1577</v>
      </c>
      <c r="K9" t="s">
        <v>1578</v>
      </c>
      <c r="L9" t="s">
        <v>1579</v>
      </c>
      <c r="M9" t="s">
        <v>1580</v>
      </c>
      <c r="N9" t="s">
        <v>1581</v>
      </c>
      <c r="O9" t="s">
        <v>1582</v>
      </c>
      <c r="P9" t="s">
        <v>1583</v>
      </c>
      <c r="Q9" t="s">
        <v>1584</v>
      </c>
      <c r="R9" t="s">
        <v>1585</v>
      </c>
      <c r="S9" t="s">
        <v>1309</v>
      </c>
    </row>
    <row r="10" spans="1:19">
      <c r="A10">
        <v>25</v>
      </c>
      <c r="B10" t="s">
        <v>209</v>
      </c>
      <c r="C10" t="s">
        <v>1558</v>
      </c>
      <c r="D10" t="s">
        <v>1586</v>
      </c>
      <c r="E10" t="s">
        <v>1559</v>
      </c>
      <c r="F10" t="s">
        <v>35</v>
      </c>
      <c r="G10" t="s">
        <v>1554</v>
      </c>
      <c r="H10" t="s">
        <v>35</v>
      </c>
      <c r="I10" t="s">
        <v>487</v>
      </c>
      <c r="J10" t="s">
        <v>488</v>
      </c>
      <c r="K10" t="s">
        <v>488</v>
      </c>
      <c r="L10" t="s">
        <v>1554</v>
      </c>
      <c r="M10" t="s">
        <v>1555</v>
      </c>
      <c r="N10" t="s">
        <v>35</v>
      </c>
      <c r="O10" t="s">
        <v>35</v>
      </c>
      <c r="P10" t="s">
        <v>35</v>
      </c>
      <c r="Q10" t="s">
        <v>35</v>
      </c>
      <c r="R10" t="s">
        <v>1309</v>
      </c>
      <c r="S10" t="s">
        <v>1309</v>
      </c>
    </row>
    <row r="11" spans="1:19">
      <c r="A11">
        <v>25</v>
      </c>
      <c r="B11" t="s">
        <v>114</v>
      </c>
      <c r="C11" t="s">
        <v>1549</v>
      </c>
      <c r="D11" t="s">
        <v>1550</v>
      </c>
      <c r="E11" t="s">
        <v>1551</v>
      </c>
      <c r="F11" t="s">
        <v>1552</v>
      </c>
      <c r="G11" t="s">
        <v>1553</v>
      </c>
      <c r="H11" t="s">
        <v>1567</v>
      </c>
      <c r="I11" t="s">
        <v>487</v>
      </c>
      <c r="J11" t="s">
        <v>488</v>
      </c>
      <c r="K11" t="s">
        <v>488</v>
      </c>
      <c r="L11" t="s">
        <v>1554</v>
      </c>
      <c r="M11" t="s">
        <v>35</v>
      </c>
      <c r="N11" t="s">
        <v>35</v>
      </c>
      <c r="O11" t="s">
        <v>35</v>
      </c>
      <c r="P11" t="s">
        <v>35</v>
      </c>
      <c r="Q11" t="s">
        <v>35</v>
      </c>
      <c r="R11" t="s">
        <v>1309</v>
      </c>
      <c r="S11" t="s">
        <v>1309</v>
      </c>
    </row>
    <row r="12" spans="1:19">
      <c r="A12">
        <v>25</v>
      </c>
      <c r="B12" t="s">
        <v>274</v>
      </c>
      <c r="C12" t="s">
        <v>1558</v>
      </c>
      <c r="D12" t="s">
        <v>1586</v>
      </c>
      <c r="E12" t="s">
        <v>1559</v>
      </c>
      <c r="F12" t="s">
        <v>1552</v>
      </c>
      <c r="G12" t="s">
        <v>1566</v>
      </c>
      <c r="H12" t="s">
        <v>487</v>
      </c>
      <c r="I12" t="s">
        <v>1587</v>
      </c>
      <c r="J12" t="s">
        <v>488</v>
      </c>
      <c r="K12" t="s">
        <v>488</v>
      </c>
      <c r="L12" t="s">
        <v>1554</v>
      </c>
      <c r="M12" t="s">
        <v>1588</v>
      </c>
      <c r="N12" t="s">
        <v>1556</v>
      </c>
      <c r="O12" t="s">
        <v>1556</v>
      </c>
      <c r="P12" t="s">
        <v>1557</v>
      </c>
      <c r="Q12" t="s">
        <v>1554</v>
      </c>
      <c r="R12" t="s">
        <v>1309</v>
      </c>
      <c r="S12" t="s">
        <v>1309</v>
      </c>
    </row>
    <row r="13" spans="1:19">
      <c r="A13">
        <v>25</v>
      </c>
      <c r="B13" t="s">
        <v>304</v>
      </c>
      <c r="C13" t="s">
        <v>35</v>
      </c>
      <c r="D13" t="s">
        <v>35</v>
      </c>
      <c r="E13" t="s">
        <v>35</v>
      </c>
      <c r="F13" t="s">
        <v>35</v>
      </c>
      <c r="G13" t="s">
        <v>35</v>
      </c>
      <c r="H13" t="s">
        <v>35</v>
      </c>
      <c r="I13" t="s">
        <v>35</v>
      </c>
      <c r="J13" t="s">
        <v>35</v>
      </c>
      <c r="K13" t="s">
        <v>35</v>
      </c>
      <c r="L13" t="s">
        <v>35</v>
      </c>
      <c r="M13" t="s">
        <v>35</v>
      </c>
      <c r="N13" t="s">
        <v>35</v>
      </c>
      <c r="O13" t="s">
        <v>35</v>
      </c>
      <c r="P13" t="s">
        <v>35</v>
      </c>
      <c r="Q13" t="s">
        <v>35</v>
      </c>
      <c r="R13" t="s">
        <v>1309</v>
      </c>
      <c r="S13" t="s">
        <v>1309</v>
      </c>
    </row>
    <row r="14" spans="1:19">
      <c r="A14">
        <v>25</v>
      </c>
      <c r="B14" t="s">
        <v>338</v>
      </c>
      <c r="C14" t="s">
        <v>1309</v>
      </c>
      <c r="D14" t="s">
        <v>1309</v>
      </c>
      <c r="E14" t="s">
        <v>1309</v>
      </c>
      <c r="F14" t="s">
        <v>1309</v>
      </c>
      <c r="G14" t="s">
        <v>1309</v>
      </c>
      <c r="H14" t="s">
        <v>1309</v>
      </c>
      <c r="I14" t="s">
        <v>1309</v>
      </c>
      <c r="J14" t="s">
        <v>1309</v>
      </c>
      <c r="K14" t="s">
        <v>1309</v>
      </c>
      <c r="L14" t="s">
        <v>1309</v>
      </c>
      <c r="M14" t="s">
        <v>1309</v>
      </c>
      <c r="N14" t="s">
        <v>1309</v>
      </c>
      <c r="O14" t="s">
        <v>1309</v>
      </c>
      <c r="P14" t="s">
        <v>1309</v>
      </c>
      <c r="Q14" t="s">
        <v>1309</v>
      </c>
      <c r="R14" t="s">
        <v>1309</v>
      </c>
      <c r="S14" t="s">
        <v>1589</v>
      </c>
    </row>
    <row r="15" spans="1:19">
      <c r="A15">
        <v>25</v>
      </c>
      <c r="B15" t="s">
        <v>339</v>
      </c>
      <c r="C15" t="s">
        <v>1309</v>
      </c>
      <c r="D15" t="s">
        <v>1309</v>
      </c>
      <c r="E15" t="s">
        <v>1309</v>
      </c>
      <c r="F15" t="s">
        <v>1309</v>
      </c>
      <c r="G15" t="s">
        <v>1309</v>
      </c>
      <c r="H15" t="s">
        <v>1309</v>
      </c>
      <c r="I15" t="s">
        <v>1309</v>
      </c>
      <c r="J15" t="s">
        <v>1309</v>
      </c>
      <c r="K15" t="s">
        <v>1309</v>
      </c>
      <c r="L15" t="s">
        <v>1309</v>
      </c>
      <c r="M15" t="s">
        <v>1309</v>
      </c>
      <c r="N15" t="s">
        <v>1309</v>
      </c>
      <c r="O15" t="s">
        <v>1309</v>
      </c>
      <c r="P15" t="s">
        <v>1309</v>
      </c>
      <c r="Q15" t="s">
        <v>1309</v>
      </c>
      <c r="R15" t="s">
        <v>1309</v>
      </c>
      <c r="S15" t="s">
        <v>1589</v>
      </c>
    </row>
    <row r="16" spans="1:19">
      <c r="A16">
        <v>25</v>
      </c>
      <c r="B16" t="s">
        <v>340</v>
      </c>
      <c r="C16" t="s">
        <v>1309</v>
      </c>
      <c r="D16" t="s">
        <v>1309</v>
      </c>
      <c r="E16" t="s">
        <v>1309</v>
      </c>
      <c r="F16" t="s">
        <v>1309</v>
      </c>
      <c r="G16" t="s">
        <v>1309</v>
      </c>
      <c r="H16" t="s">
        <v>1309</v>
      </c>
      <c r="I16" t="s">
        <v>1309</v>
      </c>
      <c r="J16" t="s">
        <v>1309</v>
      </c>
      <c r="K16" t="s">
        <v>1309</v>
      </c>
      <c r="L16" t="s">
        <v>1309</v>
      </c>
      <c r="M16" t="s">
        <v>1309</v>
      </c>
      <c r="N16" t="s">
        <v>1309</v>
      </c>
      <c r="O16" t="s">
        <v>1309</v>
      </c>
      <c r="P16" t="s">
        <v>1309</v>
      </c>
      <c r="Q16" t="s">
        <v>1309</v>
      </c>
      <c r="R16" t="s">
        <v>1309</v>
      </c>
      <c r="S16" t="s">
        <v>1590</v>
      </c>
    </row>
    <row r="17" spans="1:19">
      <c r="A17">
        <v>25</v>
      </c>
      <c r="B17" t="s">
        <v>341</v>
      </c>
      <c r="C17" t="s">
        <v>1309</v>
      </c>
      <c r="D17" t="s">
        <v>1309</v>
      </c>
      <c r="E17" t="s">
        <v>1309</v>
      </c>
      <c r="F17" t="s">
        <v>1309</v>
      </c>
      <c r="G17" t="s">
        <v>1309</v>
      </c>
      <c r="H17" t="s">
        <v>1309</v>
      </c>
      <c r="I17" t="s">
        <v>1309</v>
      </c>
      <c r="J17" t="s">
        <v>1309</v>
      </c>
      <c r="K17" t="s">
        <v>1309</v>
      </c>
      <c r="L17" t="s">
        <v>1309</v>
      </c>
      <c r="M17" t="s">
        <v>1309</v>
      </c>
      <c r="N17" t="s">
        <v>1309</v>
      </c>
      <c r="O17" t="s">
        <v>1309</v>
      </c>
      <c r="P17" t="s">
        <v>1309</v>
      </c>
      <c r="Q17" t="s">
        <v>1309</v>
      </c>
      <c r="R17" t="s">
        <v>1309</v>
      </c>
      <c r="S17" t="s">
        <v>1591</v>
      </c>
    </row>
    <row r="18" spans="1:19">
      <c r="A18">
        <v>25</v>
      </c>
      <c r="B18" t="s">
        <v>342</v>
      </c>
      <c r="C18" t="s">
        <v>1309</v>
      </c>
      <c r="D18" t="s">
        <v>1309</v>
      </c>
      <c r="E18" t="s">
        <v>1309</v>
      </c>
      <c r="F18" t="s">
        <v>1309</v>
      </c>
      <c r="G18" t="s">
        <v>1309</v>
      </c>
      <c r="H18" t="s">
        <v>1309</v>
      </c>
      <c r="I18" t="s">
        <v>1309</v>
      </c>
      <c r="J18" t="s">
        <v>1309</v>
      </c>
      <c r="K18" t="s">
        <v>1309</v>
      </c>
      <c r="L18" t="s">
        <v>1309</v>
      </c>
      <c r="M18" t="s">
        <v>1309</v>
      </c>
      <c r="N18" t="s">
        <v>1309</v>
      </c>
      <c r="O18" t="s">
        <v>1309</v>
      </c>
      <c r="P18" t="s">
        <v>1309</v>
      </c>
      <c r="Q18" t="s">
        <v>1309</v>
      </c>
      <c r="R18" t="s">
        <v>1309</v>
      </c>
      <c r="S18" t="s">
        <v>1592</v>
      </c>
    </row>
    <row r="19" spans="1:19">
      <c r="A19">
        <v>25</v>
      </c>
      <c r="B19" t="s">
        <v>343</v>
      </c>
      <c r="C19" t="s">
        <v>1309</v>
      </c>
      <c r="D19" t="s">
        <v>1309</v>
      </c>
      <c r="E19" t="s">
        <v>1309</v>
      </c>
      <c r="F19" t="s">
        <v>1309</v>
      </c>
      <c r="G19" t="s">
        <v>1309</v>
      </c>
      <c r="H19" t="s">
        <v>1309</v>
      </c>
      <c r="I19" t="s">
        <v>1309</v>
      </c>
      <c r="J19" t="s">
        <v>1309</v>
      </c>
      <c r="K19" t="s">
        <v>1309</v>
      </c>
      <c r="L19" t="s">
        <v>1309</v>
      </c>
      <c r="M19" t="s">
        <v>1309</v>
      </c>
      <c r="N19" t="s">
        <v>1309</v>
      </c>
      <c r="O19" t="s">
        <v>1309</v>
      </c>
      <c r="P19" t="s">
        <v>1309</v>
      </c>
      <c r="Q19" t="s">
        <v>1309</v>
      </c>
      <c r="R19" t="s">
        <v>1309</v>
      </c>
      <c r="S19" t="s">
        <v>1593</v>
      </c>
    </row>
    <row r="20" spans="1:19">
      <c r="A20">
        <v>25</v>
      </c>
      <c r="B20" t="s">
        <v>344</v>
      </c>
      <c r="C20" t="s">
        <v>1309</v>
      </c>
      <c r="D20" t="s">
        <v>1309</v>
      </c>
      <c r="E20" t="s">
        <v>1309</v>
      </c>
      <c r="F20" t="s">
        <v>1309</v>
      </c>
      <c r="G20" t="s">
        <v>1309</v>
      </c>
      <c r="H20" t="s">
        <v>1309</v>
      </c>
      <c r="I20" t="s">
        <v>1309</v>
      </c>
      <c r="J20" t="s">
        <v>1309</v>
      </c>
      <c r="K20" t="s">
        <v>1309</v>
      </c>
      <c r="L20" t="s">
        <v>1309</v>
      </c>
      <c r="M20" t="s">
        <v>1309</v>
      </c>
      <c r="N20" t="s">
        <v>1309</v>
      </c>
      <c r="O20" t="s">
        <v>1309</v>
      </c>
      <c r="P20" t="s">
        <v>1309</v>
      </c>
      <c r="Q20" t="s">
        <v>1309</v>
      </c>
      <c r="R20" t="s">
        <v>1309</v>
      </c>
      <c r="S20" t="s">
        <v>1309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60.81640625" style="101" customWidth="1"/>
    <col min="3" max="3" width="14.81640625" style="101" customWidth="1"/>
    <col min="4" max="4" width="20.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103"/>
      <c r="B1" s="104"/>
      <c r="C1" s="104"/>
      <c r="D1" s="104"/>
      <c r="E1" s="104"/>
      <c r="F1" s="104"/>
      <c r="G1" s="104"/>
      <c r="H1" s="104"/>
      <c r="I1" s="104"/>
      <c r="J1" s="104"/>
      <c r="K1" s="105"/>
    </row>
    <row r="2" spans="1:13" ht="18">
      <c r="A2" s="107"/>
      <c r="B2" s="108" t="str">
        <f>'Cover Sheet'!B2</f>
        <v>SC Germany Consumer 2020-1</v>
      </c>
      <c r="C2" s="108"/>
      <c r="D2" s="109" t="str">
        <f>'Cover Sheet'!D2</f>
        <v>Calculation Date</v>
      </c>
      <c r="E2" s="110"/>
      <c r="F2" s="111">
        <f>'Cover Sheet'!F2</f>
        <v>45820</v>
      </c>
      <c r="G2" s="110"/>
      <c r="H2" s="110"/>
      <c r="I2" s="110"/>
      <c r="J2" s="112"/>
      <c r="K2" s="113"/>
      <c r="L2" s="137"/>
    </row>
    <row r="3" spans="1:13" ht="18">
      <c r="A3" s="107"/>
      <c r="B3" s="108" t="str">
        <f>'Cover Sheet'!B3</f>
        <v>Monthly Investor Report</v>
      </c>
      <c r="C3" s="108"/>
      <c r="D3" s="115" t="str">
        <f>'Cover Sheet'!D3</f>
        <v>Payment Date</v>
      </c>
      <c r="E3" s="116"/>
      <c r="F3" s="117">
        <f>'Cover Sheet'!F3</f>
        <v>45824</v>
      </c>
      <c r="G3" s="116"/>
      <c r="H3" s="116"/>
      <c r="I3" s="116"/>
      <c r="J3" s="118"/>
      <c r="K3" s="113"/>
      <c r="L3" s="138"/>
    </row>
    <row r="4" spans="1:13" ht="13">
      <c r="A4" s="107"/>
      <c r="B4" s="119"/>
      <c r="C4" s="160"/>
      <c r="D4" s="115" t="str">
        <f>'Cover Sheet'!D4</f>
        <v>Period  No</v>
      </c>
      <c r="E4" s="116"/>
      <c r="F4" s="120">
        <f>'Cover Sheet'!F4</f>
        <v>55</v>
      </c>
      <c r="G4" s="116"/>
      <c r="H4" s="121"/>
      <c r="I4" s="116"/>
      <c r="J4" s="122"/>
      <c r="K4" s="113"/>
      <c r="L4" s="137"/>
    </row>
    <row r="5" spans="1:13" ht="18">
      <c r="A5" s="107"/>
      <c r="B5" s="123" t="s">
        <v>44</v>
      </c>
      <c r="C5" s="123"/>
      <c r="D5" s="115" t="str">
        <f>'Cover Sheet'!D5</f>
        <v>Monthly Period</v>
      </c>
      <c r="E5" s="116"/>
      <c r="F5" s="124">
        <f>'Cover Sheet'!F5</f>
        <v>45824</v>
      </c>
      <c r="G5" s="116"/>
      <c r="H5" s="121"/>
      <c r="I5" s="116"/>
      <c r="J5" s="122"/>
      <c r="K5" s="113"/>
      <c r="L5" s="138"/>
    </row>
    <row r="6" spans="1:13" s="106" customFormat="1" ht="15" customHeight="1">
      <c r="A6" s="107"/>
      <c r="B6" s="125"/>
      <c r="C6" s="114"/>
      <c r="D6" s="115" t="str">
        <f>'Cover Sheet'!D6</f>
        <v>Interest Period</v>
      </c>
      <c r="E6" s="126" t="str">
        <f>'Cover Sheet'!E6</f>
        <v>from</v>
      </c>
      <c r="F6" s="117">
        <f>'Cover Sheet'!F6</f>
        <v>45791</v>
      </c>
      <c r="G6" s="126" t="str">
        <f>'Cover Sheet'!G6</f>
        <v>to</v>
      </c>
      <c r="H6" s="117">
        <f>'Cover Sheet'!H6</f>
        <v>45824</v>
      </c>
      <c r="I6" s="126" t="str">
        <f>'Cover Sheet'!I6</f>
        <v>=</v>
      </c>
      <c r="J6" s="127" t="str">
        <f>'Cover Sheet'!J6</f>
        <v>33 days</v>
      </c>
      <c r="K6" s="128"/>
      <c r="M6" s="129"/>
    </row>
    <row r="7" spans="1:13" ht="13">
      <c r="A7" s="107"/>
      <c r="D7" s="130" t="str">
        <f>'Cover Sheet'!D7</f>
        <v>Collection Period</v>
      </c>
      <c r="E7" s="131" t="str">
        <f>'Cover Sheet'!E7</f>
        <v>from</v>
      </c>
      <c r="F7" s="132" t="str">
        <f>'Cover Sheet'!F7</f>
        <v>01.05.2025</v>
      </c>
      <c r="G7" s="131" t="str">
        <f>'Cover Sheet'!G7</f>
        <v>to</v>
      </c>
      <c r="H7" s="132">
        <f>'Cover Sheet'!H7</f>
        <v>45808</v>
      </c>
      <c r="I7" s="363"/>
      <c r="J7" s="168"/>
      <c r="K7" s="113"/>
      <c r="L7" s="138"/>
    </row>
    <row r="8" spans="1:13" ht="13">
      <c r="A8" s="107"/>
      <c r="D8" s="137"/>
      <c r="E8" s="136"/>
      <c r="F8" s="137"/>
      <c r="H8" s="169"/>
      <c r="J8" s="138"/>
      <c r="K8" s="113"/>
    </row>
    <row r="9" spans="1:13">
      <c r="A9" s="107"/>
      <c r="K9" s="113"/>
    </row>
    <row r="10" spans="1:13">
      <c r="A10" s="107"/>
      <c r="K10" s="113"/>
    </row>
    <row r="11" spans="1:13" ht="18" customHeight="1">
      <c r="A11" s="107"/>
      <c r="K11" s="113"/>
    </row>
    <row r="12" spans="1:13">
      <c r="A12" s="107"/>
      <c r="K12" s="113"/>
    </row>
    <row r="13" spans="1:13" ht="18">
      <c r="A13" s="107"/>
      <c r="B13" s="108"/>
      <c r="D13" s="895"/>
      <c r="F13" s="136"/>
      <c r="K13" s="113"/>
    </row>
    <row r="14" spans="1:13">
      <c r="A14" s="107"/>
      <c r="D14" s="896"/>
      <c r="K14" s="113"/>
    </row>
    <row r="15" spans="1:13">
      <c r="A15" s="107"/>
      <c r="D15" s="896"/>
      <c r="K15" s="113"/>
    </row>
    <row r="16" spans="1:13">
      <c r="A16" s="107"/>
      <c r="D16" s="896"/>
      <c r="K16" s="113"/>
    </row>
    <row r="17" spans="1:11" ht="18">
      <c r="A17" s="107"/>
      <c r="B17" s="108" t="s">
        <v>11</v>
      </c>
      <c r="D17" s="896"/>
      <c r="F17" s="136"/>
      <c r="K17" s="113"/>
    </row>
    <row r="18" spans="1:11" ht="13">
      <c r="A18" s="107"/>
      <c r="B18" s="100" t="s">
        <v>191</v>
      </c>
      <c r="C18" s="139" t="s">
        <v>8</v>
      </c>
      <c r="D18" s="895"/>
      <c r="F18" s="138" t="s">
        <v>42</v>
      </c>
      <c r="K18" s="113"/>
    </row>
    <row r="19" spans="1:11">
      <c r="A19" s="107"/>
      <c r="B19" s="101" t="s">
        <v>13</v>
      </c>
      <c r="C19" s="897">
        <f>IF(ISNUMBER('5. Outstanding Notes'!C27),D19/'5. Outstanding Notes'!C27,"")</f>
        <v>2.2212449410854911E-2</v>
      </c>
      <c r="D19" s="898">
        <f>VLOOKUP("Liquidity_Reserve_bop",calcdata_20,2,0)</f>
        <v>6000000</v>
      </c>
      <c r="F19" s="136"/>
      <c r="K19" s="113"/>
    </row>
    <row r="20" spans="1:11">
      <c r="A20" s="107"/>
      <c r="B20" s="101" t="s">
        <v>84</v>
      </c>
      <c r="D20" s="898">
        <f>VLOOKUP("Liquidity_Reserve_cashout",calcdata_20,2,0)</f>
        <v>6000000</v>
      </c>
      <c r="F20" s="136"/>
      <c r="K20" s="113"/>
    </row>
    <row r="21" spans="1:11">
      <c r="A21" s="107"/>
      <c r="B21" s="101" t="s">
        <v>491</v>
      </c>
      <c r="D21" s="899">
        <f>MAX(0,(D19-D25))</f>
        <v>0</v>
      </c>
      <c r="F21" s="136"/>
      <c r="K21" s="113"/>
    </row>
    <row r="22" spans="1:11">
      <c r="A22" s="107"/>
      <c r="D22" s="899"/>
      <c r="F22" s="136"/>
      <c r="K22" s="113"/>
    </row>
    <row r="23" spans="1:11">
      <c r="A23" s="107"/>
      <c r="B23" s="101" t="s">
        <v>85</v>
      </c>
      <c r="D23" s="899">
        <f>VLOOKUP("Liquidity_Reserve_cashin",calcdata_20,2,0)</f>
        <v>6000000</v>
      </c>
      <c r="F23" s="136"/>
      <c r="K23" s="113"/>
    </row>
    <row r="24" spans="1:11">
      <c r="A24" s="107"/>
      <c r="B24" s="101" t="s">
        <v>14</v>
      </c>
      <c r="C24" s="897">
        <f>IF(ISNUMBER(D24),D24/'5. Outstanding Notes'!C33,"")</f>
        <v>2.3453229343426495E-2</v>
      </c>
      <c r="D24" s="899">
        <f>VLOOKUP("Liquidity_Reserve_eop",calcdata_20,2,0)</f>
        <v>6000000</v>
      </c>
      <c r="F24" s="136"/>
      <c r="K24" s="113"/>
    </row>
    <row r="25" spans="1:11">
      <c r="A25" s="107"/>
      <c r="B25" s="101" t="s">
        <v>400</v>
      </c>
      <c r="C25" s="897">
        <f>IF(ISNUMBER(D25),D25/'5. Outstanding Notes'!C33,"")</f>
        <v>2.3453229343426495E-2</v>
      </c>
      <c r="D25" s="899">
        <f>VLOOKUP("Liquidity_Reserve_fund",calcdata_20,2,0)</f>
        <v>6000000</v>
      </c>
      <c r="F25" s="136"/>
      <c r="K25" s="113"/>
    </row>
    <row r="26" spans="1:11">
      <c r="A26" s="107"/>
      <c r="D26" s="896"/>
      <c r="F26" s="136"/>
      <c r="K26" s="113"/>
    </row>
    <row r="27" spans="1:11" ht="13">
      <c r="A27" s="107"/>
      <c r="B27" s="100" t="s">
        <v>10</v>
      </c>
      <c r="C27" s="513" t="s">
        <v>8</v>
      </c>
      <c r="D27" s="914"/>
      <c r="F27" s="136" t="str">
        <f>VLOOKUP("Com_Reserve_Trigger",calcdata_20,4,0)</f>
        <v>no</v>
      </c>
      <c r="K27" s="113"/>
    </row>
    <row r="28" spans="1:11">
      <c r="A28" s="107"/>
      <c r="B28" s="101" t="s">
        <v>13</v>
      </c>
      <c r="C28" s="949" t="str">
        <f>IF(AND(ISNUMBER('5. Outstanding Notes'!C27),ISNUMBER(D28)),D28/'5. Outstanding Notes'!C27,"")</f>
        <v/>
      </c>
      <c r="D28" s="315" t="str">
        <f>VLOOKUP("Com_Reserve_bop",calcdata_20,4,0)</f>
        <v>n/a</v>
      </c>
      <c r="F28" s="136"/>
      <c r="K28" s="113"/>
    </row>
    <row r="29" spans="1:11">
      <c r="A29" s="107"/>
      <c r="B29" s="101" t="s">
        <v>84</v>
      </c>
      <c r="C29" s="949"/>
      <c r="D29" s="315" t="str">
        <f>VLOOKUP("Com_Reserve_cashout",calcdata_20,4,0)</f>
        <v>n/a</v>
      </c>
      <c r="F29" s="136"/>
      <c r="K29" s="113"/>
    </row>
    <row r="30" spans="1:11">
      <c r="A30" s="107"/>
      <c r="B30" s="101" t="s">
        <v>402</v>
      </c>
      <c r="C30" s="949"/>
      <c r="D30" s="315"/>
      <c r="F30" s="136"/>
      <c r="K30" s="113"/>
    </row>
    <row r="31" spans="1:11">
      <c r="A31" s="107"/>
      <c r="B31" s="101" t="s">
        <v>446</v>
      </c>
      <c r="C31" s="949"/>
      <c r="D31" s="315"/>
      <c r="F31" s="136"/>
      <c r="K31" s="113"/>
    </row>
    <row r="32" spans="1:11">
      <c r="A32" s="107"/>
      <c r="B32" s="101" t="s">
        <v>85</v>
      </c>
      <c r="C32" s="949"/>
      <c r="D32" s="315" t="str">
        <f>VLOOKUP("Com_Reserve_cashin",calcdata_20,4,0)</f>
        <v>n/a</v>
      </c>
      <c r="F32" s="136"/>
      <c r="K32" s="113"/>
    </row>
    <row r="33" spans="1:11">
      <c r="A33" s="107"/>
      <c r="B33" s="101" t="s">
        <v>14</v>
      </c>
      <c r="C33" s="949" t="str">
        <f>IF(AND(ISNUMBER('5. Outstanding Notes'!C33),ISNUMBER(D33)),D33/'5. Outstanding Notes'!C33,"")</f>
        <v/>
      </c>
      <c r="D33" s="315" t="str">
        <f>VLOOKUP("Com_Reserve_eop",calcdata_20,4,0)</f>
        <v>n/a</v>
      </c>
      <c r="F33" s="136"/>
      <c r="K33" s="113"/>
    </row>
    <row r="34" spans="1:11">
      <c r="A34" s="107"/>
      <c r="B34" s="101" t="s">
        <v>401</v>
      </c>
      <c r="C34" s="949"/>
      <c r="D34" s="315">
        <f>VLOOKUP("Com_Reserve_required",calcdata_20,2,0)</f>
        <v>0</v>
      </c>
      <c r="F34" s="136"/>
      <c r="K34" s="113"/>
    </row>
    <row r="35" spans="1:11">
      <c r="A35" s="107"/>
      <c r="B35" s="145"/>
      <c r="C35" s="21"/>
      <c r="D35" s="950"/>
      <c r="F35" s="136"/>
      <c r="K35" s="113"/>
    </row>
    <row r="36" spans="1:11" ht="13">
      <c r="A36" s="107"/>
      <c r="B36" s="100" t="s">
        <v>178</v>
      </c>
      <c r="C36" s="513" t="s">
        <v>8</v>
      </c>
      <c r="D36" s="55"/>
      <c r="F36" s="136" t="str">
        <f>VLOOKUP("Setoff_Reserve_Trigger",calcdata_20,4,0)</f>
        <v>no</v>
      </c>
      <c r="K36" s="113"/>
    </row>
    <row r="37" spans="1:11">
      <c r="A37" s="107"/>
      <c r="B37" s="101" t="s">
        <v>13</v>
      </c>
      <c r="C37" s="949" t="str">
        <f>IF(AND(ISNUMBER('5. Outstanding Notes'!C27),ISNUMBER(D37)),D37/'5. Outstanding Notes'!C27,"")</f>
        <v/>
      </c>
      <c r="D37" s="315" t="str">
        <f>VLOOKUP("Setoff_Reserve_bop",calcdata_20,4,0)</f>
        <v>n/a</v>
      </c>
      <c r="F37" s="900"/>
      <c r="K37" s="113"/>
    </row>
    <row r="38" spans="1:11">
      <c r="A38" s="107"/>
      <c r="B38" s="101" t="s">
        <v>84</v>
      </c>
      <c r="C38" s="21"/>
      <c r="D38" s="315" t="str">
        <f>VLOOKUP("Setoff_Reserve_cashout",calcdata_20,4,0)</f>
        <v>n/a</v>
      </c>
      <c r="F38" s="142"/>
      <c r="K38" s="113"/>
    </row>
    <row r="39" spans="1:11">
      <c r="A39" s="107"/>
      <c r="B39" s="101" t="s">
        <v>444</v>
      </c>
      <c r="C39" s="21"/>
      <c r="D39" s="315"/>
      <c r="F39" s="142"/>
      <c r="K39" s="113"/>
    </row>
    <row r="40" spans="1:11">
      <c r="A40" s="107"/>
      <c r="B40" s="101" t="s">
        <v>445</v>
      </c>
      <c r="C40" s="21"/>
      <c r="D40" s="315"/>
      <c r="F40" s="142"/>
      <c r="K40" s="113"/>
    </row>
    <row r="41" spans="1:11">
      <c r="A41" s="107"/>
      <c r="B41" s="101" t="s">
        <v>85</v>
      </c>
      <c r="C41" s="21"/>
      <c r="D41" s="315" t="str">
        <f>VLOOKUP("Setoff_Reserve_cashin",calcdata_20,4,0)</f>
        <v>n/a</v>
      </c>
      <c r="F41" s="142"/>
      <c r="K41" s="113"/>
    </row>
    <row r="42" spans="1:11">
      <c r="A42" s="107"/>
      <c r="B42" s="101" t="s">
        <v>14</v>
      </c>
      <c r="C42" s="949" t="str">
        <f>IF(AND(ISNUMBER('5. Outstanding Notes'!C33),ISNUMBER(D42)),D42/'5. Outstanding Notes'!C33,"")</f>
        <v/>
      </c>
      <c r="D42" s="315" t="str">
        <f>VLOOKUP("Setoff_Reserve_eop",calcdata_20,4,0)</f>
        <v>n/a</v>
      </c>
      <c r="F42" s="142"/>
      <c r="K42" s="113"/>
    </row>
    <row r="43" spans="1:11">
      <c r="A43" s="107"/>
      <c r="B43" s="101" t="s">
        <v>527</v>
      </c>
      <c r="C43" s="949"/>
      <c r="D43" s="315">
        <f>VLOOKUP("Setoff_Reserve_required",calcdata_20,2,0)</f>
        <v>0</v>
      </c>
      <c r="F43" s="142"/>
      <c r="K43" s="113"/>
    </row>
    <row r="44" spans="1:11">
      <c r="A44" s="107"/>
      <c r="C44" s="21"/>
      <c r="D44" s="55"/>
      <c r="F44" s="142"/>
      <c r="K44" s="113"/>
    </row>
    <row r="45" spans="1:11">
      <c r="A45" s="107"/>
      <c r="B45" s="101" t="s">
        <v>535</v>
      </c>
      <c r="C45" s="21"/>
      <c r="D45" s="315"/>
      <c r="F45" s="142"/>
      <c r="K45" s="113"/>
    </row>
    <row r="46" spans="1:11">
      <c r="A46" s="148"/>
      <c r="B46" s="150"/>
      <c r="C46" s="150"/>
      <c r="D46" s="150"/>
      <c r="E46" s="150"/>
      <c r="F46" s="150"/>
      <c r="G46" s="150"/>
      <c r="H46" s="150"/>
      <c r="I46" s="150"/>
      <c r="J46" s="150"/>
      <c r="K46" s="151"/>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38"/>
    </row>
    <row r="2" spans="1:13" ht="18">
      <c r="A2" s="240"/>
      <c r="B2" s="241" t="str">
        <f>'Cover Sheet'!B2</f>
        <v>SC Germany Consumer 2020-1</v>
      </c>
      <c r="C2" s="241"/>
      <c r="D2" s="242" t="str">
        <f>'Cover Sheet'!D2</f>
        <v>Calculation Date</v>
      </c>
      <c r="E2" s="243"/>
      <c r="F2" s="244">
        <f>'Cover Sheet'!F2</f>
        <v>45820</v>
      </c>
      <c r="G2" s="243"/>
      <c r="H2" s="882"/>
      <c r="I2" s="882"/>
      <c r="J2" s="882"/>
      <c r="K2" s="882"/>
      <c r="L2" s="245"/>
      <c r="M2" s="316"/>
    </row>
    <row r="3" spans="1:13" ht="18">
      <c r="A3" s="240"/>
      <c r="B3" s="241" t="str">
        <f>'Cover Sheet'!B3</f>
        <v>Monthly Investor Report</v>
      </c>
      <c r="C3" s="241"/>
      <c r="D3" s="249" t="str">
        <f>'Cover Sheet'!D3</f>
        <v>Payment Date</v>
      </c>
      <c r="E3" s="250"/>
      <c r="F3" s="251">
        <f>'Cover Sheet'!F3</f>
        <v>45824</v>
      </c>
      <c r="G3" s="250"/>
      <c r="H3" s="250"/>
      <c r="I3" s="250"/>
      <c r="J3" s="250"/>
      <c r="K3" s="250"/>
      <c r="L3" s="252"/>
      <c r="M3" s="316"/>
    </row>
    <row r="4" spans="1:13">
      <c r="A4" s="240"/>
      <c r="B4" s="870"/>
      <c r="C4" s="330"/>
      <c r="D4" s="249" t="str">
        <f>'Cover Sheet'!D4</f>
        <v>Period  No</v>
      </c>
      <c r="E4" s="250"/>
      <c r="F4" s="255">
        <f>'Cover Sheet'!F4</f>
        <v>55</v>
      </c>
      <c r="G4" s="250"/>
      <c r="H4" s="256"/>
      <c r="I4" s="250"/>
      <c r="J4" s="261"/>
      <c r="K4" s="250"/>
      <c r="L4" s="257"/>
      <c r="M4" s="316"/>
    </row>
    <row r="5" spans="1:13" ht="18">
      <c r="A5" s="240"/>
      <c r="B5" s="331" t="s">
        <v>247</v>
      </c>
      <c r="C5" s="331"/>
      <c r="D5" s="249" t="str">
        <f>'Cover Sheet'!D5</f>
        <v>Monthly Period</v>
      </c>
      <c r="E5" s="250"/>
      <c r="F5" s="124">
        <f>'Cover Sheet'!F5</f>
        <v>45824</v>
      </c>
      <c r="G5" s="250"/>
      <c r="H5" s="256"/>
      <c r="I5" s="250"/>
      <c r="J5" s="261"/>
      <c r="K5" s="250"/>
      <c r="L5" s="257"/>
      <c r="M5" s="316"/>
    </row>
    <row r="6" spans="1:13" s="248" customFormat="1" ht="15" customHeight="1">
      <c r="A6" s="240"/>
      <c r="B6" s="259"/>
      <c r="C6" s="332"/>
      <c r="D6" s="249" t="str">
        <f>'Cover Sheet'!D6</f>
        <v>Interest Period</v>
      </c>
      <c r="E6" s="261" t="s">
        <v>34</v>
      </c>
      <c r="F6" s="251">
        <f>'Cover Sheet'!F6</f>
        <v>45791</v>
      </c>
      <c r="G6" s="261" t="str">
        <f>'Cover Sheet'!G6</f>
        <v>to</v>
      </c>
      <c r="H6" s="251">
        <f>'Cover Sheet'!H6</f>
        <v>45824</v>
      </c>
      <c r="I6" s="261" t="str">
        <f>'Cover Sheet'!I6</f>
        <v>=</v>
      </c>
      <c r="J6" s="838" t="str">
        <f>'Cover Sheet'!J6</f>
        <v>33 days</v>
      </c>
      <c r="K6" s="261"/>
      <c r="L6" s="375"/>
      <c r="M6" s="839"/>
    </row>
    <row r="7" spans="1:13">
      <c r="A7" s="240"/>
      <c r="D7" s="713" t="str">
        <f>'Cover Sheet'!D7</f>
        <v>Collection Period</v>
      </c>
      <c r="E7" s="714" t="s">
        <v>34</v>
      </c>
      <c r="F7" s="265" t="str">
        <f>'Cover Sheet'!F7</f>
        <v>01.05.2025</v>
      </c>
      <c r="G7" s="714" t="str">
        <f>'Cover Sheet'!G7</f>
        <v>to</v>
      </c>
      <c r="H7" s="265">
        <f>'Cover Sheet'!H7</f>
        <v>45808</v>
      </c>
      <c r="I7" s="266"/>
      <c r="J7" s="266"/>
      <c r="K7" s="266"/>
      <c r="L7" s="267"/>
      <c r="M7" s="316"/>
    </row>
    <row r="8" spans="1:13" ht="13">
      <c r="A8" s="240"/>
      <c r="D8" s="840"/>
      <c r="E8" s="268"/>
      <c r="F8" s="246"/>
      <c r="H8" s="269"/>
      <c r="J8" s="269"/>
      <c r="L8" s="253"/>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181</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829"/>
      <c r="K19" s="763"/>
      <c r="L19" s="822"/>
      <c r="M19" s="316"/>
    </row>
    <row r="20" spans="1:23" ht="15" thickBot="1">
      <c r="A20" s="240"/>
      <c r="B20" s="975" t="s">
        <v>115</v>
      </c>
      <c r="C20" s="975" t="s">
        <v>532</v>
      </c>
      <c r="D20" s="981" t="s">
        <v>262</v>
      </c>
      <c r="E20" s="982"/>
      <c r="F20" s="982"/>
      <c r="G20" s="983"/>
      <c r="H20" s="975" t="s">
        <v>263</v>
      </c>
      <c r="I20" s="981" t="s">
        <v>262</v>
      </c>
      <c r="J20" s="982"/>
      <c r="K20" s="982"/>
      <c r="L20" s="983"/>
      <c r="M20" s="848"/>
      <c r="O20" s="849"/>
      <c r="P20" s="25"/>
      <c r="Q20" s="850"/>
      <c r="R20" s="851"/>
      <c r="S20" s="851"/>
      <c r="T20" s="25"/>
      <c r="U20" s="25"/>
      <c r="V20" s="763"/>
      <c r="W20" s="852"/>
    </row>
    <row r="21" spans="1:23" ht="14.5">
      <c r="A21" s="240"/>
      <c r="B21" s="980"/>
      <c r="C21" s="980"/>
      <c r="D21" s="883" t="s">
        <v>264</v>
      </c>
      <c r="E21" s="883" t="s">
        <v>265</v>
      </c>
      <c r="F21" s="883" t="s">
        <v>266</v>
      </c>
      <c r="G21" s="884" t="s">
        <v>267</v>
      </c>
      <c r="H21" s="980"/>
      <c r="I21" s="883" t="s">
        <v>264</v>
      </c>
      <c r="J21" s="883" t="s">
        <v>265</v>
      </c>
      <c r="K21" s="883" t="s">
        <v>266</v>
      </c>
      <c r="L21" s="884" t="s">
        <v>267</v>
      </c>
      <c r="M21" s="316"/>
      <c r="N21" s="25"/>
      <c r="O21" s="25"/>
      <c r="P21" s="25"/>
      <c r="Q21" s="850"/>
      <c r="R21" s="851"/>
      <c r="S21" s="850"/>
      <c r="T21" s="25"/>
      <c r="U21" s="718"/>
      <c r="V21" s="25"/>
      <c r="W21" s="25"/>
    </row>
    <row r="22" spans="1:23" ht="13">
      <c r="A22" s="240"/>
      <c r="B22" s="885">
        <v>1</v>
      </c>
      <c r="C22" s="886">
        <f t="shared" ref="C22:C53" si="0">IF(B22&gt;$F$4,"",VLOOKUP(CONCATENATE("delinquency_",$B22),delinquencies_20,2,0))</f>
        <v>1799999933.0899999</v>
      </c>
      <c r="D22" s="887">
        <f t="shared" ref="D22:D53" si="1">IF(B22&gt;$F$4,"",VLOOKUP(CONCATENATE("delinquency_",$B22),delinquencies_20,3,0))</f>
        <v>0</v>
      </c>
      <c r="E22" s="887">
        <f t="shared" ref="E22:E53" si="2">IF(B22&gt;$F$4,"",VLOOKUP(CONCATENATE("delinquency_",$B22),delinquencies_20,4,0))</f>
        <v>0</v>
      </c>
      <c r="F22" s="887">
        <f t="shared" ref="F22:F53" si="3">IF(B22&gt;$F$4,"",VLOOKUP(CONCATENATE("delinquency_",$B22),delinquencies_20,5,0))</f>
        <v>0</v>
      </c>
      <c r="G22" s="887">
        <f t="shared" ref="G22:G53" si="4">IF(B22&gt;$F$4,"",VLOOKUP(CONCATENATE("delinquency_",$B22),delinquencies_20,6,0))</f>
        <v>0</v>
      </c>
      <c r="H22" s="888">
        <f>IF(B22&lt;=$F$4,(C22-D22-E22-F22-G22)/C22,"")</f>
        <v>1</v>
      </c>
      <c r="I22" s="889">
        <f>IF($B22&lt;=$F$4,D22/$C22,"")</f>
        <v>0</v>
      </c>
      <c r="J22" s="889">
        <f t="shared" ref="J22:L22" si="5">IF($B22&lt;=$F$4,E22/$C22,"")</f>
        <v>0</v>
      </c>
      <c r="K22" s="889">
        <f t="shared" si="5"/>
        <v>0</v>
      </c>
      <c r="L22" s="890">
        <f t="shared" si="5"/>
        <v>0</v>
      </c>
      <c r="M22" s="316"/>
      <c r="N22" s="25"/>
      <c r="O22" s="25"/>
      <c r="P22" s="25"/>
      <c r="Q22" s="850"/>
      <c r="R22" s="851"/>
      <c r="S22" s="850"/>
      <c r="T22" s="25"/>
      <c r="U22" s="718"/>
      <c r="V22" s="25"/>
      <c r="W22" s="25"/>
    </row>
    <row r="23" spans="1:23" ht="13">
      <c r="A23" s="240"/>
      <c r="B23" s="423">
        <v>2</v>
      </c>
      <c r="C23" s="891">
        <f t="shared" si="0"/>
        <v>1799999978.5699999</v>
      </c>
      <c r="D23" s="892">
        <f t="shared" si="1"/>
        <v>6313367.7000000002</v>
      </c>
      <c r="E23" s="892">
        <f t="shared" si="2"/>
        <v>882720.82</v>
      </c>
      <c r="F23" s="892">
        <f t="shared" si="3"/>
        <v>170291.73</v>
      </c>
      <c r="G23" s="892">
        <f t="shared" si="4"/>
        <v>106711.25</v>
      </c>
      <c r="H23" s="515">
        <f t="shared" ref="H23:H86" si="6">IF(B23&lt;=$F$4,(C23-D23-E23-F23-G23)/C23,"")</f>
        <v>0.99584828245057144</v>
      </c>
      <c r="I23" s="225">
        <f t="shared" ref="I23:I86" si="7">IF($B23&lt;=$F$4,D23/$C23,"")</f>
        <v>3.5074265417578618E-3</v>
      </c>
      <c r="J23" s="225">
        <f t="shared" ref="J23:J86" si="8">IF($B23&lt;=$F$4,E23/$C23,"")</f>
        <v>4.9040046139404547E-4</v>
      </c>
      <c r="K23" s="225">
        <f t="shared" ref="K23:K86" si="9">IF($B23&lt;=$F$4,F23/$C23,"")</f>
        <v>9.4606517793009826E-5</v>
      </c>
      <c r="L23" s="893">
        <f t="shared" ref="L23:L86" si="10">IF($B23&lt;=$F$4,G23/$C23,"")</f>
        <v>5.9284028483587075E-5</v>
      </c>
      <c r="M23" s="316"/>
      <c r="N23" s="25"/>
      <c r="O23" s="856"/>
      <c r="P23" s="25"/>
      <c r="Q23" s="850"/>
      <c r="R23" s="851"/>
      <c r="S23" s="851"/>
      <c r="T23" s="25"/>
      <c r="U23" s="25"/>
      <c r="V23" s="25"/>
      <c r="W23" s="25"/>
    </row>
    <row r="24" spans="1:23" ht="13">
      <c r="A24" s="240"/>
      <c r="B24" s="423">
        <v>3</v>
      </c>
      <c r="C24" s="891">
        <f t="shared" si="0"/>
        <v>1799999995.6099999</v>
      </c>
      <c r="D24" s="892">
        <f t="shared" si="1"/>
        <v>6239761.54</v>
      </c>
      <c r="E24" s="892">
        <f t="shared" si="2"/>
        <v>4939221.3099999996</v>
      </c>
      <c r="F24" s="892">
        <f t="shared" si="3"/>
        <v>866738.74</v>
      </c>
      <c r="G24" s="892">
        <f t="shared" si="4"/>
        <v>194212.76</v>
      </c>
      <c r="H24" s="515">
        <f t="shared" si="6"/>
        <v>0.99320003645563792</v>
      </c>
      <c r="I24" s="225">
        <f t="shared" si="7"/>
        <v>3.4665341973433806E-3</v>
      </c>
      <c r="J24" s="225">
        <f t="shared" si="8"/>
        <v>2.7440118455812289E-3</v>
      </c>
      <c r="K24" s="225">
        <f t="shared" si="9"/>
        <v>4.8152152339659972E-4</v>
      </c>
      <c r="L24" s="893">
        <f t="shared" si="10"/>
        <v>1.078959780409241E-4</v>
      </c>
      <c r="M24" s="857"/>
      <c r="Q24" s="850"/>
      <c r="R24" s="858"/>
      <c r="S24" s="858"/>
      <c r="U24" s="25"/>
      <c r="V24" s="763"/>
      <c r="W24" s="822"/>
    </row>
    <row r="25" spans="1:23" ht="13">
      <c r="A25" s="240"/>
      <c r="B25" s="423">
        <v>4</v>
      </c>
      <c r="C25" s="891">
        <f t="shared" si="0"/>
        <v>1799999991.5</v>
      </c>
      <c r="D25" s="892">
        <f t="shared" si="1"/>
        <v>5963979.6600000001</v>
      </c>
      <c r="E25" s="892">
        <f t="shared" si="2"/>
        <v>5640605.0300000003</v>
      </c>
      <c r="F25" s="892">
        <f t="shared" si="3"/>
        <v>3166805.23</v>
      </c>
      <c r="G25" s="892">
        <f t="shared" si="4"/>
        <v>1020162.48</v>
      </c>
      <c r="H25" s="515">
        <f t="shared" si="6"/>
        <v>0.99122691529190488</v>
      </c>
      <c r="I25" s="225">
        <f t="shared" si="7"/>
        <v>3.3133220489795765E-3</v>
      </c>
      <c r="J25" s="225">
        <f t="shared" si="8"/>
        <v>3.1336694759089949E-3</v>
      </c>
      <c r="K25" s="225">
        <f t="shared" si="9"/>
        <v>1.7593362471968656E-3</v>
      </c>
      <c r="L25" s="893">
        <f t="shared" si="10"/>
        <v>5.6675693600968552E-4</v>
      </c>
      <c r="M25" s="848"/>
      <c r="N25" s="819"/>
      <c r="O25" s="822"/>
      <c r="P25" s="819"/>
      <c r="Q25" s="859"/>
      <c r="R25" s="860"/>
      <c r="S25" s="858"/>
      <c r="T25" s="819"/>
      <c r="U25" s="25"/>
      <c r="V25" s="763"/>
      <c r="W25" s="852"/>
    </row>
    <row r="26" spans="1:23" ht="13">
      <c r="A26" s="240"/>
      <c r="B26" s="423">
        <v>5</v>
      </c>
      <c r="C26" s="891">
        <f t="shared" si="0"/>
        <v>1799999993.97</v>
      </c>
      <c r="D26" s="892">
        <f t="shared" si="1"/>
        <v>6549435.0700000003</v>
      </c>
      <c r="E26" s="892">
        <f t="shared" si="2"/>
        <v>5068350.47</v>
      </c>
      <c r="F26" s="892">
        <f t="shared" si="3"/>
        <v>3154504.95</v>
      </c>
      <c r="G26" s="892">
        <f t="shared" si="4"/>
        <v>3340625.38</v>
      </c>
      <c r="H26" s="515">
        <f t="shared" si="6"/>
        <v>0.98993726892740086</v>
      </c>
      <c r="I26" s="225">
        <f t="shared" si="7"/>
        <v>3.6385750510781155E-3</v>
      </c>
      <c r="J26" s="225">
        <f t="shared" si="8"/>
        <v>2.8157502705438743E-3</v>
      </c>
      <c r="K26" s="225">
        <f t="shared" si="9"/>
        <v>1.7525027558708843E-3</v>
      </c>
      <c r="L26" s="893">
        <f t="shared" si="10"/>
        <v>1.8559029951061639E-3</v>
      </c>
      <c r="M26" s="316"/>
      <c r="Q26" s="850"/>
      <c r="R26" s="851"/>
      <c r="S26" s="850"/>
      <c r="T26" s="25"/>
      <c r="U26" s="718"/>
      <c r="V26" s="25"/>
      <c r="W26" s="25"/>
    </row>
    <row r="27" spans="1:23" ht="13">
      <c r="A27" s="240"/>
      <c r="B27" s="423">
        <v>6</v>
      </c>
      <c r="C27" s="891">
        <f t="shared" si="0"/>
        <v>1799999998.4200001</v>
      </c>
      <c r="D27" s="892">
        <f t="shared" si="1"/>
        <v>6277838.8200000003</v>
      </c>
      <c r="E27" s="892">
        <f t="shared" si="2"/>
        <v>5527447.4199999999</v>
      </c>
      <c r="F27" s="892">
        <f t="shared" si="3"/>
        <v>3012488.71</v>
      </c>
      <c r="G27" s="892">
        <f t="shared" si="4"/>
        <v>3870498.36</v>
      </c>
      <c r="H27" s="515">
        <f t="shared" si="6"/>
        <v>0.98961762592977554</v>
      </c>
      <c r="I27" s="225">
        <f t="shared" si="7"/>
        <v>3.4876882363947485E-3</v>
      </c>
      <c r="J27" s="225">
        <f t="shared" si="8"/>
        <v>3.0708041249177058E-3</v>
      </c>
      <c r="K27" s="225">
        <f t="shared" si="9"/>
        <v>1.6736048403579418E-3</v>
      </c>
      <c r="L27" s="893">
        <f t="shared" si="10"/>
        <v>2.1502768685541318E-3</v>
      </c>
      <c r="M27" s="316"/>
      <c r="Q27" s="850"/>
      <c r="R27" s="851"/>
      <c r="S27" s="850"/>
      <c r="T27" s="25"/>
      <c r="U27" s="718"/>
      <c r="V27" s="25"/>
      <c r="W27" s="25"/>
    </row>
    <row r="28" spans="1:23" ht="13">
      <c r="A28" s="240"/>
      <c r="B28" s="423">
        <v>7</v>
      </c>
      <c r="C28" s="891">
        <f t="shared" si="0"/>
        <v>1799999986.54</v>
      </c>
      <c r="D28" s="892">
        <f t="shared" si="1"/>
        <v>6655977.5800000001</v>
      </c>
      <c r="E28" s="892">
        <f t="shared" si="2"/>
        <v>5191130.95</v>
      </c>
      <c r="F28" s="892">
        <f t="shared" si="3"/>
        <v>3407325.83</v>
      </c>
      <c r="G28" s="892">
        <f t="shared" si="4"/>
        <v>4039360.98</v>
      </c>
      <c r="H28" s="515">
        <f t="shared" si="6"/>
        <v>0.98928122473095859</v>
      </c>
      <c r="I28" s="225">
        <f t="shared" si="7"/>
        <v>3.6977653498732901E-3</v>
      </c>
      <c r="J28" s="225">
        <f t="shared" si="8"/>
        <v>2.8839616604545136E-3</v>
      </c>
      <c r="K28" s="225">
        <f t="shared" si="9"/>
        <v>1.8929588085995698E-3</v>
      </c>
      <c r="L28" s="893">
        <f t="shared" si="10"/>
        <v>2.2440894501141355E-3</v>
      </c>
      <c r="M28" s="316"/>
      <c r="O28" s="856"/>
      <c r="Q28" s="850"/>
      <c r="R28" s="858"/>
      <c r="S28" s="858"/>
      <c r="U28" s="25"/>
      <c r="V28" s="25"/>
      <c r="W28" s="25"/>
    </row>
    <row r="29" spans="1:23" ht="13">
      <c r="A29" s="240"/>
      <c r="B29" s="423">
        <v>8</v>
      </c>
      <c r="C29" s="891">
        <f t="shared" si="0"/>
        <v>1799999989.6300001</v>
      </c>
      <c r="D29" s="892">
        <f t="shared" si="1"/>
        <v>6989530.2400000002</v>
      </c>
      <c r="E29" s="892">
        <f t="shared" si="2"/>
        <v>6091686.4400000004</v>
      </c>
      <c r="F29" s="892">
        <f t="shared" si="3"/>
        <v>3286422.04</v>
      </c>
      <c r="G29" s="892">
        <f t="shared" si="4"/>
        <v>3722868.68</v>
      </c>
      <c r="H29" s="515">
        <f t="shared" si="6"/>
        <v>0.98883860693569792</v>
      </c>
      <c r="I29" s="225">
        <f t="shared" si="7"/>
        <v>3.8830723779263668E-3</v>
      </c>
      <c r="J29" s="225">
        <f t="shared" si="8"/>
        <v>3.3842702639416016E-3</v>
      </c>
      <c r="K29" s="225">
        <f t="shared" si="9"/>
        <v>1.8257900327408013E-3</v>
      </c>
      <c r="L29" s="893">
        <f t="shared" si="10"/>
        <v>2.0682603896932557E-3</v>
      </c>
      <c r="M29" s="316"/>
      <c r="Q29" s="850"/>
      <c r="R29" s="858"/>
      <c r="S29" s="858"/>
      <c r="U29" s="25"/>
      <c r="V29" s="25"/>
      <c r="W29" s="25"/>
    </row>
    <row r="30" spans="1:23" ht="13">
      <c r="A30" s="240"/>
      <c r="B30" s="423">
        <v>9</v>
      </c>
      <c r="C30" s="891">
        <f t="shared" si="0"/>
        <v>1799999997.6199999</v>
      </c>
      <c r="D30" s="892">
        <f t="shared" si="1"/>
        <v>7133920.0300000003</v>
      </c>
      <c r="E30" s="892">
        <f t="shared" si="2"/>
        <v>6233651.4100000001</v>
      </c>
      <c r="F30" s="892">
        <f t="shared" si="3"/>
        <v>3951906.29</v>
      </c>
      <c r="G30" s="892">
        <f t="shared" si="4"/>
        <v>3968753.9</v>
      </c>
      <c r="H30" s="515">
        <f t="shared" si="6"/>
        <v>0.98817320463436231</v>
      </c>
      <c r="I30" s="225">
        <f t="shared" si="7"/>
        <v>3.9632889107959045E-3</v>
      </c>
      <c r="J30" s="225">
        <f t="shared" si="8"/>
        <v>3.4631396768012627E-3</v>
      </c>
      <c r="K30" s="225">
        <f t="shared" si="9"/>
        <v>2.1955034973473882E-3</v>
      </c>
      <c r="L30" s="893">
        <f t="shared" si="10"/>
        <v>2.2048632806930973E-3</v>
      </c>
      <c r="M30" s="848"/>
      <c r="N30" s="819"/>
      <c r="O30" s="822"/>
      <c r="P30" s="819"/>
      <c r="Q30" s="861"/>
      <c r="R30" s="860"/>
      <c r="S30" s="858"/>
      <c r="T30" s="819"/>
      <c r="U30" s="822"/>
      <c r="V30" s="25"/>
      <c r="W30" s="25"/>
    </row>
    <row r="31" spans="1:23" ht="13">
      <c r="A31" s="240"/>
      <c r="B31" s="423">
        <v>10</v>
      </c>
      <c r="C31" s="891">
        <f t="shared" si="0"/>
        <v>1799999984.7</v>
      </c>
      <c r="D31" s="892">
        <f t="shared" si="1"/>
        <v>7100911.4400000004</v>
      </c>
      <c r="E31" s="892">
        <f t="shared" si="2"/>
        <v>6845812.2199999997</v>
      </c>
      <c r="F31" s="892">
        <f t="shared" si="3"/>
        <v>3913890.47</v>
      </c>
      <c r="G31" s="892">
        <f t="shared" si="4"/>
        <v>4226440.32</v>
      </c>
      <c r="H31" s="515">
        <f t="shared" si="6"/>
        <v>0.98772941409014448</v>
      </c>
      <c r="I31" s="225">
        <f t="shared" si="7"/>
        <v>3.9449508335320819E-3</v>
      </c>
      <c r="J31" s="225">
        <f t="shared" si="8"/>
        <v>3.8032290434385579E-3</v>
      </c>
      <c r="K31" s="225">
        <f t="shared" si="9"/>
        <v>2.1743836129267053E-3</v>
      </c>
      <c r="L31" s="893">
        <f t="shared" si="10"/>
        <v>2.3480224199581906E-3</v>
      </c>
      <c r="M31" s="316"/>
      <c r="Q31" s="850"/>
      <c r="R31" s="851"/>
      <c r="S31" s="850"/>
      <c r="T31" s="25"/>
      <c r="U31" s="718"/>
      <c r="V31" s="25"/>
      <c r="W31" s="25"/>
    </row>
    <row r="32" spans="1:23" ht="13">
      <c r="A32" s="240"/>
      <c r="B32" s="423">
        <v>11</v>
      </c>
      <c r="C32" s="891">
        <f t="shared" si="0"/>
        <v>1799999992.8399999</v>
      </c>
      <c r="D32" s="892">
        <f t="shared" si="1"/>
        <v>7461489.7400000002</v>
      </c>
      <c r="E32" s="892">
        <f t="shared" si="2"/>
        <v>7241101.4800000004</v>
      </c>
      <c r="F32" s="892">
        <f t="shared" si="3"/>
        <v>4275039.66</v>
      </c>
      <c r="G32" s="892">
        <f t="shared" si="4"/>
        <v>4343151.6100000003</v>
      </c>
      <c r="H32" s="515">
        <f t="shared" si="6"/>
        <v>0.98704400967624173</v>
      </c>
      <c r="I32" s="225">
        <f t="shared" si="7"/>
        <v>4.1452720942667491E-3</v>
      </c>
      <c r="J32" s="225">
        <f t="shared" si="8"/>
        <v>4.0228341715574959E-3</v>
      </c>
      <c r="K32" s="225">
        <f t="shared" si="9"/>
        <v>2.3750220427806432E-3</v>
      </c>
      <c r="L32" s="893">
        <f t="shared" si="10"/>
        <v>2.4128620151533846E-3</v>
      </c>
      <c r="M32" s="316"/>
      <c r="Q32" s="850"/>
      <c r="R32" s="851"/>
      <c r="S32" s="850"/>
      <c r="T32" s="25"/>
      <c r="U32" s="718"/>
      <c r="V32" s="25"/>
      <c r="W32" s="25"/>
    </row>
    <row r="33" spans="1:23" ht="13">
      <c r="A33" s="240"/>
      <c r="B33" s="423">
        <v>12</v>
      </c>
      <c r="C33" s="891">
        <f t="shared" si="0"/>
        <v>1799999993.5799999</v>
      </c>
      <c r="D33" s="892">
        <f t="shared" si="1"/>
        <v>8614820.8699999992</v>
      </c>
      <c r="E33" s="892">
        <f t="shared" si="2"/>
        <v>7514271.6200000001</v>
      </c>
      <c r="F33" s="892">
        <f t="shared" si="3"/>
        <v>4335660.83</v>
      </c>
      <c r="G33" s="892">
        <f t="shared" si="4"/>
        <v>4808361.93</v>
      </c>
      <c r="H33" s="515">
        <f t="shared" si="6"/>
        <v>0.98595938036658859</v>
      </c>
      <c r="I33" s="225">
        <f t="shared" si="7"/>
        <v>4.7860116115145523E-3</v>
      </c>
      <c r="J33" s="225">
        <f t="shared" si="8"/>
        <v>4.174595359333835E-3</v>
      </c>
      <c r="K33" s="225">
        <f t="shared" si="9"/>
        <v>2.4087004697021428E-3</v>
      </c>
      <c r="L33" s="893">
        <f t="shared" si="10"/>
        <v>2.6713121928610135E-3</v>
      </c>
      <c r="M33" s="316"/>
      <c r="O33" s="856"/>
      <c r="Q33" s="850"/>
      <c r="R33" s="858"/>
      <c r="S33" s="858"/>
      <c r="U33" s="25"/>
      <c r="V33" s="25"/>
      <c r="W33" s="25"/>
    </row>
    <row r="34" spans="1:23" ht="13">
      <c r="A34" s="240"/>
      <c r="B34" s="423">
        <v>13</v>
      </c>
      <c r="C34" s="891">
        <f t="shared" si="0"/>
        <v>1799999958.8499999</v>
      </c>
      <c r="D34" s="892">
        <f t="shared" si="1"/>
        <v>8149643.4299999997</v>
      </c>
      <c r="E34" s="892">
        <f t="shared" si="2"/>
        <v>7414728.3799999999</v>
      </c>
      <c r="F34" s="892">
        <f t="shared" si="3"/>
        <v>5196772.53</v>
      </c>
      <c r="G34" s="892">
        <f t="shared" si="4"/>
        <v>4804992.51</v>
      </c>
      <c r="H34" s="515">
        <f t="shared" si="6"/>
        <v>0.9857965903141831</v>
      </c>
      <c r="I34" s="225">
        <f t="shared" si="7"/>
        <v>4.5275797868388383E-3</v>
      </c>
      <c r="J34" s="225">
        <f t="shared" si="8"/>
        <v>4.1192936386160745E-3</v>
      </c>
      <c r="K34" s="225">
        <f t="shared" si="9"/>
        <v>2.8870959160022208E-3</v>
      </c>
      <c r="L34" s="893">
        <f t="shared" si="10"/>
        <v>2.6694403443597056E-3</v>
      </c>
      <c r="M34" s="316"/>
      <c r="Q34" s="850"/>
      <c r="R34" s="858"/>
      <c r="S34" s="858"/>
      <c r="U34" s="25"/>
      <c r="V34" s="862"/>
      <c r="W34" s="822"/>
    </row>
    <row r="35" spans="1:23" ht="13">
      <c r="A35" s="240"/>
      <c r="B35" s="423">
        <v>14</v>
      </c>
      <c r="C35" s="891">
        <f t="shared" si="0"/>
        <v>1721647673.05</v>
      </c>
      <c r="D35" s="892">
        <f t="shared" si="1"/>
        <v>9154824.9199999999</v>
      </c>
      <c r="E35" s="892">
        <f t="shared" si="2"/>
        <v>7683441.0999999996</v>
      </c>
      <c r="F35" s="892">
        <f t="shared" si="3"/>
        <v>4571313.0599999996</v>
      </c>
      <c r="G35" s="892">
        <f t="shared" si="4"/>
        <v>5450520.4699999997</v>
      </c>
      <c r="H35" s="515">
        <f t="shared" si="6"/>
        <v>0.98439860839679483</v>
      </c>
      <c r="I35" s="225">
        <f t="shared" si="7"/>
        <v>5.3174787520734075E-3</v>
      </c>
      <c r="J35" s="225">
        <f t="shared" si="8"/>
        <v>4.4628417418230131E-3</v>
      </c>
      <c r="K35" s="225">
        <f t="shared" si="9"/>
        <v>2.6551966070396098E-3</v>
      </c>
      <c r="L35" s="893">
        <f t="shared" si="10"/>
        <v>3.1658745022691446E-3</v>
      </c>
      <c r="M35" s="848"/>
      <c r="N35" s="819"/>
      <c r="O35" s="822"/>
      <c r="P35" s="819"/>
      <c r="Q35" s="861"/>
      <c r="R35" s="860"/>
      <c r="S35" s="858"/>
      <c r="U35" s="25"/>
      <c r="V35" s="25"/>
      <c r="W35" s="25"/>
    </row>
    <row r="36" spans="1:23" ht="13">
      <c r="A36" s="240"/>
      <c r="B36" s="423">
        <v>15</v>
      </c>
      <c r="C36" s="891">
        <f t="shared" si="0"/>
        <v>1658715590.6800001</v>
      </c>
      <c r="D36" s="892">
        <f t="shared" si="1"/>
        <v>8019501.54</v>
      </c>
      <c r="E36" s="892">
        <f t="shared" si="2"/>
        <v>7716322.1399999997</v>
      </c>
      <c r="F36" s="892">
        <f t="shared" si="3"/>
        <v>4957459.62</v>
      </c>
      <c r="G36" s="892">
        <f t="shared" si="4"/>
        <v>5141187.28</v>
      </c>
      <c r="H36" s="515">
        <f t="shared" si="6"/>
        <v>0.98442501491807344</v>
      </c>
      <c r="I36" s="225">
        <f t="shared" si="7"/>
        <v>4.8347658785267457E-3</v>
      </c>
      <c r="J36" s="225">
        <f t="shared" si="8"/>
        <v>4.6519862617536789E-3</v>
      </c>
      <c r="K36" s="225">
        <f t="shared" si="9"/>
        <v>2.9887339625038799E-3</v>
      </c>
      <c r="L36" s="893">
        <f t="shared" si="10"/>
        <v>3.0994989791422534E-3</v>
      </c>
      <c r="M36" s="316"/>
      <c r="Q36" s="850"/>
      <c r="R36" s="851"/>
      <c r="S36" s="850"/>
      <c r="T36" s="25"/>
      <c r="U36" s="718"/>
      <c r="V36" s="25"/>
      <c r="W36" s="25"/>
    </row>
    <row r="37" spans="1:23" ht="13">
      <c r="A37" s="240"/>
      <c r="B37" s="423">
        <v>16</v>
      </c>
      <c r="C37" s="891">
        <f t="shared" si="0"/>
        <v>1579516526.0799999</v>
      </c>
      <c r="D37" s="892">
        <f t="shared" si="1"/>
        <v>2156410.29</v>
      </c>
      <c r="E37" s="892">
        <f t="shared" si="2"/>
        <v>5288311.38</v>
      </c>
      <c r="F37" s="892">
        <f t="shared" si="3"/>
        <v>5855455.6200000001</v>
      </c>
      <c r="G37" s="892">
        <f t="shared" si="4"/>
        <v>8834829.6500000004</v>
      </c>
      <c r="H37" s="515">
        <f t="shared" si="6"/>
        <v>0.98598621377204954</v>
      </c>
      <c r="I37" s="225">
        <f t="shared" si="7"/>
        <v>1.365234395712034E-3</v>
      </c>
      <c r="J37" s="225">
        <f t="shared" si="8"/>
        <v>3.3480570115492136E-3</v>
      </c>
      <c r="K37" s="225">
        <f t="shared" si="9"/>
        <v>3.7071189337486115E-3</v>
      </c>
      <c r="L37" s="893">
        <f t="shared" si="10"/>
        <v>5.5933758869405655E-3</v>
      </c>
      <c r="M37" s="316"/>
      <c r="Q37" s="850"/>
      <c r="R37" s="851"/>
      <c r="S37" s="850"/>
      <c r="T37" s="25"/>
      <c r="U37" s="718"/>
      <c r="V37" s="25"/>
      <c r="W37" s="25"/>
    </row>
    <row r="38" spans="1:23" ht="13">
      <c r="A38" s="240"/>
      <c r="B38" s="423">
        <v>17</v>
      </c>
      <c r="C38" s="891">
        <f t="shared" si="0"/>
        <v>1504720267.3</v>
      </c>
      <c r="D38" s="892">
        <f t="shared" si="1"/>
        <v>6103836.0999999996</v>
      </c>
      <c r="E38" s="892">
        <f t="shared" si="2"/>
        <v>6642996.2699999996</v>
      </c>
      <c r="F38" s="892">
        <f t="shared" si="3"/>
        <v>5178304.37</v>
      </c>
      <c r="G38" s="892">
        <f t="shared" si="4"/>
        <v>5506748.6600000001</v>
      </c>
      <c r="H38" s="515">
        <f t="shared" si="6"/>
        <v>0.98442774653255327</v>
      </c>
      <c r="I38" s="225">
        <f t="shared" si="7"/>
        <v>4.0564590194245463E-3</v>
      </c>
      <c r="J38" s="225">
        <f t="shared" si="8"/>
        <v>4.4147715787199986E-3</v>
      </c>
      <c r="K38" s="225">
        <f t="shared" si="9"/>
        <v>3.4413734449737351E-3</v>
      </c>
      <c r="L38" s="893">
        <f t="shared" si="10"/>
        <v>3.6596494243285854E-3</v>
      </c>
      <c r="M38" s="316"/>
      <c r="O38" s="856"/>
      <c r="Q38" s="850"/>
      <c r="R38" s="858"/>
      <c r="S38" s="858"/>
      <c r="U38" s="25"/>
      <c r="V38" s="25"/>
      <c r="W38" s="25"/>
    </row>
    <row r="39" spans="1:23" ht="13">
      <c r="A39" s="240"/>
      <c r="B39" s="423">
        <v>18</v>
      </c>
      <c r="C39" s="891">
        <f t="shared" si="0"/>
        <v>1432703420.5699999</v>
      </c>
      <c r="D39" s="892">
        <f t="shared" si="1"/>
        <v>2260407.34</v>
      </c>
      <c r="E39" s="892">
        <f t="shared" si="2"/>
        <v>9054085.6999999993</v>
      </c>
      <c r="F39" s="892">
        <f t="shared" si="3"/>
        <v>5365320.18</v>
      </c>
      <c r="G39" s="892">
        <f t="shared" si="4"/>
        <v>5974539.8099999996</v>
      </c>
      <c r="H39" s="515">
        <f t="shared" si="6"/>
        <v>0.98418768832073633</v>
      </c>
      <c r="I39" s="225">
        <f t="shared" si="7"/>
        <v>1.5777217444631344E-3</v>
      </c>
      <c r="J39" s="225">
        <f t="shared" si="8"/>
        <v>6.3195812685348639E-3</v>
      </c>
      <c r="K39" s="225">
        <f t="shared" si="9"/>
        <v>3.7448924201391319E-3</v>
      </c>
      <c r="L39" s="893">
        <f t="shared" si="10"/>
        <v>4.1701162461265243E-3</v>
      </c>
      <c r="M39" s="316"/>
      <c r="Q39" s="850"/>
      <c r="R39" s="858"/>
      <c r="S39" s="858"/>
      <c r="U39" s="25"/>
      <c r="V39" s="25"/>
      <c r="W39" s="823"/>
    </row>
    <row r="40" spans="1:23" ht="13">
      <c r="A40" s="240"/>
      <c r="B40" s="423">
        <v>19</v>
      </c>
      <c r="C40" s="891">
        <f t="shared" si="0"/>
        <v>1366855787.27</v>
      </c>
      <c r="D40" s="892">
        <f t="shared" si="1"/>
        <v>5370518.8099999996</v>
      </c>
      <c r="E40" s="892">
        <f t="shared" si="2"/>
        <v>5457118.4500000002</v>
      </c>
      <c r="F40" s="892">
        <f t="shared" si="3"/>
        <v>5095288.1900000004</v>
      </c>
      <c r="G40" s="892">
        <f t="shared" si="4"/>
        <v>6238919.1699999999</v>
      </c>
      <c r="H40" s="515">
        <f t="shared" si="6"/>
        <v>0.98378625980414247</v>
      </c>
      <c r="I40" s="225">
        <f t="shared" si="7"/>
        <v>3.9291041966661704E-3</v>
      </c>
      <c r="J40" s="225">
        <f t="shared" si="8"/>
        <v>3.9924610195340498E-3</v>
      </c>
      <c r="K40" s="225">
        <f t="shared" si="9"/>
        <v>3.7277438025680389E-3</v>
      </c>
      <c r="L40" s="893">
        <f t="shared" si="10"/>
        <v>4.564431177089206E-3</v>
      </c>
      <c r="M40" s="848"/>
      <c r="O40" s="849"/>
      <c r="P40" s="25"/>
      <c r="Q40" s="850"/>
      <c r="R40" s="851"/>
      <c r="S40" s="851"/>
      <c r="T40" s="25"/>
      <c r="U40" s="25"/>
      <c r="V40" s="25"/>
      <c r="W40" s="25"/>
    </row>
    <row r="41" spans="1:23" ht="13">
      <c r="A41" s="240"/>
      <c r="B41" s="423">
        <v>20</v>
      </c>
      <c r="C41" s="891">
        <f t="shared" si="0"/>
        <v>1301382552.8299999</v>
      </c>
      <c r="D41" s="892">
        <f t="shared" si="1"/>
        <v>2149017.19</v>
      </c>
      <c r="E41" s="892">
        <f t="shared" si="2"/>
        <v>5760350.4900000002</v>
      </c>
      <c r="F41" s="892">
        <f t="shared" si="3"/>
        <v>4844307.25</v>
      </c>
      <c r="G41" s="892">
        <f t="shared" si="4"/>
        <v>8429770.8900000006</v>
      </c>
      <c r="H41" s="515">
        <f t="shared" si="6"/>
        <v>0.98372235298995336</v>
      </c>
      <c r="I41" s="225">
        <f t="shared" si="7"/>
        <v>1.6513339489043594E-3</v>
      </c>
      <c r="J41" s="225">
        <f t="shared" si="8"/>
        <v>4.4263314253548906E-3</v>
      </c>
      <c r="K41" s="225">
        <f t="shared" si="9"/>
        <v>3.7224313784332821E-3</v>
      </c>
      <c r="L41" s="893">
        <f t="shared" si="10"/>
        <v>6.4775502573540221E-3</v>
      </c>
      <c r="M41" s="316"/>
      <c r="N41" s="25"/>
      <c r="O41" s="25"/>
      <c r="P41" s="25"/>
      <c r="Q41" s="850"/>
      <c r="R41" s="851"/>
      <c r="S41" s="850"/>
      <c r="T41" s="25"/>
      <c r="U41" s="718"/>
      <c r="V41" s="25"/>
      <c r="W41" s="25"/>
    </row>
    <row r="42" spans="1:23" ht="13">
      <c r="A42" s="240"/>
      <c r="B42" s="423">
        <v>21</v>
      </c>
      <c r="C42" s="891">
        <f t="shared" si="0"/>
        <v>1243335118.53</v>
      </c>
      <c r="D42" s="892">
        <f t="shared" si="1"/>
        <v>4753479.16</v>
      </c>
      <c r="E42" s="892">
        <f t="shared" si="2"/>
        <v>2338223.15</v>
      </c>
      <c r="F42" s="892">
        <f t="shared" si="3"/>
        <v>5410463.6500000004</v>
      </c>
      <c r="G42" s="892">
        <f t="shared" si="4"/>
        <v>7949872.4000000004</v>
      </c>
      <c r="H42" s="515">
        <f t="shared" si="6"/>
        <v>0.98355066300694471</v>
      </c>
      <c r="I42" s="225">
        <f t="shared" si="7"/>
        <v>3.8231680977692138E-3</v>
      </c>
      <c r="J42" s="225">
        <f t="shared" si="8"/>
        <v>1.8806057314334453E-3</v>
      </c>
      <c r="K42" s="225">
        <f t="shared" si="9"/>
        <v>4.3515730951095575E-3</v>
      </c>
      <c r="L42" s="893">
        <f t="shared" si="10"/>
        <v>6.3939900687428226E-3</v>
      </c>
      <c r="M42" s="316"/>
      <c r="N42" s="25"/>
      <c r="O42" s="25"/>
      <c r="P42" s="25"/>
      <c r="Q42" s="850"/>
      <c r="R42" s="851"/>
      <c r="S42" s="850"/>
      <c r="T42" s="25"/>
      <c r="U42" s="718"/>
      <c r="V42" s="25"/>
      <c r="W42" s="25"/>
    </row>
    <row r="43" spans="1:23" ht="13">
      <c r="A43" s="240"/>
      <c r="B43" s="423">
        <v>22</v>
      </c>
      <c r="C43" s="891">
        <f t="shared" si="0"/>
        <v>1189492514.2</v>
      </c>
      <c r="D43" s="892">
        <f t="shared" si="1"/>
        <v>5484736.3200000003</v>
      </c>
      <c r="E43" s="892">
        <f t="shared" si="2"/>
        <v>5666697.2599999998</v>
      </c>
      <c r="F43" s="892">
        <f t="shared" si="3"/>
        <v>4538040.41</v>
      </c>
      <c r="G43" s="892">
        <f t="shared" si="4"/>
        <v>5916666.6100000003</v>
      </c>
      <c r="H43" s="515">
        <f t="shared" si="6"/>
        <v>0.981835833061521</v>
      </c>
      <c r="I43" s="225">
        <f t="shared" si="7"/>
        <v>4.6109885136089244E-3</v>
      </c>
      <c r="J43" s="225">
        <f t="shared" si="8"/>
        <v>4.7639621034615501E-3</v>
      </c>
      <c r="K43" s="225">
        <f t="shared" si="9"/>
        <v>3.8151063212466577E-3</v>
      </c>
      <c r="L43" s="893">
        <f t="shared" si="10"/>
        <v>4.9741100001619498E-3</v>
      </c>
      <c r="M43" s="316"/>
      <c r="N43" s="25"/>
      <c r="O43" s="856"/>
      <c r="P43" s="25"/>
      <c r="Q43" s="850"/>
      <c r="R43" s="851"/>
      <c r="S43" s="851"/>
      <c r="T43" s="25"/>
      <c r="U43" s="25"/>
      <c r="V43" s="25"/>
      <c r="W43" s="822"/>
    </row>
    <row r="44" spans="1:23" ht="13">
      <c r="A44" s="240"/>
      <c r="B44" s="423">
        <v>23</v>
      </c>
      <c r="C44" s="891">
        <f t="shared" si="0"/>
        <v>1137704113.1300001</v>
      </c>
      <c r="D44" s="892">
        <f t="shared" si="1"/>
        <v>1757770.17</v>
      </c>
      <c r="E44" s="892">
        <f t="shared" si="2"/>
        <v>4233101.5599999996</v>
      </c>
      <c r="F44" s="892">
        <f t="shared" si="3"/>
        <v>4546757.95</v>
      </c>
      <c r="G44" s="892">
        <f t="shared" si="4"/>
        <v>7527347.5199999996</v>
      </c>
      <c r="H44" s="515">
        <f t="shared" si="6"/>
        <v>0.98412155059341355</v>
      </c>
      <c r="I44" s="225">
        <f t="shared" si="7"/>
        <v>1.5450152194353083E-3</v>
      </c>
      <c r="J44" s="225">
        <f t="shared" si="8"/>
        <v>3.7207403147678547E-3</v>
      </c>
      <c r="K44" s="225">
        <f t="shared" si="9"/>
        <v>3.9964327258087918E-3</v>
      </c>
      <c r="L44" s="893">
        <f t="shared" si="10"/>
        <v>6.6162611465744826E-3</v>
      </c>
      <c r="M44" s="316"/>
      <c r="O44" s="25"/>
      <c r="P44" s="25"/>
      <c r="Q44" s="850"/>
      <c r="R44" s="851"/>
      <c r="S44" s="851"/>
      <c r="T44" s="25"/>
      <c r="U44" s="25"/>
      <c r="V44" s="25"/>
      <c r="W44" s="827"/>
    </row>
    <row r="45" spans="1:23" ht="13">
      <c r="A45" s="240"/>
      <c r="B45" s="423">
        <v>24</v>
      </c>
      <c r="C45" s="891">
        <f t="shared" si="0"/>
        <v>1091302713.23</v>
      </c>
      <c r="D45" s="892">
        <f t="shared" si="1"/>
        <v>5094657.88</v>
      </c>
      <c r="E45" s="892">
        <f t="shared" si="2"/>
        <v>1689545.81</v>
      </c>
      <c r="F45" s="892">
        <f t="shared" si="3"/>
        <v>4808622.74</v>
      </c>
      <c r="G45" s="892">
        <f t="shared" si="4"/>
        <v>7285895.5199999996</v>
      </c>
      <c r="H45" s="515">
        <f t="shared" si="6"/>
        <v>0.98270074680367703</v>
      </c>
      <c r="I45" s="225">
        <f t="shared" si="7"/>
        <v>4.6684185957175965E-3</v>
      </c>
      <c r="J45" s="225">
        <f t="shared" si="8"/>
        <v>1.5481917065883039E-3</v>
      </c>
      <c r="K45" s="225">
        <f t="shared" si="9"/>
        <v>4.406314289980646E-3</v>
      </c>
      <c r="L45" s="893">
        <f t="shared" si="10"/>
        <v>6.676328604036416E-3</v>
      </c>
      <c r="M45" s="848"/>
      <c r="O45" s="849"/>
      <c r="P45" s="25"/>
      <c r="Q45" s="850"/>
      <c r="R45" s="851"/>
      <c r="S45" s="851"/>
      <c r="T45" s="25"/>
      <c r="U45" s="25"/>
      <c r="V45" s="25"/>
      <c r="W45" s="718"/>
    </row>
    <row r="46" spans="1:23" ht="13">
      <c r="A46" s="240"/>
      <c r="B46" s="423">
        <v>25</v>
      </c>
      <c r="C46" s="891">
        <f t="shared" si="0"/>
        <v>1050040105.16</v>
      </c>
      <c r="D46" s="892">
        <f t="shared" si="1"/>
        <v>2059584.85</v>
      </c>
      <c r="E46" s="892">
        <f t="shared" si="2"/>
        <v>5233159.66</v>
      </c>
      <c r="F46" s="892">
        <f t="shared" si="3"/>
        <v>4294615.3</v>
      </c>
      <c r="G46" s="892">
        <f t="shared" si="4"/>
        <v>7814341.3200000003</v>
      </c>
      <c r="H46" s="515">
        <f t="shared" si="6"/>
        <v>0.98152289514023494</v>
      </c>
      <c r="I46" s="225">
        <f t="shared" si="7"/>
        <v>1.9614344631971657E-3</v>
      </c>
      <c r="J46" s="225">
        <f t="shared" si="8"/>
        <v>4.9837712238644414E-3</v>
      </c>
      <c r="K46" s="225">
        <f t="shared" si="9"/>
        <v>4.0899535921493282E-3</v>
      </c>
      <c r="L46" s="893">
        <f t="shared" si="10"/>
        <v>7.4419455805540772E-3</v>
      </c>
      <c r="M46" s="316"/>
      <c r="N46" s="25"/>
      <c r="O46" s="25"/>
      <c r="P46" s="25"/>
      <c r="Q46" s="850"/>
      <c r="R46" s="851"/>
      <c r="S46" s="850"/>
      <c r="T46" s="25"/>
      <c r="U46" s="718"/>
      <c r="V46" s="25"/>
      <c r="W46" s="25"/>
    </row>
    <row r="47" spans="1:23" ht="13">
      <c r="A47" s="240"/>
      <c r="B47" s="423">
        <v>26</v>
      </c>
      <c r="C47" s="891">
        <f t="shared" si="0"/>
        <v>1011546703.21</v>
      </c>
      <c r="D47" s="892">
        <f t="shared" si="1"/>
        <v>4456205.7699999996</v>
      </c>
      <c r="E47" s="892">
        <f t="shared" si="2"/>
        <v>1815264.82</v>
      </c>
      <c r="F47" s="892">
        <f t="shared" si="3"/>
        <v>4953579.13</v>
      </c>
      <c r="G47" s="892">
        <f t="shared" si="4"/>
        <v>6770256.79</v>
      </c>
      <c r="H47" s="515">
        <f t="shared" si="6"/>
        <v>0.98221010809199971</v>
      </c>
      <c r="I47" s="225">
        <f t="shared" si="7"/>
        <v>4.4053386322735893E-3</v>
      </c>
      <c r="J47" s="225">
        <f t="shared" si="8"/>
        <v>1.7945437558537975E-3</v>
      </c>
      <c r="K47" s="225">
        <f t="shared" si="9"/>
        <v>4.8970345257223604E-3</v>
      </c>
      <c r="L47" s="893">
        <f t="shared" si="10"/>
        <v>6.6929749941505917E-3</v>
      </c>
      <c r="M47" s="316"/>
      <c r="N47" s="25"/>
      <c r="O47" s="25"/>
      <c r="P47" s="25"/>
      <c r="Q47" s="850"/>
      <c r="R47" s="851"/>
      <c r="S47" s="850"/>
      <c r="T47" s="25"/>
      <c r="U47" s="718"/>
      <c r="V47" s="25"/>
      <c r="W47" s="25"/>
    </row>
    <row r="48" spans="1:23" ht="13">
      <c r="A48" s="240"/>
      <c r="B48" s="423">
        <v>27</v>
      </c>
      <c r="C48" s="891">
        <f t="shared" si="0"/>
        <v>979508496.28999996</v>
      </c>
      <c r="D48" s="892">
        <f t="shared" si="1"/>
        <v>4706084.9800000004</v>
      </c>
      <c r="E48" s="892">
        <f t="shared" si="2"/>
        <v>4781727.82</v>
      </c>
      <c r="F48" s="892">
        <f t="shared" si="3"/>
        <v>1417695.23</v>
      </c>
      <c r="G48" s="892">
        <f t="shared" si="4"/>
        <v>7880938.2800000003</v>
      </c>
      <c r="H48" s="515">
        <f t="shared" si="6"/>
        <v>0.98082053766643595</v>
      </c>
      <c r="I48" s="225">
        <f t="shared" si="7"/>
        <v>4.8045371712699108E-3</v>
      </c>
      <c r="J48" s="225">
        <f t="shared" si="8"/>
        <v>4.8817624738441163E-3</v>
      </c>
      <c r="K48" s="225">
        <f t="shared" si="9"/>
        <v>1.44735368337251E-3</v>
      </c>
      <c r="L48" s="893">
        <f t="shared" si="10"/>
        <v>8.0458090050774967E-3</v>
      </c>
      <c r="M48" s="316"/>
      <c r="N48" s="25"/>
      <c r="O48" s="856"/>
      <c r="P48" s="25"/>
      <c r="Q48" s="850"/>
      <c r="R48" s="851"/>
      <c r="S48" s="851"/>
      <c r="T48" s="25"/>
      <c r="U48" s="25"/>
      <c r="V48" s="25"/>
      <c r="W48" s="25"/>
    </row>
    <row r="49" spans="1:23" ht="12.75" customHeight="1">
      <c r="A49" s="240"/>
      <c r="B49" s="423">
        <v>28</v>
      </c>
      <c r="C49" s="891">
        <f t="shared" si="0"/>
        <v>940396572.92999995</v>
      </c>
      <c r="D49" s="892">
        <f t="shared" si="1"/>
        <v>1945485.7</v>
      </c>
      <c r="E49" s="892">
        <f t="shared" si="2"/>
        <v>4168293.21</v>
      </c>
      <c r="F49" s="892">
        <f t="shared" si="3"/>
        <v>4301529.82</v>
      </c>
      <c r="G49" s="892">
        <f t="shared" si="4"/>
        <v>7337130.7599999998</v>
      </c>
      <c r="H49" s="515">
        <f t="shared" si="6"/>
        <v>0.98112239027553161</v>
      </c>
      <c r="I49" s="225">
        <f t="shared" si="7"/>
        <v>2.0687928433622818E-3</v>
      </c>
      <c r="J49" s="225">
        <f t="shared" si="8"/>
        <v>4.4324844751537328E-3</v>
      </c>
      <c r="K49" s="225">
        <f t="shared" si="9"/>
        <v>4.5741657762508586E-3</v>
      </c>
      <c r="L49" s="893">
        <f t="shared" si="10"/>
        <v>7.8021666297013953E-3</v>
      </c>
      <c r="M49" s="316"/>
      <c r="Q49" s="863"/>
      <c r="S49" s="864"/>
      <c r="U49" s="25"/>
      <c r="V49" s="25"/>
      <c r="W49" s="25"/>
    </row>
    <row r="50" spans="1:23" ht="12.75" customHeight="1">
      <c r="A50" s="240"/>
      <c r="B50" s="423">
        <v>29</v>
      </c>
      <c r="C50" s="891">
        <f t="shared" si="0"/>
        <v>904083465.13</v>
      </c>
      <c r="D50" s="892">
        <f t="shared" si="1"/>
        <v>4901116.0999999996</v>
      </c>
      <c r="E50" s="892">
        <f t="shared" si="2"/>
        <v>4564945.1100000003</v>
      </c>
      <c r="F50" s="892">
        <f t="shared" si="3"/>
        <v>3265378.23</v>
      </c>
      <c r="G50" s="892">
        <f t="shared" si="4"/>
        <v>4891706.97</v>
      </c>
      <c r="H50" s="515">
        <f t="shared" si="6"/>
        <v>0.98050716876293498</v>
      </c>
      <c r="I50" s="225">
        <f t="shared" si="7"/>
        <v>5.4210880842680362E-3</v>
      </c>
      <c r="J50" s="225">
        <f t="shared" si="8"/>
        <v>5.0492518512586636E-3</v>
      </c>
      <c r="K50" s="225">
        <f t="shared" si="9"/>
        <v>3.6118105860175912E-3</v>
      </c>
      <c r="L50" s="893">
        <f t="shared" si="10"/>
        <v>5.410680715520675E-3</v>
      </c>
      <c r="M50" s="316"/>
      <c r="Q50" s="863"/>
      <c r="S50" s="864"/>
      <c r="U50" s="25"/>
      <c r="V50" s="25"/>
      <c r="W50" s="25"/>
    </row>
    <row r="51" spans="1:23" ht="12.75" customHeight="1">
      <c r="A51" s="240"/>
      <c r="B51" s="423">
        <v>30</v>
      </c>
      <c r="C51" s="891">
        <f t="shared" si="0"/>
        <v>867754835.40999997</v>
      </c>
      <c r="D51" s="892">
        <f t="shared" si="1"/>
        <v>1533474.44</v>
      </c>
      <c r="E51" s="892">
        <f t="shared" si="2"/>
        <v>6127716.8200000003</v>
      </c>
      <c r="F51" s="892">
        <f t="shared" si="3"/>
        <v>3270227.48</v>
      </c>
      <c r="G51" s="892">
        <f t="shared" si="4"/>
        <v>3810132.42</v>
      </c>
      <c r="H51" s="515">
        <f t="shared" si="6"/>
        <v>0.98301184786480045</v>
      </c>
      <c r="I51" s="225">
        <f t="shared" si="7"/>
        <v>1.7671747565376093E-3</v>
      </c>
      <c r="J51" s="225">
        <f t="shared" si="8"/>
        <v>7.0615761156833596E-3</v>
      </c>
      <c r="K51" s="225">
        <f t="shared" si="9"/>
        <v>3.7686076142172931E-3</v>
      </c>
      <c r="L51" s="893">
        <f t="shared" si="10"/>
        <v>4.3907936487611442E-3</v>
      </c>
      <c r="M51" s="316"/>
      <c r="Q51" s="863"/>
      <c r="S51" s="864"/>
      <c r="U51" s="25"/>
      <c r="V51" s="25"/>
      <c r="W51" s="25"/>
    </row>
    <row r="52" spans="1:23" ht="12.75" customHeight="1">
      <c r="A52" s="240"/>
      <c r="B52" s="423">
        <v>31</v>
      </c>
      <c r="C52" s="891">
        <f t="shared" si="0"/>
        <v>837573133.32000005</v>
      </c>
      <c r="D52" s="892">
        <f t="shared" si="1"/>
        <v>4796556.5</v>
      </c>
      <c r="E52" s="892">
        <f t="shared" si="2"/>
        <v>3678024.96</v>
      </c>
      <c r="F52" s="892">
        <f t="shared" si="3"/>
        <v>3464176.11</v>
      </c>
      <c r="G52" s="892">
        <f t="shared" si="4"/>
        <v>4968428.66</v>
      </c>
      <c r="H52" s="515">
        <f t="shared" si="6"/>
        <v>0.97981407765196249</v>
      </c>
      <c r="I52" s="225">
        <f t="shared" si="7"/>
        <v>5.7267315643080036E-3</v>
      </c>
      <c r="J52" s="225">
        <f t="shared" si="8"/>
        <v>4.3912881319639789E-3</v>
      </c>
      <c r="K52" s="225">
        <f t="shared" si="9"/>
        <v>4.1359685168847098E-3</v>
      </c>
      <c r="L52" s="893">
        <f t="shared" si="10"/>
        <v>5.9319341348808294E-3</v>
      </c>
      <c r="M52" s="316"/>
      <c r="Q52" s="863"/>
      <c r="S52" s="864"/>
      <c r="U52" s="25"/>
      <c r="V52" s="25"/>
      <c r="W52" s="25"/>
    </row>
    <row r="53" spans="1:23" ht="12.75" customHeight="1">
      <c r="A53" s="240"/>
      <c r="B53" s="423">
        <v>32</v>
      </c>
      <c r="C53" s="891">
        <f t="shared" si="0"/>
        <v>805344476.12</v>
      </c>
      <c r="D53" s="892">
        <f t="shared" si="1"/>
        <v>2122777.5099999998</v>
      </c>
      <c r="E53" s="892">
        <f t="shared" si="2"/>
        <v>3561041.38</v>
      </c>
      <c r="F53" s="892">
        <f t="shared" si="3"/>
        <v>3605145.19</v>
      </c>
      <c r="G53" s="892">
        <f t="shared" si="4"/>
        <v>6335455.5499999998</v>
      </c>
      <c r="H53" s="515">
        <f t="shared" si="6"/>
        <v>0.98059908512035054</v>
      </c>
      <c r="I53" s="225">
        <f t="shared" si="7"/>
        <v>2.6358627555591457E-3</v>
      </c>
      <c r="J53" s="225">
        <f t="shared" si="8"/>
        <v>4.4217617250650746E-3</v>
      </c>
      <c r="K53" s="225">
        <f t="shared" si="9"/>
        <v>4.4765256320735188E-3</v>
      </c>
      <c r="L53" s="893">
        <f t="shared" si="10"/>
        <v>7.8667647669517105E-3</v>
      </c>
      <c r="M53" s="316"/>
      <c r="Q53" s="863"/>
      <c r="S53" s="864"/>
      <c r="U53" s="25"/>
      <c r="V53" s="25"/>
      <c r="W53" s="25"/>
    </row>
    <row r="54" spans="1:23" ht="12.75" customHeight="1">
      <c r="A54" s="240"/>
      <c r="B54" s="423">
        <v>33</v>
      </c>
      <c r="C54" s="891">
        <f t="shared" ref="C54:C85" si="11">IF(B54&gt;$F$4,"",VLOOKUP(CONCATENATE("delinquency_",$B54),delinquencies_20,2,0))</f>
        <v>774337554.89999998</v>
      </c>
      <c r="D54" s="892">
        <f t="shared" ref="D54:D85" si="12">IF(B54&gt;$F$4,"",VLOOKUP(CONCATENATE("delinquency_",$B54),delinquencies_20,3,0))</f>
        <v>4473384.62</v>
      </c>
      <c r="E54" s="892">
        <f t="shared" ref="E54:E85" si="13">IF(B54&gt;$F$4,"",VLOOKUP(CONCATENATE("delinquency_",$B54),delinquencies_20,4,0))</f>
        <v>1535075.82</v>
      </c>
      <c r="F54" s="892">
        <f t="shared" ref="F54:F85" si="14">IF(B54&gt;$F$4,"",VLOOKUP(CONCATENATE("delinquency_",$B54),delinquencies_20,5,0))</f>
        <v>3309766.94</v>
      </c>
      <c r="G54" s="892">
        <f t="shared" ref="G54:G85" si="15">IF(B54&gt;$F$4,"",VLOOKUP(CONCATENATE("delinquency_",$B54),delinquencies_20,6,0))</f>
        <v>5941946.5300000003</v>
      </c>
      <c r="H54" s="515">
        <f t="shared" si="6"/>
        <v>0.98029260777365912</v>
      </c>
      <c r="I54" s="225">
        <f t="shared" si="7"/>
        <v>5.7770472214507341E-3</v>
      </c>
      <c r="J54" s="225">
        <f t="shared" si="8"/>
        <v>1.9824375174444997E-3</v>
      </c>
      <c r="K54" s="225">
        <f t="shared" si="9"/>
        <v>4.2743205712493593E-3</v>
      </c>
      <c r="L54" s="893">
        <f t="shared" si="10"/>
        <v>7.6735869161962044E-3</v>
      </c>
      <c r="M54" s="316"/>
      <c r="Q54" s="863"/>
      <c r="S54" s="864"/>
      <c r="U54" s="25"/>
      <c r="V54" s="25"/>
      <c r="W54" s="25"/>
    </row>
    <row r="55" spans="1:23" ht="12.75" customHeight="1">
      <c r="A55" s="240"/>
      <c r="B55" s="423">
        <v>34</v>
      </c>
      <c r="C55" s="891">
        <f t="shared" si="11"/>
        <v>744253182.51999998</v>
      </c>
      <c r="D55" s="892">
        <f t="shared" si="12"/>
        <v>2132407.4700000002</v>
      </c>
      <c r="E55" s="892">
        <f t="shared" si="13"/>
        <v>3503142.97</v>
      </c>
      <c r="F55" s="892">
        <f t="shared" si="14"/>
        <v>3669346.01</v>
      </c>
      <c r="G55" s="892">
        <f t="shared" si="15"/>
        <v>5342471.8499999996</v>
      </c>
      <c r="H55" s="515">
        <f t="shared" si="6"/>
        <v>0.98031937431506189</v>
      </c>
      <c r="I55" s="225">
        <f t="shared" si="7"/>
        <v>2.8651640598697701E-3</v>
      </c>
      <c r="J55" s="225">
        <f t="shared" si="8"/>
        <v>4.7069237354666763E-3</v>
      </c>
      <c r="K55" s="225">
        <f t="shared" si="9"/>
        <v>4.9302389243077172E-3</v>
      </c>
      <c r="L55" s="893">
        <f t="shared" si="10"/>
        <v>7.1782989652938887E-3</v>
      </c>
      <c r="M55" s="316"/>
      <c r="Q55" s="863"/>
      <c r="S55" s="864"/>
      <c r="U55" s="25"/>
      <c r="V55" s="25"/>
      <c r="W55" s="25"/>
    </row>
    <row r="56" spans="1:23" ht="12.75" customHeight="1">
      <c r="A56" s="240"/>
      <c r="B56" s="423">
        <v>35</v>
      </c>
      <c r="C56" s="891">
        <f t="shared" si="11"/>
        <v>714652736.22000003</v>
      </c>
      <c r="D56" s="892">
        <f t="shared" si="12"/>
        <v>1891767.24</v>
      </c>
      <c r="E56" s="892">
        <f t="shared" si="13"/>
        <v>4020922.4</v>
      </c>
      <c r="F56" s="892">
        <f t="shared" si="14"/>
        <v>2804854.34</v>
      </c>
      <c r="G56" s="892">
        <f t="shared" si="15"/>
        <v>5075477.04</v>
      </c>
      <c r="H56" s="515">
        <f t="shared" si="6"/>
        <v>0.9806996876651517</v>
      </c>
      <c r="I56" s="225">
        <f t="shared" si="7"/>
        <v>2.6471139675558939E-3</v>
      </c>
      <c r="J56" s="225">
        <f t="shared" si="8"/>
        <v>5.626400342728404E-3</v>
      </c>
      <c r="K56" s="225">
        <f t="shared" si="9"/>
        <v>3.9247794038201906E-3</v>
      </c>
      <c r="L56" s="893">
        <f t="shared" si="10"/>
        <v>7.1020186207438737E-3</v>
      </c>
      <c r="M56" s="316"/>
      <c r="Q56" s="863"/>
      <c r="S56" s="864"/>
      <c r="U56" s="25"/>
      <c r="V56" s="25"/>
      <c r="W56" s="25"/>
    </row>
    <row r="57" spans="1:23" ht="12.75" customHeight="1">
      <c r="A57" s="240"/>
      <c r="B57" s="423">
        <v>36</v>
      </c>
      <c r="C57" s="891">
        <f t="shared" si="11"/>
        <v>689208813.99000001</v>
      </c>
      <c r="D57" s="892">
        <f t="shared" si="12"/>
        <v>4015303.9</v>
      </c>
      <c r="E57" s="892">
        <f t="shared" si="13"/>
        <v>3507063.77</v>
      </c>
      <c r="F57" s="892">
        <f t="shared" si="14"/>
        <v>1245723.22</v>
      </c>
      <c r="G57" s="892">
        <f t="shared" si="15"/>
        <v>4597970.47</v>
      </c>
      <c r="H57" s="515">
        <f t="shared" si="6"/>
        <v>0.98060665927555313</v>
      </c>
      <c r="I57" s="225">
        <f t="shared" si="7"/>
        <v>5.8259613320300043E-3</v>
      </c>
      <c r="J57" s="225">
        <f t="shared" si="8"/>
        <v>5.0885358672312121E-3</v>
      </c>
      <c r="K57" s="225">
        <f t="shared" si="9"/>
        <v>1.807468498245402E-3</v>
      </c>
      <c r="L57" s="893">
        <f t="shared" si="10"/>
        <v>6.6713750269402584E-3</v>
      </c>
      <c r="M57" s="316"/>
      <c r="Q57" s="863"/>
      <c r="S57" s="864"/>
      <c r="U57" s="25"/>
      <c r="V57" s="25"/>
      <c r="W57" s="25"/>
    </row>
    <row r="58" spans="1:23" ht="12.75" customHeight="1">
      <c r="A58" s="240"/>
      <c r="B58" s="423">
        <v>37</v>
      </c>
      <c r="C58" s="891">
        <f t="shared" si="11"/>
        <v>664036503.01999998</v>
      </c>
      <c r="D58" s="892">
        <f t="shared" si="12"/>
        <v>1615005.19</v>
      </c>
      <c r="E58" s="892">
        <f t="shared" si="13"/>
        <v>3351474.16</v>
      </c>
      <c r="F58" s="892">
        <f t="shared" si="14"/>
        <v>3410957.12</v>
      </c>
      <c r="G58" s="892">
        <f t="shared" si="15"/>
        <v>4983436.8099999996</v>
      </c>
      <c r="H58" s="515">
        <f t="shared" si="6"/>
        <v>0.97987930901503839</v>
      </c>
      <c r="I58" s="225">
        <f t="shared" si="7"/>
        <v>2.4321030284555878E-3</v>
      </c>
      <c r="J58" s="225">
        <f t="shared" si="8"/>
        <v>5.0471233806540566E-3</v>
      </c>
      <c r="K58" s="225">
        <f t="shared" si="9"/>
        <v>5.1367012272475424E-3</v>
      </c>
      <c r="L58" s="893">
        <f t="shared" si="10"/>
        <v>7.5047633486045031E-3</v>
      </c>
      <c r="M58" s="316"/>
      <c r="Q58" s="863"/>
      <c r="S58" s="864"/>
      <c r="U58" s="25"/>
      <c r="V58" s="25"/>
      <c r="W58" s="25"/>
    </row>
    <row r="59" spans="1:23" ht="12.75" customHeight="1">
      <c r="A59" s="240"/>
      <c r="B59" s="423">
        <v>38</v>
      </c>
      <c r="C59" s="891">
        <f t="shared" si="11"/>
        <v>640143017.51999998</v>
      </c>
      <c r="D59" s="892">
        <f t="shared" si="12"/>
        <v>3820235.41</v>
      </c>
      <c r="E59" s="892">
        <f t="shared" si="13"/>
        <v>1299255.8899999999</v>
      </c>
      <c r="F59" s="892">
        <f t="shared" si="14"/>
        <v>2792930.92</v>
      </c>
      <c r="G59" s="892">
        <f t="shared" si="15"/>
        <v>5401686.2000000002</v>
      </c>
      <c r="H59" s="515">
        <f t="shared" si="6"/>
        <v>0.97920135336072145</v>
      </c>
      <c r="I59" s="225">
        <f t="shared" si="7"/>
        <v>5.9677842379662364E-3</v>
      </c>
      <c r="J59" s="225">
        <f t="shared" si="8"/>
        <v>2.0296337762668905E-3</v>
      </c>
      <c r="K59" s="225">
        <f t="shared" si="9"/>
        <v>4.3629795898113355E-3</v>
      </c>
      <c r="L59" s="893">
        <f t="shared" si="10"/>
        <v>8.438249035234123E-3</v>
      </c>
      <c r="M59" s="316"/>
      <c r="Q59" s="863"/>
      <c r="S59" s="864"/>
      <c r="U59" s="25"/>
      <c r="V59" s="25"/>
      <c r="W59" s="25"/>
    </row>
    <row r="60" spans="1:23" ht="12.75" customHeight="1">
      <c r="A60" s="240"/>
      <c r="B60" s="423">
        <v>39</v>
      </c>
      <c r="C60" s="891">
        <f t="shared" si="11"/>
        <v>618529801.11000001</v>
      </c>
      <c r="D60" s="892">
        <f t="shared" si="12"/>
        <v>3345055.5</v>
      </c>
      <c r="E60" s="892">
        <f t="shared" si="13"/>
        <v>3163187.63</v>
      </c>
      <c r="F60" s="892">
        <f t="shared" si="14"/>
        <v>2532583.65</v>
      </c>
      <c r="G60" s="892">
        <f t="shared" si="15"/>
        <v>3528784.9</v>
      </c>
      <c r="H60" s="515">
        <f t="shared" si="6"/>
        <v>0.97967824402730019</v>
      </c>
      <c r="I60" s="225">
        <f t="shared" si="7"/>
        <v>5.4080749124731532E-3</v>
      </c>
      <c r="J60" s="225">
        <f t="shared" si="8"/>
        <v>5.1140424023602624E-3</v>
      </c>
      <c r="K60" s="225">
        <f t="shared" si="9"/>
        <v>4.0945216308981083E-3</v>
      </c>
      <c r="L60" s="893">
        <f t="shared" si="10"/>
        <v>5.7051170269683364E-3</v>
      </c>
      <c r="M60" s="316"/>
      <c r="Q60" s="863"/>
      <c r="S60" s="864"/>
      <c r="U60" s="25"/>
      <c r="V60" s="25"/>
      <c r="W60" s="25"/>
    </row>
    <row r="61" spans="1:23" ht="12.75" customHeight="1">
      <c r="A61" s="240"/>
      <c r="B61" s="423">
        <v>40</v>
      </c>
      <c r="C61" s="891">
        <f t="shared" si="11"/>
        <v>593148563.20000005</v>
      </c>
      <c r="D61" s="892">
        <f t="shared" si="12"/>
        <v>1557008.81</v>
      </c>
      <c r="E61" s="892">
        <f t="shared" si="13"/>
        <v>2701841.43</v>
      </c>
      <c r="F61" s="892">
        <f t="shared" si="14"/>
        <v>2703966.97</v>
      </c>
      <c r="G61" s="892">
        <f t="shared" si="15"/>
        <v>5021908.87</v>
      </c>
      <c r="H61" s="515">
        <f t="shared" si="6"/>
        <v>0.97979473133114736</v>
      </c>
      <c r="I61" s="225">
        <f t="shared" si="7"/>
        <v>2.6249896005817383E-3</v>
      </c>
      <c r="J61" s="225">
        <f t="shared" si="8"/>
        <v>4.5550838316521106E-3</v>
      </c>
      <c r="K61" s="225">
        <f t="shared" si="9"/>
        <v>4.558667318373435E-3</v>
      </c>
      <c r="L61" s="893">
        <f t="shared" si="10"/>
        <v>8.4665279182454898E-3</v>
      </c>
      <c r="M61" s="316"/>
      <c r="Q61" s="863"/>
      <c r="S61" s="864"/>
      <c r="U61" s="25"/>
      <c r="V61" s="25"/>
      <c r="W61" s="25"/>
    </row>
    <row r="62" spans="1:23" ht="12.75" customHeight="1">
      <c r="A62" s="240"/>
      <c r="B62" s="423">
        <v>41</v>
      </c>
      <c r="C62" s="891">
        <f t="shared" si="11"/>
        <v>570129389.58000004</v>
      </c>
      <c r="D62" s="892">
        <f t="shared" si="12"/>
        <v>3270910.87</v>
      </c>
      <c r="E62" s="892">
        <f t="shared" si="13"/>
        <v>3015472.85</v>
      </c>
      <c r="F62" s="892">
        <f t="shared" si="14"/>
        <v>523870.24</v>
      </c>
      <c r="G62" s="892">
        <f t="shared" si="15"/>
        <v>4324867.1500000004</v>
      </c>
      <c r="H62" s="515">
        <f t="shared" si="6"/>
        <v>0.98046913329936736</v>
      </c>
      <c r="I62" s="225">
        <f t="shared" si="7"/>
        <v>5.7371377967545189E-3</v>
      </c>
      <c r="J62" s="225">
        <f t="shared" si="8"/>
        <v>5.2891026232157988E-3</v>
      </c>
      <c r="K62" s="225">
        <f t="shared" si="9"/>
        <v>9.1886201549076785E-4</v>
      </c>
      <c r="L62" s="893">
        <f t="shared" si="10"/>
        <v>7.5857642651714925E-3</v>
      </c>
      <c r="M62" s="316"/>
      <c r="Q62" s="863"/>
      <c r="S62" s="864"/>
      <c r="U62" s="25"/>
      <c r="V62" s="25"/>
      <c r="W62" s="25"/>
    </row>
    <row r="63" spans="1:23" ht="12.75" customHeight="1">
      <c r="A63" s="240"/>
      <c r="B63" s="423">
        <v>42</v>
      </c>
      <c r="C63" s="891">
        <f t="shared" si="11"/>
        <v>547537466.85000002</v>
      </c>
      <c r="D63" s="892">
        <f t="shared" si="12"/>
        <v>3892343.73</v>
      </c>
      <c r="E63" s="892">
        <f t="shared" si="13"/>
        <v>2770911.81</v>
      </c>
      <c r="F63" s="892">
        <f t="shared" si="14"/>
        <v>2266822.84</v>
      </c>
      <c r="G63" s="892">
        <f t="shared" si="15"/>
        <v>3355316.26</v>
      </c>
      <c r="H63" s="515">
        <f t="shared" si="6"/>
        <v>0.97756245849132806</v>
      </c>
      <c r="I63" s="225">
        <f t="shared" si="7"/>
        <v>7.1088171415789568E-3</v>
      </c>
      <c r="J63" s="225">
        <f t="shared" si="8"/>
        <v>5.0606798214944838E-3</v>
      </c>
      <c r="K63" s="225">
        <f t="shared" si="9"/>
        <v>4.1400323763067792E-3</v>
      </c>
      <c r="L63" s="893">
        <f t="shared" si="10"/>
        <v>6.1280121692917893E-3</v>
      </c>
      <c r="M63" s="316"/>
      <c r="Q63" s="863"/>
      <c r="S63" s="864"/>
      <c r="U63" s="25"/>
      <c r="V63" s="25"/>
      <c r="W63" s="25"/>
    </row>
    <row r="64" spans="1:23" ht="12.75" customHeight="1">
      <c r="A64" s="240"/>
      <c r="B64" s="423">
        <v>43</v>
      </c>
      <c r="C64" s="891">
        <f t="shared" si="11"/>
        <v>525478887.66000003</v>
      </c>
      <c r="D64" s="892">
        <f t="shared" si="12"/>
        <v>3220590.92</v>
      </c>
      <c r="E64" s="892">
        <f t="shared" si="13"/>
        <v>1083273.29</v>
      </c>
      <c r="F64" s="892">
        <f t="shared" si="14"/>
        <v>3804331.9</v>
      </c>
      <c r="G64" s="892">
        <f t="shared" si="15"/>
        <v>2761434.36</v>
      </c>
      <c r="H64" s="515">
        <f t="shared" si="6"/>
        <v>0.97931481030873879</v>
      </c>
      <c r="I64" s="225">
        <f t="shared" si="7"/>
        <v>6.1288683439624982E-3</v>
      </c>
      <c r="J64" s="225">
        <f t="shared" si="8"/>
        <v>2.061497265520797E-3</v>
      </c>
      <c r="K64" s="225">
        <f t="shared" si="9"/>
        <v>7.2397426220889623E-3</v>
      </c>
      <c r="L64" s="893">
        <f t="shared" si="10"/>
        <v>5.2550814596888764E-3</v>
      </c>
      <c r="M64" s="316"/>
      <c r="Q64" s="863"/>
      <c r="S64" s="864"/>
      <c r="U64" s="25"/>
      <c r="V64" s="25"/>
      <c r="W64" s="25"/>
    </row>
    <row r="65" spans="1:23" ht="12.75" customHeight="1">
      <c r="A65" s="240"/>
      <c r="B65" s="423">
        <v>44</v>
      </c>
      <c r="C65" s="891">
        <f t="shared" si="11"/>
        <v>504470040.88999999</v>
      </c>
      <c r="D65" s="892">
        <f t="shared" si="12"/>
        <v>1217385.98</v>
      </c>
      <c r="E65" s="892">
        <f t="shared" si="13"/>
        <v>2470401.7599999998</v>
      </c>
      <c r="F65" s="892">
        <f t="shared" si="14"/>
        <v>2457322.4300000002</v>
      </c>
      <c r="G65" s="892">
        <f t="shared" si="15"/>
        <v>4325953</v>
      </c>
      <c r="H65" s="515">
        <f t="shared" si="6"/>
        <v>0.97924343901269806</v>
      </c>
      <c r="I65" s="225">
        <f t="shared" si="7"/>
        <v>2.4131977745442605E-3</v>
      </c>
      <c r="J65" s="225">
        <f t="shared" si="8"/>
        <v>4.8970237273984569E-3</v>
      </c>
      <c r="K65" s="225">
        <f t="shared" si="9"/>
        <v>4.8710968557512833E-3</v>
      </c>
      <c r="L65" s="893">
        <f t="shared" si="10"/>
        <v>8.5752426296079633E-3</v>
      </c>
      <c r="M65" s="316"/>
      <c r="Q65" s="863"/>
      <c r="S65" s="864"/>
      <c r="U65" s="25"/>
      <c r="V65" s="25"/>
      <c r="W65" s="25"/>
    </row>
    <row r="66" spans="1:23" ht="12.75" customHeight="1">
      <c r="A66" s="240"/>
      <c r="B66" s="423">
        <v>45</v>
      </c>
      <c r="C66" s="891">
        <f t="shared" si="11"/>
        <v>483797256.39999998</v>
      </c>
      <c r="D66" s="892">
        <f t="shared" si="12"/>
        <v>3666050.91</v>
      </c>
      <c r="E66" s="892">
        <f t="shared" si="13"/>
        <v>2289090.67</v>
      </c>
      <c r="F66" s="892">
        <f t="shared" si="14"/>
        <v>2104811.9</v>
      </c>
      <c r="G66" s="892">
        <f t="shared" si="15"/>
        <v>2941467.9</v>
      </c>
      <c r="H66" s="515">
        <f t="shared" si="6"/>
        <v>0.97726026505015129</v>
      </c>
      <c r="I66" s="225">
        <f t="shared" si="7"/>
        <v>7.5776595702083446E-3</v>
      </c>
      <c r="J66" s="225">
        <f t="shared" si="8"/>
        <v>4.7315081673538813E-3</v>
      </c>
      <c r="K66" s="225">
        <f t="shared" si="9"/>
        <v>4.3506073508191977E-3</v>
      </c>
      <c r="L66" s="893">
        <f t="shared" si="10"/>
        <v>6.0799598614672918E-3</v>
      </c>
      <c r="M66" s="316"/>
      <c r="Q66" s="863"/>
      <c r="S66" s="864"/>
      <c r="U66" s="25"/>
      <c r="V66" s="25"/>
      <c r="W66" s="25"/>
    </row>
    <row r="67" spans="1:23" ht="12.75" customHeight="1">
      <c r="A67" s="240"/>
      <c r="B67" s="423">
        <v>46</v>
      </c>
      <c r="C67" s="891">
        <f t="shared" si="11"/>
        <v>462729654.54000002</v>
      </c>
      <c r="D67" s="892">
        <f t="shared" si="12"/>
        <v>1430444.59</v>
      </c>
      <c r="E67" s="892">
        <f t="shared" si="13"/>
        <v>2481013.5699999998</v>
      </c>
      <c r="F67" s="892">
        <f t="shared" si="14"/>
        <v>2100394.7200000002</v>
      </c>
      <c r="G67" s="892">
        <f t="shared" si="15"/>
        <v>3590332.63</v>
      </c>
      <c r="H67" s="515">
        <f t="shared" si="6"/>
        <v>0.97924882182114403</v>
      </c>
      <c r="I67" s="225">
        <f t="shared" si="7"/>
        <v>3.0913181724262009E-3</v>
      </c>
      <c r="J67" s="225">
        <f t="shared" si="8"/>
        <v>5.3616913151295171E-3</v>
      </c>
      <c r="K67" s="225">
        <f t="shared" si="9"/>
        <v>4.5391400775643062E-3</v>
      </c>
      <c r="L67" s="893">
        <f t="shared" si="10"/>
        <v>7.7590286137359252E-3</v>
      </c>
      <c r="M67" s="316"/>
      <c r="Q67" s="863"/>
      <c r="S67" s="864"/>
      <c r="U67" s="25"/>
      <c r="V67" s="25"/>
      <c r="W67" s="25"/>
    </row>
    <row r="68" spans="1:23" ht="12.75" customHeight="1">
      <c r="A68" s="240"/>
      <c r="B68" s="423">
        <v>47</v>
      </c>
      <c r="C68" s="891">
        <f t="shared" si="11"/>
        <v>443196259.31</v>
      </c>
      <c r="D68" s="892">
        <f t="shared" si="12"/>
        <v>3479794.8</v>
      </c>
      <c r="E68" s="892">
        <f t="shared" si="13"/>
        <v>879683.18</v>
      </c>
      <c r="F68" s="892">
        <f t="shared" si="14"/>
        <v>2279885.16</v>
      </c>
      <c r="G68" s="892">
        <f t="shared" si="15"/>
        <v>3359991.49</v>
      </c>
      <c r="H68" s="515">
        <f t="shared" si="6"/>
        <v>0.97743808883773575</v>
      </c>
      <c r="I68" s="225">
        <f t="shared" si="7"/>
        <v>7.8515888320393225E-3</v>
      </c>
      <c r="J68" s="225">
        <f t="shared" si="8"/>
        <v>1.9848614728146725E-3</v>
      </c>
      <c r="K68" s="225">
        <f t="shared" si="9"/>
        <v>5.1441886345103419E-3</v>
      </c>
      <c r="L68" s="893">
        <f t="shared" si="10"/>
        <v>7.5812722228998011E-3</v>
      </c>
      <c r="M68" s="316"/>
      <c r="Q68" s="863"/>
      <c r="S68" s="864"/>
      <c r="U68" s="25"/>
      <c r="V68" s="25"/>
      <c r="W68" s="25"/>
    </row>
    <row r="69" spans="1:23" ht="12.75" customHeight="1">
      <c r="A69" s="240"/>
      <c r="B69" s="423">
        <v>48</v>
      </c>
      <c r="C69" s="891">
        <f t="shared" si="11"/>
        <v>424915466.89999998</v>
      </c>
      <c r="D69" s="892">
        <f t="shared" si="12"/>
        <v>3109251.13</v>
      </c>
      <c r="E69" s="892">
        <f t="shared" si="13"/>
        <v>789854.05</v>
      </c>
      <c r="F69" s="892">
        <f t="shared" si="14"/>
        <v>2231102.16</v>
      </c>
      <c r="G69" s="892">
        <f t="shared" si="15"/>
        <v>3485444.38</v>
      </c>
      <c r="H69" s="515">
        <f t="shared" si="6"/>
        <v>0.97737043607719987</v>
      </c>
      <c r="I69" s="225">
        <f t="shared" si="7"/>
        <v>7.3173404411088052E-3</v>
      </c>
      <c r="J69" s="225">
        <f t="shared" si="8"/>
        <v>1.8588498455055888E-3</v>
      </c>
      <c r="K69" s="225">
        <f t="shared" si="9"/>
        <v>5.2506965121254809E-3</v>
      </c>
      <c r="L69" s="893">
        <f t="shared" si="10"/>
        <v>8.2026771240602259E-3</v>
      </c>
      <c r="M69" s="316"/>
      <c r="Q69" s="863"/>
      <c r="S69" s="864"/>
      <c r="U69" s="25"/>
      <c r="V69" s="25"/>
      <c r="W69" s="25"/>
    </row>
    <row r="70" spans="1:23" ht="12.75" customHeight="1">
      <c r="A70" s="240"/>
      <c r="B70" s="423">
        <v>49</v>
      </c>
      <c r="C70" s="891">
        <f t="shared" si="11"/>
        <v>406972073.69</v>
      </c>
      <c r="D70" s="892">
        <f t="shared" si="12"/>
        <v>1212942.3999999999</v>
      </c>
      <c r="E70" s="892">
        <f t="shared" si="13"/>
        <v>2178056.14</v>
      </c>
      <c r="F70" s="892">
        <f t="shared" si="14"/>
        <v>1796094.18</v>
      </c>
      <c r="G70" s="892">
        <f t="shared" si="15"/>
        <v>3737363.05</v>
      </c>
      <c r="H70" s="515">
        <f t="shared" si="6"/>
        <v>0.97807108559296885</v>
      </c>
      <c r="I70" s="225">
        <f t="shared" si="7"/>
        <v>2.9804069576624711E-3</v>
      </c>
      <c r="J70" s="225">
        <f t="shared" si="8"/>
        <v>5.3518565051691377E-3</v>
      </c>
      <c r="K70" s="225">
        <f t="shared" si="9"/>
        <v>4.4133106326310883E-3</v>
      </c>
      <c r="L70" s="893">
        <f t="shared" si="10"/>
        <v>9.1833403115684914E-3</v>
      </c>
      <c r="M70" s="316"/>
      <c r="Q70" s="863"/>
      <c r="S70" s="864"/>
      <c r="U70" s="25"/>
      <c r="V70" s="25"/>
      <c r="W70" s="25"/>
    </row>
    <row r="71" spans="1:23" ht="12.75" customHeight="1">
      <c r="A71" s="240"/>
      <c r="B71" s="423">
        <v>50</v>
      </c>
      <c r="C71" s="891">
        <f t="shared" si="11"/>
        <v>389757980.5</v>
      </c>
      <c r="D71" s="892">
        <f t="shared" si="12"/>
        <v>3118885.55</v>
      </c>
      <c r="E71" s="892">
        <f t="shared" si="13"/>
        <v>1945041.95</v>
      </c>
      <c r="F71" s="892">
        <f t="shared" si="14"/>
        <v>1564948.55</v>
      </c>
      <c r="G71" s="892">
        <f t="shared" si="15"/>
        <v>2271917.19</v>
      </c>
      <c r="H71" s="515">
        <f t="shared" si="6"/>
        <v>0.9771632816123953</v>
      </c>
      <c r="I71" s="225">
        <f t="shared" si="7"/>
        <v>8.002108246761095E-3</v>
      </c>
      <c r="J71" s="225">
        <f t="shared" si="8"/>
        <v>4.9903838979892291E-3</v>
      </c>
      <c r="K71" s="225">
        <f t="shared" si="9"/>
        <v>4.0151802613314289E-3</v>
      </c>
      <c r="L71" s="893">
        <f t="shared" si="10"/>
        <v>5.8290459815228853E-3</v>
      </c>
      <c r="M71" s="316"/>
      <c r="Q71" s="863"/>
      <c r="S71" s="864"/>
      <c r="U71" s="25"/>
      <c r="V71" s="25"/>
      <c r="W71" s="25"/>
    </row>
    <row r="72" spans="1:23" ht="12.75" customHeight="1">
      <c r="A72" s="240"/>
      <c r="B72" s="423">
        <v>51</v>
      </c>
      <c r="C72" s="891">
        <f t="shared" si="11"/>
        <v>374849302.11000001</v>
      </c>
      <c r="D72" s="892">
        <f t="shared" si="12"/>
        <v>2336577.88</v>
      </c>
      <c r="E72" s="892">
        <f t="shared" si="13"/>
        <v>2007672.25</v>
      </c>
      <c r="F72" s="892">
        <f t="shared" si="14"/>
        <v>459404.84</v>
      </c>
      <c r="G72" s="892">
        <f t="shared" si="15"/>
        <v>3254026.55</v>
      </c>
      <c r="H72" s="515">
        <f t="shared" si="6"/>
        <v>0.97850421095986073</v>
      </c>
      <c r="I72" s="225">
        <f t="shared" si="7"/>
        <v>6.2333792989544582E-3</v>
      </c>
      <c r="J72" s="225">
        <f t="shared" si="8"/>
        <v>5.3559450122994921E-3</v>
      </c>
      <c r="K72" s="225">
        <f t="shared" si="9"/>
        <v>1.2255720830052048E-3</v>
      </c>
      <c r="L72" s="893">
        <f t="shared" si="10"/>
        <v>8.6808926458801349E-3</v>
      </c>
      <c r="M72" s="316"/>
      <c r="Q72" s="863"/>
      <c r="S72" s="864"/>
      <c r="U72" s="25"/>
      <c r="V72" s="25"/>
      <c r="W72" s="25"/>
    </row>
    <row r="73" spans="1:23" ht="12.75" customHeight="1">
      <c r="A73" s="240"/>
      <c r="B73" s="423">
        <v>52</v>
      </c>
      <c r="C73" s="891">
        <f t="shared" si="11"/>
        <v>357461476.32999998</v>
      </c>
      <c r="D73" s="892">
        <f t="shared" si="12"/>
        <v>1253317.26</v>
      </c>
      <c r="E73" s="892">
        <f t="shared" si="13"/>
        <v>2374334.0499999998</v>
      </c>
      <c r="F73" s="892">
        <f t="shared" si="14"/>
        <v>1587726.1</v>
      </c>
      <c r="G73" s="892">
        <f t="shared" si="15"/>
        <v>2960862.6</v>
      </c>
      <c r="H73" s="515">
        <f t="shared" si="6"/>
        <v>0.97712693380572302</v>
      </c>
      <c r="I73" s="225">
        <f t="shared" si="7"/>
        <v>3.5061603640974366E-3</v>
      </c>
      <c r="J73" s="225">
        <f t="shared" si="8"/>
        <v>6.6422096008132373E-3</v>
      </c>
      <c r="K73" s="225">
        <f t="shared" si="9"/>
        <v>4.4416705159418327E-3</v>
      </c>
      <c r="L73" s="893">
        <f t="shared" si="10"/>
        <v>8.2830257134242965E-3</v>
      </c>
      <c r="M73" s="316"/>
      <c r="Q73" s="863"/>
      <c r="S73" s="864"/>
      <c r="U73" s="25"/>
      <c r="V73" s="25"/>
      <c r="W73" s="25"/>
    </row>
    <row r="74" spans="1:23" ht="12.75" customHeight="1">
      <c r="A74" s="240"/>
      <c r="B74" s="423">
        <v>53</v>
      </c>
      <c r="C74" s="891">
        <f t="shared" si="11"/>
        <v>341121321.93000001</v>
      </c>
      <c r="D74" s="892">
        <f t="shared" si="12"/>
        <v>2766773.45</v>
      </c>
      <c r="E74" s="892">
        <f t="shared" si="13"/>
        <v>2174527.9700000002</v>
      </c>
      <c r="F74" s="892">
        <f t="shared" si="14"/>
        <v>1450008.08</v>
      </c>
      <c r="G74" s="892">
        <f t="shared" si="15"/>
        <v>1963450.76</v>
      </c>
      <c r="H74" s="515">
        <f t="shared" si="6"/>
        <v>0.97550795062375362</v>
      </c>
      <c r="I74" s="225">
        <f t="shared" si="7"/>
        <v>8.1108194420276003E-3</v>
      </c>
      <c r="J74" s="225">
        <f t="shared" si="8"/>
        <v>6.3746468784095104E-3</v>
      </c>
      <c r="K74" s="225">
        <f t="shared" si="9"/>
        <v>4.2507107787813679E-3</v>
      </c>
      <c r="L74" s="893">
        <f t="shared" si="10"/>
        <v>5.7558722770279106E-3</v>
      </c>
      <c r="M74" s="316"/>
      <c r="Q74" s="863"/>
      <c r="S74" s="864"/>
      <c r="U74" s="25"/>
      <c r="V74" s="25"/>
      <c r="W74" s="25"/>
    </row>
    <row r="75" spans="1:23" ht="12.75" customHeight="1">
      <c r="A75" s="240"/>
      <c r="B75" s="423">
        <v>54</v>
      </c>
      <c r="C75" s="891">
        <f t="shared" si="11"/>
        <v>325648786.45999998</v>
      </c>
      <c r="D75" s="892">
        <f t="shared" si="12"/>
        <v>997504.37</v>
      </c>
      <c r="E75" s="892">
        <f t="shared" si="13"/>
        <v>2684697.54</v>
      </c>
      <c r="F75" s="892">
        <f t="shared" si="14"/>
        <v>1543197.05</v>
      </c>
      <c r="G75" s="892">
        <f t="shared" si="15"/>
        <v>2064327.58</v>
      </c>
      <c r="H75" s="515">
        <f t="shared" si="6"/>
        <v>0.97761475908065321</v>
      </c>
      <c r="I75" s="225">
        <f t="shared" si="7"/>
        <v>3.0631293942270693E-3</v>
      </c>
      <c r="J75" s="225">
        <f t="shared" si="8"/>
        <v>8.244150298191779E-3</v>
      </c>
      <c r="K75" s="225">
        <f t="shared" si="9"/>
        <v>4.7388386327966671E-3</v>
      </c>
      <c r="L75" s="893">
        <f t="shared" si="10"/>
        <v>6.3391225941312242E-3</v>
      </c>
      <c r="M75" s="316"/>
      <c r="Q75" s="863"/>
      <c r="S75" s="864"/>
      <c r="U75" s="25"/>
      <c r="V75" s="25"/>
      <c r="W75" s="25"/>
    </row>
    <row r="76" spans="1:23" ht="12.75" customHeight="1">
      <c r="A76" s="240"/>
      <c r="B76" s="423">
        <v>55</v>
      </c>
      <c r="C76" s="891">
        <f t="shared" si="11"/>
        <v>310618786.56</v>
      </c>
      <c r="D76" s="892">
        <f t="shared" si="12"/>
        <v>2247778.36</v>
      </c>
      <c r="E76" s="892">
        <f t="shared" si="13"/>
        <v>723490.3</v>
      </c>
      <c r="F76" s="892">
        <f t="shared" si="14"/>
        <v>2142429.59</v>
      </c>
      <c r="G76" s="892">
        <f t="shared" si="15"/>
        <v>1907741.66</v>
      </c>
      <c r="H76" s="515">
        <f t="shared" si="6"/>
        <v>0.97739531472722518</v>
      </c>
      <c r="I76" s="225">
        <f t="shared" si="7"/>
        <v>7.2364533545874656E-3</v>
      </c>
      <c r="J76" s="225">
        <f t="shared" si="8"/>
        <v>2.3291904137943977E-3</v>
      </c>
      <c r="K76" s="225">
        <f t="shared" si="9"/>
        <v>6.8972956005871272E-3</v>
      </c>
      <c r="L76" s="893">
        <f t="shared" si="10"/>
        <v>6.1417459038057738E-3</v>
      </c>
      <c r="M76" s="316"/>
      <c r="Q76" s="863"/>
      <c r="S76" s="864"/>
      <c r="U76" s="25"/>
      <c r="V76" s="25"/>
      <c r="W76" s="25"/>
    </row>
    <row r="77" spans="1:23" ht="12.75" customHeight="1">
      <c r="A77" s="240"/>
      <c r="B77" s="423">
        <v>56</v>
      </c>
      <c r="C77" s="891" t="str">
        <f t="shared" si="11"/>
        <v/>
      </c>
      <c r="D77" s="892" t="str">
        <f t="shared" si="12"/>
        <v/>
      </c>
      <c r="E77" s="892" t="str">
        <f t="shared" si="13"/>
        <v/>
      </c>
      <c r="F77" s="892" t="str">
        <f t="shared" si="14"/>
        <v/>
      </c>
      <c r="G77" s="892" t="str">
        <f t="shared" si="15"/>
        <v/>
      </c>
      <c r="H77" s="515" t="str">
        <f t="shared" si="6"/>
        <v/>
      </c>
      <c r="I77" s="225" t="str">
        <f t="shared" si="7"/>
        <v/>
      </c>
      <c r="J77" s="225" t="str">
        <f t="shared" si="8"/>
        <v/>
      </c>
      <c r="K77" s="225" t="str">
        <f t="shared" si="9"/>
        <v/>
      </c>
      <c r="L77" s="893" t="str">
        <f t="shared" si="10"/>
        <v/>
      </c>
      <c r="M77" s="316"/>
      <c r="Q77" s="863"/>
      <c r="S77" s="864"/>
      <c r="U77" s="25"/>
      <c r="V77" s="25"/>
      <c r="W77" s="25"/>
    </row>
    <row r="78" spans="1:23" ht="12.75" customHeight="1">
      <c r="A78" s="240"/>
      <c r="B78" s="423">
        <v>57</v>
      </c>
      <c r="C78" s="891" t="str">
        <f t="shared" si="11"/>
        <v/>
      </c>
      <c r="D78" s="892" t="str">
        <f t="shared" si="12"/>
        <v/>
      </c>
      <c r="E78" s="892" t="str">
        <f t="shared" si="13"/>
        <v/>
      </c>
      <c r="F78" s="892" t="str">
        <f t="shared" si="14"/>
        <v/>
      </c>
      <c r="G78" s="892" t="str">
        <f t="shared" si="15"/>
        <v/>
      </c>
      <c r="H78" s="515" t="str">
        <f t="shared" si="6"/>
        <v/>
      </c>
      <c r="I78" s="225" t="str">
        <f t="shared" si="7"/>
        <v/>
      </c>
      <c r="J78" s="225" t="str">
        <f t="shared" si="8"/>
        <v/>
      </c>
      <c r="K78" s="225" t="str">
        <f t="shared" si="9"/>
        <v/>
      </c>
      <c r="L78" s="893" t="str">
        <f t="shared" si="10"/>
        <v/>
      </c>
      <c r="M78" s="316"/>
      <c r="Q78" s="863"/>
      <c r="S78" s="864"/>
      <c r="U78" s="25"/>
      <c r="V78" s="25"/>
      <c r="W78" s="25"/>
    </row>
    <row r="79" spans="1:23" ht="12.75" customHeight="1">
      <c r="A79" s="240"/>
      <c r="B79" s="423">
        <v>58</v>
      </c>
      <c r="C79" s="891" t="str">
        <f t="shared" si="11"/>
        <v/>
      </c>
      <c r="D79" s="892" t="str">
        <f t="shared" si="12"/>
        <v/>
      </c>
      <c r="E79" s="892" t="str">
        <f t="shared" si="13"/>
        <v/>
      </c>
      <c r="F79" s="892" t="str">
        <f t="shared" si="14"/>
        <v/>
      </c>
      <c r="G79" s="892" t="str">
        <f t="shared" si="15"/>
        <v/>
      </c>
      <c r="H79" s="515" t="str">
        <f t="shared" si="6"/>
        <v/>
      </c>
      <c r="I79" s="225" t="str">
        <f t="shared" si="7"/>
        <v/>
      </c>
      <c r="J79" s="225" t="str">
        <f t="shared" si="8"/>
        <v/>
      </c>
      <c r="K79" s="225" t="str">
        <f t="shared" si="9"/>
        <v/>
      </c>
      <c r="L79" s="893" t="str">
        <f t="shared" si="10"/>
        <v/>
      </c>
      <c r="M79" s="316"/>
      <c r="Q79" s="863"/>
      <c r="S79" s="864"/>
      <c r="U79" s="25"/>
      <c r="V79" s="25"/>
      <c r="W79" s="25"/>
    </row>
    <row r="80" spans="1:23" ht="12.75" customHeight="1">
      <c r="A80" s="240"/>
      <c r="B80" s="423">
        <v>59</v>
      </c>
      <c r="C80" s="891" t="str">
        <f t="shared" si="11"/>
        <v/>
      </c>
      <c r="D80" s="892" t="str">
        <f t="shared" si="12"/>
        <v/>
      </c>
      <c r="E80" s="892" t="str">
        <f t="shared" si="13"/>
        <v/>
      </c>
      <c r="F80" s="892" t="str">
        <f t="shared" si="14"/>
        <v/>
      </c>
      <c r="G80" s="892" t="str">
        <f t="shared" si="15"/>
        <v/>
      </c>
      <c r="H80" s="515" t="str">
        <f t="shared" si="6"/>
        <v/>
      </c>
      <c r="I80" s="225" t="str">
        <f t="shared" si="7"/>
        <v/>
      </c>
      <c r="J80" s="225" t="str">
        <f t="shared" si="8"/>
        <v/>
      </c>
      <c r="K80" s="225" t="str">
        <f t="shared" si="9"/>
        <v/>
      </c>
      <c r="L80" s="893" t="str">
        <f t="shared" si="10"/>
        <v/>
      </c>
      <c r="M80" s="316"/>
      <c r="Q80" s="863"/>
      <c r="S80" s="864"/>
      <c r="U80" s="25"/>
      <c r="V80" s="25"/>
      <c r="W80" s="25"/>
    </row>
    <row r="81" spans="1:23" ht="12.75" customHeight="1">
      <c r="A81" s="240"/>
      <c r="B81" s="423">
        <v>60</v>
      </c>
      <c r="C81" s="891" t="str">
        <f t="shared" si="11"/>
        <v/>
      </c>
      <c r="D81" s="892" t="str">
        <f t="shared" si="12"/>
        <v/>
      </c>
      <c r="E81" s="892" t="str">
        <f t="shared" si="13"/>
        <v/>
      </c>
      <c r="F81" s="892" t="str">
        <f t="shared" si="14"/>
        <v/>
      </c>
      <c r="G81" s="892" t="str">
        <f t="shared" si="15"/>
        <v/>
      </c>
      <c r="H81" s="515" t="str">
        <f t="shared" si="6"/>
        <v/>
      </c>
      <c r="I81" s="225" t="str">
        <f t="shared" si="7"/>
        <v/>
      </c>
      <c r="J81" s="225" t="str">
        <f t="shared" si="8"/>
        <v/>
      </c>
      <c r="K81" s="225" t="str">
        <f t="shared" si="9"/>
        <v/>
      </c>
      <c r="L81" s="893" t="str">
        <f t="shared" si="10"/>
        <v/>
      </c>
      <c r="M81" s="316"/>
      <c r="Q81" s="863"/>
      <c r="S81" s="864"/>
      <c r="U81" s="25"/>
      <c r="V81" s="25"/>
      <c r="W81" s="25"/>
    </row>
    <row r="82" spans="1:23" ht="12.75" customHeight="1">
      <c r="A82" s="240"/>
      <c r="B82" s="423">
        <v>61</v>
      </c>
      <c r="C82" s="891" t="str">
        <f t="shared" si="11"/>
        <v/>
      </c>
      <c r="D82" s="892" t="str">
        <f t="shared" si="12"/>
        <v/>
      </c>
      <c r="E82" s="892" t="str">
        <f t="shared" si="13"/>
        <v/>
      </c>
      <c r="F82" s="892" t="str">
        <f t="shared" si="14"/>
        <v/>
      </c>
      <c r="G82" s="892" t="str">
        <f t="shared" si="15"/>
        <v/>
      </c>
      <c r="H82" s="515" t="str">
        <f t="shared" si="6"/>
        <v/>
      </c>
      <c r="I82" s="225" t="str">
        <f t="shared" si="7"/>
        <v/>
      </c>
      <c r="J82" s="225" t="str">
        <f t="shared" si="8"/>
        <v/>
      </c>
      <c r="K82" s="225" t="str">
        <f t="shared" si="9"/>
        <v/>
      </c>
      <c r="L82" s="893" t="str">
        <f t="shared" si="10"/>
        <v/>
      </c>
      <c r="M82" s="316"/>
      <c r="Q82" s="863"/>
      <c r="S82" s="864"/>
      <c r="U82" s="25"/>
      <c r="V82" s="25"/>
      <c r="W82" s="25"/>
    </row>
    <row r="83" spans="1:23" ht="12.75" customHeight="1">
      <c r="A83" s="240"/>
      <c r="B83" s="423">
        <v>62</v>
      </c>
      <c r="C83" s="891" t="str">
        <f t="shared" si="11"/>
        <v/>
      </c>
      <c r="D83" s="892" t="str">
        <f t="shared" si="12"/>
        <v/>
      </c>
      <c r="E83" s="892" t="str">
        <f t="shared" si="13"/>
        <v/>
      </c>
      <c r="F83" s="892" t="str">
        <f t="shared" si="14"/>
        <v/>
      </c>
      <c r="G83" s="892" t="str">
        <f t="shared" si="15"/>
        <v/>
      </c>
      <c r="H83" s="515" t="str">
        <f t="shared" si="6"/>
        <v/>
      </c>
      <c r="I83" s="225" t="str">
        <f t="shared" si="7"/>
        <v/>
      </c>
      <c r="J83" s="225" t="str">
        <f t="shared" si="8"/>
        <v/>
      </c>
      <c r="K83" s="225" t="str">
        <f t="shared" si="9"/>
        <v/>
      </c>
      <c r="L83" s="893" t="str">
        <f t="shared" si="10"/>
        <v/>
      </c>
      <c r="M83" s="316"/>
      <c r="Q83" s="863"/>
      <c r="S83" s="864"/>
      <c r="U83" s="25"/>
      <c r="V83" s="25"/>
      <c r="W83" s="25"/>
    </row>
    <row r="84" spans="1:23" ht="12.75" customHeight="1">
      <c r="A84" s="240"/>
      <c r="B84" s="423">
        <v>63</v>
      </c>
      <c r="C84" s="891" t="str">
        <f t="shared" si="11"/>
        <v/>
      </c>
      <c r="D84" s="892" t="str">
        <f t="shared" si="12"/>
        <v/>
      </c>
      <c r="E84" s="892" t="str">
        <f t="shared" si="13"/>
        <v/>
      </c>
      <c r="F84" s="892" t="str">
        <f t="shared" si="14"/>
        <v/>
      </c>
      <c r="G84" s="892" t="str">
        <f t="shared" si="15"/>
        <v/>
      </c>
      <c r="H84" s="515" t="str">
        <f t="shared" si="6"/>
        <v/>
      </c>
      <c r="I84" s="225" t="str">
        <f t="shared" si="7"/>
        <v/>
      </c>
      <c r="J84" s="225" t="str">
        <f t="shared" si="8"/>
        <v/>
      </c>
      <c r="K84" s="225" t="str">
        <f t="shared" si="9"/>
        <v/>
      </c>
      <c r="L84" s="893" t="str">
        <f t="shared" si="10"/>
        <v/>
      </c>
      <c r="M84" s="316"/>
      <c r="Q84" s="863"/>
      <c r="S84" s="864"/>
      <c r="U84" s="25"/>
      <c r="V84" s="25"/>
      <c r="W84" s="25"/>
    </row>
    <row r="85" spans="1:23" ht="12.75" customHeight="1">
      <c r="A85" s="240"/>
      <c r="B85" s="423">
        <v>64</v>
      </c>
      <c r="C85" s="891" t="str">
        <f t="shared" si="11"/>
        <v/>
      </c>
      <c r="D85" s="892" t="str">
        <f t="shared" si="12"/>
        <v/>
      </c>
      <c r="E85" s="892" t="str">
        <f t="shared" si="13"/>
        <v/>
      </c>
      <c r="F85" s="892" t="str">
        <f t="shared" si="14"/>
        <v/>
      </c>
      <c r="G85" s="892" t="str">
        <f t="shared" si="15"/>
        <v/>
      </c>
      <c r="H85" s="515" t="str">
        <f t="shared" si="6"/>
        <v/>
      </c>
      <c r="I85" s="225" t="str">
        <f t="shared" si="7"/>
        <v/>
      </c>
      <c r="J85" s="225" t="str">
        <f t="shared" si="8"/>
        <v/>
      </c>
      <c r="K85" s="225" t="str">
        <f t="shared" si="9"/>
        <v/>
      </c>
      <c r="L85" s="893" t="str">
        <f t="shared" si="10"/>
        <v/>
      </c>
      <c r="M85" s="316"/>
      <c r="Q85" s="863"/>
      <c r="S85" s="864"/>
      <c r="U85" s="25"/>
      <c r="V85" s="25"/>
      <c r="W85" s="25"/>
    </row>
    <row r="86" spans="1:23" ht="12.75" customHeight="1">
      <c r="A86" s="240"/>
      <c r="B86" s="423">
        <v>65</v>
      </c>
      <c r="C86" s="891" t="str">
        <f t="shared" ref="C86:C101" si="16">IF(B86&gt;$F$4,"",VLOOKUP(CONCATENATE("delinquency_",$B86),delinquencies_20,2,0))</f>
        <v/>
      </c>
      <c r="D86" s="892" t="str">
        <f t="shared" ref="D86:D101" si="17">IF(B86&gt;$F$4,"",VLOOKUP(CONCATENATE("delinquency_",$B86),delinquencies_20,3,0))</f>
        <v/>
      </c>
      <c r="E86" s="892" t="str">
        <f t="shared" ref="E86:E101" si="18">IF(B86&gt;$F$4,"",VLOOKUP(CONCATENATE("delinquency_",$B86),delinquencies_20,4,0))</f>
        <v/>
      </c>
      <c r="F86" s="892" t="str">
        <f t="shared" ref="F86:F101" si="19">IF(B86&gt;$F$4,"",VLOOKUP(CONCATENATE("delinquency_",$B86),delinquencies_20,5,0))</f>
        <v/>
      </c>
      <c r="G86" s="892" t="str">
        <f t="shared" ref="G86:G101" si="20">IF(B86&gt;$F$4,"",VLOOKUP(CONCATENATE("delinquency_",$B86),delinquencies_20,6,0))</f>
        <v/>
      </c>
      <c r="H86" s="515" t="str">
        <f t="shared" si="6"/>
        <v/>
      </c>
      <c r="I86" s="225" t="str">
        <f t="shared" si="7"/>
        <v/>
      </c>
      <c r="J86" s="225" t="str">
        <f t="shared" si="8"/>
        <v/>
      </c>
      <c r="K86" s="225" t="str">
        <f t="shared" si="9"/>
        <v/>
      </c>
      <c r="L86" s="893" t="str">
        <f t="shared" si="10"/>
        <v/>
      </c>
      <c r="M86" s="316"/>
      <c r="Q86" s="863"/>
      <c r="S86" s="864"/>
      <c r="U86" s="25"/>
      <c r="V86" s="25"/>
      <c r="W86" s="25"/>
    </row>
    <row r="87" spans="1:23" ht="12.75" customHeight="1">
      <c r="A87" s="240"/>
      <c r="B87" s="423">
        <v>66</v>
      </c>
      <c r="C87" s="891" t="str">
        <f t="shared" si="16"/>
        <v/>
      </c>
      <c r="D87" s="892" t="str">
        <f t="shared" si="17"/>
        <v/>
      </c>
      <c r="E87" s="892" t="str">
        <f t="shared" si="18"/>
        <v/>
      </c>
      <c r="F87" s="892" t="str">
        <f t="shared" si="19"/>
        <v/>
      </c>
      <c r="G87" s="892" t="str">
        <f t="shared" si="20"/>
        <v/>
      </c>
      <c r="H87" s="515" t="str">
        <f t="shared" ref="H87:H101" si="21">IF(B87&lt;=$F$4,(C87-D87-E87-F87-G87)/C87,"")</f>
        <v/>
      </c>
      <c r="I87" s="225" t="str">
        <f t="shared" ref="I87:I101" si="22">IF($B87&lt;=$F$4,D87/$C87,"")</f>
        <v/>
      </c>
      <c r="J87" s="225" t="str">
        <f t="shared" ref="J87:J101" si="23">IF($B87&lt;=$F$4,E87/$C87,"")</f>
        <v/>
      </c>
      <c r="K87" s="225" t="str">
        <f t="shared" ref="K87:K101" si="24">IF($B87&lt;=$F$4,F87/$C87,"")</f>
        <v/>
      </c>
      <c r="L87" s="893" t="str">
        <f t="shared" ref="L87:L101" si="25">IF($B87&lt;=$F$4,G87/$C87,"")</f>
        <v/>
      </c>
      <c r="M87" s="316"/>
      <c r="Q87" s="863"/>
      <c r="S87" s="864"/>
      <c r="U87" s="25"/>
      <c r="V87" s="25"/>
      <c r="W87" s="25"/>
    </row>
    <row r="88" spans="1:23" ht="12.75" customHeight="1">
      <c r="A88" s="240"/>
      <c r="B88" s="423">
        <v>67</v>
      </c>
      <c r="C88" s="891" t="str">
        <f t="shared" si="16"/>
        <v/>
      </c>
      <c r="D88" s="892" t="str">
        <f t="shared" si="17"/>
        <v/>
      </c>
      <c r="E88" s="892" t="str">
        <f t="shared" si="18"/>
        <v/>
      </c>
      <c r="F88" s="892" t="str">
        <f t="shared" si="19"/>
        <v/>
      </c>
      <c r="G88" s="892" t="str">
        <f t="shared" si="20"/>
        <v/>
      </c>
      <c r="H88" s="515" t="str">
        <f t="shared" si="21"/>
        <v/>
      </c>
      <c r="I88" s="225" t="str">
        <f t="shared" si="22"/>
        <v/>
      </c>
      <c r="J88" s="225" t="str">
        <f t="shared" si="23"/>
        <v/>
      </c>
      <c r="K88" s="225" t="str">
        <f t="shared" si="24"/>
        <v/>
      </c>
      <c r="L88" s="893" t="str">
        <f t="shared" si="25"/>
        <v/>
      </c>
      <c r="M88" s="316"/>
      <c r="Q88" s="863"/>
      <c r="S88" s="864"/>
      <c r="U88" s="25"/>
      <c r="V88" s="25"/>
      <c r="W88" s="25"/>
    </row>
    <row r="89" spans="1:23" ht="12.75" customHeight="1">
      <c r="A89" s="240"/>
      <c r="B89" s="423">
        <v>68</v>
      </c>
      <c r="C89" s="891" t="str">
        <f t="shared" si="16"/>
        <v/>
      </c>
      <c r="D89" s="892" t="str">
        <f t="shared" si="17"/>
        <v/>
      </c>
      <c r="E89" s="892" t="str">
        <f t="shared" si="18"/>
        <v/>
      </c>
      <c r="F89" s="892" t="str">
        <f t="shared" si="19"/>
        <v/>
      </c>
      <c r="G89" s="892" t="str">
        <f t="shared" si="20"/>
        <v/>
      </c>
      <c r="H89" s="515" t="str">
        <f t="shared" si="21"/>
        <v/>
      </c>
      <c r="I89" s="225" t="str">
        <f t="shared" si="22"/>
        <v/>
      </c>
      <c r="J89" s="225" t="str">
        <f t="shared" si="23"/>
        <v/>
      </c>
      <c r="K89" s="225" t="str">
        <f t="shared" si="24"/>
        <v/>
      </c>
      <c r="L89" s="893" t="str">
        <f t="shared" si="25"/>
        <v/>
      </c>
      <c r="M89" s="316"/>
      <c r="Q89" s="863"/>
      <c r="S89" s="864"/>
      <c r="U89" s="25"/>
      <c r="V89" s="25"/>
      <c r="W89" s="25"/>
    </row>
    <row r="90" spans="1:23" ht="12.75" customHeight="1">
      <c r="A90" s="240"/>
      <c r="B90" s="423">
        <v>69</v>
      </c>
      <c r="C90" s="891" t="str">
        <f t="shared" si="16"/>
        <v/>
      </c>
      <c r="D90" s="892" t="str">
        <f t="shared" si="17"/>
        <v/>
      </c>
      <c r="E90" s="892" t="str">
        <f t="shared" si="18"/>
        <v/>
      </c>
      <c r="F90" s="892" t="str">
        <f t="shared" si="19"/>
        <v/>
      </c>
      <c r="G90" s="892" t="str">
        <f t="shared" si="20"/>
        <v/>
      </c>
      <c r="H90" s="515" t="str">
        <f t="shared" si="21"/>
        <v/>
      </c>
      <c r="I90" s="225" t="str">
        <f t="shared" si="22"/>
        <v/>
      </c>
      <c r="J90" s="225" t="str">
        <f t="shared" si="23"/>
        <v/>
      </c>
      <c r="K90" s="225" t="str">
        <f t="shared" si="24"/>
        <v/>
      </c>
      <c r="L90" s="893" t="str">
        <f t="shared" si="25"/>
        <v/>
      </c>
      <c r="M90" s="316"/>
      <c r="Q90" s="863"/>
      <c r="S90" s="864"/>
      <c r="U90" s="25"/>
      <c r="V90" s="25"/>
      <c r="W90" s="25"/>
    </row>
    <row r="91" spans="1:23" ht="12.75" customHeight="1">
      <c r="A91" s="240"/>
      <c r="B91" s="423">
        <v>70</v>
      </c>
      <c r="C91" s="891" t="str">
        <f t="shared" si="16"/>
        <v/>
      </c>
      <c r="D91" s="892" t="str">
        <f t="shared" si="17"/>
        <v/>
      </c>
      <c r="E91" s="892" t="str">
        <f t="shared" si="18"/>
        <v/>
      </c>
      <c r="F91" s="892" t="str">
        <f t="shared" si="19"/>
        <v/>
      </c>
      <c r="G91" s="892" t="str">
        <f t="shared" si="20"/>
        <v/>
      </c>
      <c r="H91" s="515" t="str">
        <f t="shared" si="21"/>
        <v/>
      </c>
      <c r="I91" s="225" t="str">
        <f t="shared" si="22"/>
        <v/>
      </c>
      <c r="J91" s="225" t="str">
        <f t="shared" si="23"/>
        <v/>
      </c>
      <c r="K91" s="225" t="str">
        <f t="shared" si="24"/>
        <v/>
      </c>
      <c r="L91" s="893" t="str">
        <f t="shared" si="25"/>
        <v/>
      </c>
      <c r="M91" s="316"/>
      <c r="Q91" s="863"/>
      <c r="S91" s="864"/>
      <c r="U91" s="25"/>
      <c r="V91" s="25"/>
      <c r="W91" s="25"/>
    </row>
    <row r="92" spans="1:23" ht="12.75" customHeight="1">
      <c r="A92" s="240"/>
      <c r="B92" s="423">
        <v>71</v>
      </c>
      <c r="C92" s="891" t="str">
        <f t="shared" si="16"/>
        <v/>
      </c>
      <c r="D92" s="892" t="str">
        <f t="shared" si="17"/>
        <v/>
      </c>
      <c r="E92" s="892" t="str">
        <f t="shared" si="18"/>
        <v/>
      </c>
      <c r="F92" s="892" t="str">
        <f t="shared" si="19"/>
        <v/>
      </c>
      <c r="G92" s="892" t="str">
        <f t="shared" si="20"/>
        <v/>
      </c>
      <c r="H92" s="515" t="str">
        <f t="shared" si="21"/>
        <v/>
      </c>
      <c r="I92" s="225" t="str">
        <f t="shared" si="22"/>
        <v/>
      </c>
      <c r="J92" s="225" t="str">
        <f t="shared" si="23"/>
        <v/>
      </c>
      <c r="K92" s="225" t="str">
        <f t="shared" si="24"/>
        <v/>
      </c>
      <c r="L92" s="893" t="str">
        <f t="shared" si="25"/>
        <v/>
      </c>
      <c r="M92" s="316"/>
      <c r="Q92" s="863"/>
      <c r="S92" s="864"/>
      <c r="U92" s="25"/>
      <c r="V92" s="25"/>
      <c r="W92" s="25"/>
    </row>
    <row r="93" spans="1:23" ht="12.75" customHeight="1">
      <c r="A93" s="240"/>
      <c r="B93" s="423">
        <v>72</v>
      </c>
      <c r="C93" s="891" t="str">
        <f t="shared" si="16"/>
        <v/>
      </c>
      <c r="D93" s="892" t="str">
        <f t="shared" si="17"/>
        <v/>
      </c>
      <c r="E93" s="892" t="str">
        <f t="shared" si="18"/>
        <v/>
      </c>
      <c r="F93" s="892" t="str">
        <f t="shared" si="19"/>
        <v/>
      </c>
      <c r="G93" s="892" t="str">
        <f t="shared" si="20"/>
        <v/>
      </c>
      <c r="H93" s="515" t="str">
        <f t="shared" si="21"/>
        <v/>
      </c>
      <c r="I93" s="225" t="str">
        <f t="shared" si="22"/>
        <v/>
      </c>
      <c r="J93" s="225" t="str">
        <f t="shared" si="23"/>
        <v/>
      </c>
      <c r="K93" s="225" t="str">
        <f t="shared" si="24"/>
        <v/>
      </c>
      <c r="L93" s="893" t="str">
        <f t="shared" si="25"/>
        <v/>
      </c>
      <c r="M93" s="316"/>
      <c r="Q93" s="863"/>
      <c r="S93" s="864"/>
      <c r="U93" s="25"/>
      <c r="V93" s="25"/>
      <c r="W93" s="25"/>
    </row>
    <row r="94" spans="1:23" ht="12.75" customHeight="1">
      <c r="A94" s="240"/>
      <c r="B94" s="423">
        <v>73</v>
      </c>
      <c r="C94" s="891" t="str">
        <f t="shared" si="16"/>
        <v/>
      </c>
      <c r="D94" s="892" t="str">
        <f t="shared" si="17"/>
        <v/>
      </c>
      <c r="E94" s="892" t="str">
        <f t="shared" si="18"/>
        <v/>
      </c>
      <c r="F94" s="892" t="str">
        <f t="shared" si="19"/>
        <v/>
      </c>
      <c r="G94" s="892" t="str">
        <f t="shared" si="20"/>
        <v/>
      </c>
      <c r="H94" s="515" t="str">
        <f t="shared" si="21"/>
        <v/>
      </c>
      <c r="I94" s="225" t="str">
        <f t="shared" si="22"/>
        <v/>
      </c>
      <c r="J94" s="225" t="str">
        <f t="shared" si="23"/>
        <v/>
      </c>
      <c r="K94" s="225" t="str">
        <f t="shared" si="24"/>
        <v/>
      </c>
      <c r="L94" s="893" t="str">
        <f t="shared" si="25"/>
        <v/>
      </c>
      <c r="M94" s="316"/>
      <c r="Q94" s="863"/>
      <c r="S94" s="864"/>
      <c r="U94" s="25"/>
      <c r="V94" s="25"/>
      <c r="W94" s="25"/>
    </row>
    <row r="95" spans="1:23" ht="12.75" customHeight="1">
      <c r="A95" s="240"/>
      <c r="B95" s="423">
        <v>74</v>
      </c>
      <c r="C95" s="891" t="str">
        <f t="shared" si="16"/>
        <v/>
      </c>
      <c r="D95" s="892" t="str">
        <f t="shared" si="17"/>
        <v/>
      </c>
      <c r="E95" s="892" t="str">
        <f t="shared" si="18"/>
        <v/>
      </c>
      <c r="F95" s="892" t="str">
        <f t="shared" si="19"/>
        <v/>
      </c>
      <c r="G95" s="892" t="str">
        <f t="shared" si="20"/>
        <v/>
      </c>
      <c r="H95" s="515" t="str">
        <f t="shared" si="21"/>
        <v/>
      </c>
      <c r="I95" s="225" t="str">
        <f t="shared" si="22"/>
        <v/>
      </c>
      <c r="J95" s="225" t="str">
        <f t="shared" si="23"/>
        <v/>
      </c>
      <c r="K95" s="225" t="str">
        <f t="shared" si="24"/>
        <v/>
      </c>
      <c r="L95" s="893" t="str">
        <f t="shared" si="25"/>
        <v/>
      </c>
      <c r="M95" s="316"/>
      <c r="Q95" s="863"/>
      <c r="S95" s="864"/>
      <c r="U95" s="25"/>
      <c r="V95" s="25"/>
      <c r="W95" s="25"/>
    </row>
    <row r="96" spans="1:23" ht="12.75" customHeight="1">
      <c r="A96" s="240"/>
      <c r="B96" s="423">
        <v>75</v>
      </c>
      <c r="C96" s="891" t="str">
        <f t="shared" si="16"/>
        <v/>
      </c>
      <c r="D96" s="892" t="str">
        <f t="shared" si="17"/>
        <v/>
      </c>
      <c r="E96" s="892" t="str">
        <f t="shared" si="18"/>
        <v/>
      </c>
      <c r="F96" s="892" t="str">
        <f t="shared" si="19"/>
        <v/>
      </c>
      <c r="G96" s="892" t="str">
        <f t="shared" si="20"/>
        <v/>
      </c>
      <c r="H96" s="515" t="str">
        <f t="shared" si="21"/>
        <v/>
      </c>
      <c r="I96" s="225" t="str">
        <f t="shared" si="22"/>
        <v/>
      </c>
      <c r="J96" s="225" t="str">
        <f t="shared" si="23"/>
        <v/>
      </c>
      <c r="K96" s="225" t="str">
        <f t="shared" si="24"/>
        <v/>
      </c>
      <c r="L96" s="893" t="str">
        <f t="shared" si="25"/>
        <v/>
      </c>
      <c r="M96" s="316"/>
      <c r="Q96" s="863"/>
      <c r="S96" s="864"/>
      <c r="U96" s="25"/>
      <c r="V96" s="25"/>
      <c r="W96" s="25"/>
    </row>
    <row r="97" spans="1:23" ht="12.75" customHeight="1">
      <c r="A97" s="240"/>
      <c r="B97" s="423">
        <v>76</v>
      </c>
      <c r="C97" s="891" t="str">
        <f t="shared" si="16"/>
        <v/>
      </c>
      <c r="D97" s="892" t="str">
        <f t="shared" si="17"/>
        <v/>
      </c>
      <c r="E97" s="892" t="str">
        <f t="shared" si="18"/>
        <v/>
      </c>
      <c r="F97" s="892" t="str">
        <f t="shared" si="19"/>
        <v/>
      </c>
      <c r="G97" s="892" t="str">
        <f t="shared" si="20"/>
        <v/>
      </c>
      <c r="H97" s="515" t="str">
        <f t="shared" si="21"/>
        <v/>
      </c>
      <c r="I97" s="225" t="str">
        <f t="shared" si="22"/>
        <v/>
      </c>
      <c r="J97" s="225" t="str">
        <f t="shared" si="23"/>
        <v/>
      </c>
      <c r="K97" s="225" t="str">
        <f t="shared" si="24"/>
        <v/>
      </c>
      <c r="L97" s="893" t="str">
        <f t="shared" si="25"/>
        <v/>
      </c>
      <c r="M97" s="316"/>
      <c r="Q97" s="863"/>
      <c r="S97" s="864"/>
      <c r="U97" s="25"/>
      <c r="V97" s="25"/>
      <c r="W97" s="25"/>
    </row>
    <row r="98" spans="1:23" ht="12.75" customHeight="1">
      <c r="A98" s="240"/>
      <c r="B98" s="423">
        <v>77</v>
      </c>
      <c r="C98" s="891" t="str">
        <f t="shared" si="16"/>
        <v/>
      </c>
      <c r="D98" s="892" t="str">
        <f t="shared" si="17"/>
        <v/>
      </c>
      <c r="E98" s="892" t="str">
        <f t="shared" si="18"/>
        <v/>
      </c>
      <c r="F98" s="892" t="str">
        <f t="shared" si="19"/>
        <v/>
      </c>
      <c r="G98" s="892" t="str">
        <f t="shared" si="20"/>
        <v/>
      </c>
      <c r="H98" s="515" t="str">
        <f t="shared" si="21"/>
        <v/>
      </c>
      <c r="I98" s="225" t="str">
        <f t="shared" si="22"/>
        <v/>
      </c>
      <c r="J98" s="225" t="str">
        <f t="shared" si="23"/>
        <v/>
      </c>
      <c r="K98" s="225" t="str">
        <f t="shared" si="24"/>
        <v/>
      </c>
      <c r="L98" s="893" t="str">
        <f t="shared" si="25"/>
        <v/>
      </c>
      <c r="M98" s="316"/>
      <c r="Q98" s="863"/>
      <c r="S98" s="864"/>
      <c r="U98" s="25"/>
      <c r="V98" s="25"/>
      <c r="W98" s="25"/>
    </row>
    <row r="99" spans="1:23" ht="12.75" customHeight="1">
      <c r="A99" s="240"/>
      <c r="B99" s="423">
        <v>78</v>
      </c>
      <c r="C99" s="891" t="str">
        <f t="shared" si="16"/>
        <v/>
      </c>
      <c r="D99" s="892" t="str">
        <f t="shared" si="17"/>
        <v/>
      </c>
      <c r="E99" s="892" t="str">
        <f t="shared" si="18"/>
        <v/>
      </c>
      <c r="F99" s="892" t="str">
        <f t="shared" si="19"/>
        <v/>
      </c>
      <c r="G99" s="892" t="str">
        <f t="shared" si="20"/>
        <v/>
      </c>
      <c r="H99" s="515" t="str">
        <f t="shared" si="21"/>
        <v/>
      </c>
      <c r="I99" s="225" t="str">
        <f t="shared" si="22"/>
        <v/>
      </c>
      <c r="J99" s="225" t="str">
        <f t="shared" si="23"/>
        <v/>
      </c>
      <c r="K99" s="225" t="str">
        <f t="shared" si="24"/>
        <v/>
      </c>
      <c r="L99" s="893" t="str">
        <f t="shared" si="25"/>
        <v/>
      </c>
      <c r="M99" s="316"/>
      <c r="Q99" s="863"/>
      <c r="S99" s="864"/>
      <c r="U99" s="25"/>
      <c r="V99" s="25"/>
      <c r="W99" s="25"/>
    </row>
    <row r="100" spans="1:23" ht="12.75" customHeight="1">
      <c r="A100" s="240"/>
      <c r="B100" s="423">
        <v>79</v>
      </c>
      <c r="C100" s="891" t="str">
        <f t="shared" si="16"/>
        <v/>
      </c>
      <c r="D100" s="892" t="str">
        <f t="shared" si="17"/>
        <v/>
      </c>
      <c r="E100" s="892" t="str">
        <f t="shared" si="18"/>
        <v/>
      </c>
      <c r="F100" s="892" t="str">
        <f t="shared" si="19"/>
        <v/>
      </c>
      <c r="G100" s="892" t="str">
        <f t="shared" si="20"/>
        <v/>
      </c>
      <c r="H100" s="515" t="str">
        <f t="shared" si="21"/>
        <v/>
      </c>
      <c r="I100" s="225" t="str">
        <f t="shared" si="22"/>
        <v/>
      </c>
      <c r="J100" s="225" t="str">
        <f t="shared" si="23"/>
        <v/>
      </c>
      <c r="K100" s="225" t="str">
        <f t="shared" si="24"/>
        <v/>
      </c>
      <c r="L100" s="893" t="str">
        <f t="shared" si="25"/>
        <v/>
      </c>
      <c r="M100" s="316"/>
      <c r="Q100" s="863"/>
      <c r="S100" s="864"/>
      <c r="U100" s="25"/>
      <c r="V100" s="25"/>
      <c r="W100" s="25"/>
    </row>
    <row r="101" spans="1:23">
      <c r="A101" s="240"/>
      <c r="B101" s="865">
        <v>80</v>
      </c>
      <c r="C101" s="894" t="str">
        <f t="shared" si="16"/>
        <v/>
      </c>
      <c r="D101" s="894" t="str">
        <f t="shared" si="17"/>
        <v/>
      </c>
      <c r="E101" s="894" t="str">
        <f t="shared" si="18"/>
        <v/>
      </c>
      <c r="F101" s="894" t="str">
        <f t="shared" si="19"/>
        <v/>
      </c>
      <c r="G101" s="894" t="str">
        <f t="shared" si="20"/>
        <v/>
      </c>
      <c r="H101" s="475" t="str">
        <f t="shared" si="21"/>
        <v/>
      </c>
      <c r="I101" s="475" t="str">
        <f t="shared" si="22"/>
        <v/>
      </c>
      <c r="J101" s="475" t="str">
        <f t="shared" si="23"/>
        <v/>
      </c>
      <c r="K101" s="475" t="str">
        <f t="shared" si="24"/>
        <v/>
      </c>
      <c r="L101" s="476" t="str">
        <f t="shared" si="25"/>
        <v/>
      </c>
      <c r="M101" s="316"/>
    </row>
    <row r="102" spans="1:23">
      <c r="A102" s="317"/>
      <c r="B102" s="320"/>
      <c r="C102" s="320"/>
      <c r="D102" s="320"/>
      <c r="E102" s="320"/>
      <c r="F102" s="320"/>
      <c r="G102" s="320"/>
      <c r="H102" s="320"/>
      <c r="I102" s="320"/>
      <c r="J102" s="320"/>
      <c r="K102" s="320"/>
      <c r="L102" s="320"/>
      <c r="M102" s="354"/>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topLeftCell="A3"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0"/>
      <c r="B2" s="241" t="str">
        <f>'Cover Sheet'!B2</f>
        <v>SC Germany Consumer 2020-1</v>
      </c>
      <c r="C2" s="241"/>
      <c r="D2" s="242" t="str">
        <f>'Cover Sheet'!D2</f>
        <v>Calculation Date</v>
      </c>
      <c r="E2" s="243"/>
      <c r="F2" s="244">
        <f>'Cover Sheet'!F2</f>
        <v>45820</v>
      </c>
      <c r="G2" s="243"/>
      <c r="H2" s="243"/>
      <c r="I2" s="243"/>
      <c r="J2" s="243"/>
      <c r="K2" s="243"/>
      <c r="L2" s="245"/>
      <c r="M2" s="247"/>
    </row>
    <row r="3" spans="1:13" ht="18">
      <c r="A3" s="240"/>
      <c r="B3" s="241" t="str">
        <f>'Cover Sheet'!B3</f>
        <v>Monthly Investor Report</v>
      </c>
      <c r="C3" s="241"/>
      <c r="D3" s="249" t="str">
        <f>'Cover Sheet'!D3</f>
        <v>Payment Date</v>
      </c>
      <c r="E3" s="250"/>
      <c r="F3" s="251">
        <f>'Cover Sheet'!F3</f>
        <v>45824</v>
      </c>
      <c r="G3" s="250"/>
      <c r="H3" s="250"/>
      <c r="I3" s="250"/>
      <c r="J3" s="250"/>
      <c r="K3" s="250"/>
      <c r="L3" s="252"/>
      <c r="M3" s="247"/>
    </row>
    <row r="4" spans="1:13">
      <c r="A4" s="240"/>
      <c r="B4" s="870"/>
      <c r="C4" s="330"/>
      <c r="D4" s="249" t="str">
        <f>'Cover Sheet'!D4</f>
        <v>Period  No</v>
      </c>
      <c r="E4" s="250"/>
      <c r="F4" s="255">
        <f>'Cover Sheet'!F4</f>
        <v>55</v>
      </c>
      <c r="G4" s="250"/>
      <c r="H4" s="256"/>
      <c r="I4" s="250"/>
      <c r="J4" s="261"/>
      <c r="K4" s="250"/>
      <c r="L4" s="257"/>
      <c r="M4" s="247"/>
    </row>
    <row r="5" spans="1:13" ht="18">
      <c r="A5" s="240"/>
      <c r="B5" s="331" t="s">
        <v>248</v>
      </c>
      <c r="C5" s="331"/>
      <c r="D5" s="249" t="str">
        <f>'Cover Sheet'!D5</f>
        <v>Monthly Period</v>
      </c>
      <c r="E5" s="250"/>
      <c r="F5" s="124">
        <f>'Cover Sheet'!F5</f>
        <v>45824</v>
      </c>
      <c r="G5" s="250"/>
      <c r="H5" s="256"/>
      <c r="I5" s="250"/>
      <c r="J5" s="261"/>
      <c r="K5" s="250"/>
      <c r="L5" s="257"/>
      <c r="M5" s="247"/>
    </row>
    <row r="6" spans="1:13" s="248" customFormat="1" ht="15" customHeight="1">
      <c r="A6" s="240"/>
      <c r="B6" s="259"/>
      <c r="C6" s="332"/>
      <c r="D6" s="249" t="str">
        <f>'Cover Sheet'!D6</f>
        <v>Interest Period</v>
      </c>
      <c r="E6" s="261" t="s">
        <v>34</v>
      </c>
      <c r="F6" s="251">
        <f>'Cover Sheet'!F6</f>
        <v>45791</v>
      </c>
      <c r="G6" s="261" t="str">
        <f>'Cover Sheet'!G6</f>
        <v>to</v>
      </c>
      <c r="H6" s="251">
        <f>'Cover Sheet'!H6</f>
        <v>45824</v>
      </c>
      <c r="I6" s="261" t="str">
        <f>'Cover Sheet'!I6</f>
        <v>=</v>
      </c>
      <c r="J6" s="838" t="str">
        <f>'Cover Sheet'!J6</f>
        <v>33 days</v>
      </c>
      <c r="K6" s="261"/>
      <c r="L6" s="375"/>
      <c r="M6" s="329"/>
    </row>
    <row r="7" spans="1:13">
      <c r="A7" s="240"/>
      <c r="D7" s="713" t="str">
        <f>'Cover Sheet'!D7</f>
        <v>Collection Period</v>
      </c>
      <c r="E7" s="714" t="s">
        <v>34</v>
      </c>
      <c r="F7" s="265" t="str">
        <f>'Cover Sheet'!F7</f>
        <v>01.05.2025</v>
      </c>
      <c r="G7" s="714" t="str">
        <f>'Cover Sheet'!G7</f>
        <v>to</v>
      </c>
      <c r="H7" s="265">
        <f>'Cover Sheet'!H7</f>
        <v>45808</v>
      </c>
      <c r="I7" s="266"/>
      <c r="J7" s="266"/>
      <c r="K7" s="266"/>
      <c r="L7" s="267"/>
      <c r="M7" s="247"/>
    </row>
    <row r="8" spans="1:13" ht="13">
      <c r="A8" s="240"/>
      <c r="D8" s="840"/>
      <c r="E8" s="268"/>
      <c r="F8" s="246"/>
      <c r="H8" s="269"/>
      <c r="J8" s="269"/>
      <c r="L8" s="253"/>
      <c r="M8" s="247"/>
    </row>
    <row r="9" spans="1:13">
      <c r="A9" s="240"/>
      <c r="D9" s="330"/>
      <c r="M9" s="247"/>
    </row>
    <row r="10" spans="1:13">
      <c r="A10" s="240"/>
      <c r="D10" s="330"/>
      <c r="M10" s="247"/>
    </row>
    <row r="11" spans="1:13" ht="18" customHeight="1">
      <c r="A11" s="240"/>
      <c r="D11" s="330"/>
      <c r="M11" s="247"/>
    </row>
    <row r="12" spans="1:13">
      <c r="A12" s="240"/>
      <c r="D12" s="330"/>
      <c r="M12" s="247"/>
    </row>
    <row r="13" spans="1:13" ht="18">
      <c r="A13" s="240"/>
      <c r="B13" s="241"/>
      <c r="D13" s="841"/>
      <c r="F13" s="241"/>
      <c r="H13" s="25"/>
      <c r="I13" s="25"/>
      <c r="J13" s="276"/>
      <c r="K13" s="25"/>
      <c r="L13" s="25"/>
      <c r="M13" s="247"/>
    </row>
    <row r="14" spans="1:13">
      <c r="A14" s="240"/>
      <c r="D14" s="842"/>
      <c r="H14" s="25"/>
      <c r="I14" s="25"/>
      <c r="J14" s="25"/>
      <c r="K14" s="25"/>
      <c r="L14" s="25"/>
      <c r="M14" s="247"/>
    </row>
    <row r="15" spans="1:13">
      <c r="A15" s="240"/>
      <c r="D15" s="842"/>
      <c r="H15" s="25"/>
      <c r="I15" s="25"/>
      <c r="J15" s="25"/>
      <c r="K15" s="25"/>
      <c r="L15" s="25"/>
      <c r="M15" s="247"/>
    </row>
    <row r="16" spans="1:13">
      <c r="A16" s="240"/>
      <c r="D16" s="843"/>
      <c r="H16" s="25"/>
      <c r="I16" s="25"/>
      <c r="J16" s="25"/>
      <c r="K16" s="25"/>
      <c r="L16" s="25"/>
      <c r="M16" s="247"/>
    </row>
    <row r="17" spans="1:13" ht="31.5" customHeight="1">
      <c r="A17" s="240"/>
      <c r="B17" s="241" t="s">
        <v>182</v>
      </c>
      <c r="D17" s="330"/>
      <c r="F17" s="827" t="s">
        <v>180</v>
      </c>
      <c r="G17" s="841"/>
      <c r="H17" s="845" t="s">
        <v>61</v>
      </c>
      <c r="I17" s="25"/>
      <c r="J17" s="845"/>
      <c r="K17" s="25"/>
      <c r="L17" s="845"/>
      <c r="M17" s="247"/>
    </row>
    <row r="18" spans="1:13" ht="13">
      <c r="A18" s="240"/>
      <c r="B18" s="871"/>
      <c r="D18" s="872"/>
      <c r="F18" s="826"/>
      <c r="G18" s="819"/>
      <c r="H18" s="25"/>
      <c r="I18" s="25"/>
      <c r="J18" s="25"/>
      <c r="K18" s="25"/>
      <c r="L18" s="25"/>
      <c r="M18" s="247"/>
    </row>
    <row r="19" spans="1:13" ht="13">
      <c r="A19" s="240"/>
      <c r="B19" s="873" t="s">
        <v>183</v>
      </c>
      <c r="D19" s="872"/>
      <c r="F19" s="826"/>
      <c r="G19" s="819"/>
      <c r="H19" s="25"/>
      <c r="I19" s="763"/>
      <c r="J19" s="822"/>
      <c r="K19" s="763"/>
      <c r="L19" s="822"/>
      <c r="M19" s="247"/>
    </row>
    <row r="20" spans="1:13" ht="13">
      <c r="A20" s="240"/>
      <c r="B20" s="25" t="s">
        <v>184</v>
      </c>
      <c r="D20" s="872"/>
      <c r="F20" s="874">
        <f>VLOOKUP("GrossDefault_current",calcdata_20,2,0)</f>
        <v>877657.75</v>
      </c>
      <c r="G20" s="819"/>
      <c r="H20" s="25"/>
      <c r="I20" s="763"/>
      <c r="J20" s="25"/>
      <c r="K20" s="763"/>
      <c r="L20" s="852"/>
      <c r="M20" s="247"/>
    </row>
    <row r="21" spans="1:13">
      <c r="A21" s="240"/>
      <c r="B21" s="25" t="s">
        <v>86</v>
      </c>
      <c r="D21" s="330"/>
      <c r="F21" s="874">
        <f>VLOOKUP("Recoveries_current",calcdata_20,2,0)</f>
        <v>282796.34999999998</v>
      </c>
      <c r="H21" s="25"/>
      <c r="I21" s="25"/>
      <c r="J21" s="718"/>
      <c r="K21" s="25"/>
      <c r="L21" s="25"/>
      <c r="M21" s="247"/>
    </row>
    <row r="22" spans="1:13" ht="13">
      <c r="A22" s="240"/>
      <c r="B22" s="25" t="s">
        <v>185</v>
      </c>
      <c r="D22" s="875"/>
      <c r="E22" s="819"/>
      <c r="F22" s="874">
        <f>F20-F21</f>
        <v>594861.4</v>
      </c>
      <c r="G22" s="819"/>
      <c r="H22" s="822"/>
      <c r="I22" s="25"/>
      <c r="J22" s="718"/>
      <c r="K22" s="25"/>
      <c r="L22" s="25"/>
      <c r="M22" s="247"/>
    </row>
    <row r="23" spans="1:13">
      <c r="A23" s="240"/>
      <c r="B23" s="25" t="s">
        <v>186</v>
      </c>
      <c r="D23" s="876"/>
      <c r="F23" s="877"/>
      <c r="H23" s="25">
        <f>VLOOKUP("default_new",Assets_20,3,0)</f>
        <v>107</v>
      </c>
      <c r="I23" s="25"/>
      <c r="J23" s="718"/>
      <c r="K23" s="25"/>
      <c r="L23" s="25"/>
      <c r="M23" s="247"/>
    </row>
    <row r="24" spans="1:13" ht="13">
      <c r="A24" s="240"/>
      <c r="B24" s="871"/>
      <c r="D24" s="876"/>
      <c r="F24" s="877"/>
      <c r="H24" s="878"/>
      <c r="I24" s="763"/>
      <c r="J24" s="822"/>
      <c r="K24" s="763"/>
      <c r="L24" s="822"/>
      <c r="M24" s="247"/>
    </row>
    <row r="25" spans="1:13" ht="13">
      <c r="A25" s="240"/>
      <c r="B25" s="873" t="s">
        <v>187</v>
      </c>
      <c r="D25" s="876"/>
      <c r="F25" s="877"/>
      <c r="H25" s="879"/>
      <c r="I25" s="763"/>
      <c r="J25" s="718"/>
      <c r="K25" s="763"/>
      <c r="L25" s="852"/>
      <c r="M25" s="247"/>
    </row>
    <row r="26" spans="1:13" ht="13">
      <c r="A26" s="240"/>
      <c r="B26" s="25" t="s">
        <v>188</v>
      </c>
      <c r="C26" s="819"/>
      <c r="D26" s="875"/>
      <c r="E26" s="819"/>
      <c r="F26" s="874">
        <f>VLOOKUP("Cum_GrossDefault",calcdata_20,2,0)</f>
        <v>117032563.39999998</v>
      </c>
      <c r="G26" s="819"/>
      <c r="H26" s="822"/>
      <c r="I26" s="25"/>
      <c r="J26" s="718"/>
      <c r="K26" s="25"/>
      <c r="L26" s="25"/>
      <c r="M26" s="247"/>
    </row>
    <row r="27" spans="1:13" ht="13">
      <c r="A27" s="240"/>
      <c r="B27" s="25" t="s">
        <v>87</v>
      </c>
      <c r="D27" s="876"/>
      <c r="F27" s="874">
        <f>VLOOKUP("Cum_Recoveries",calcdata_20,2,0)</f>
        <v>18920105.991177928</v>
      </c>
      <c r="H27" s="827"/>
      <c r="I27" s="25"/>
      <c r="J27" s="718"/>
      <c r="K27" s="25"/>
      <c r="L27" s="25"/>
      <c r="M27" s="247"/>
    </row>
    <row r="28" spans="1:13">
      <c r="A28" s="240"/>
      <c r="B28" s="25" t="s">
        <v>189</v>
      </c>
      <c r="D28" s="876"/>
      <c r="F28" s="874">
        <f>F26-F27</f>
        <v>98112457.408822045</v>
      </c>
      <c r="H28" s="718"/>
      <c r="I28" s="25"/>
      <c r="J28" s="25"/>
      <c r="K28" s="25"/>
      <c r="L28" s="25"/>
      <c r="M28" s="247"/>
    </row>
    <row r="29" spans="1:13">
      <c r="A29" s="240"/>
      <c r="B29" s="25" t="s">
        <v>190</v>
      </c>
      <c r="D29" s="330"/>
      <c r="F29" s="330"/>
      <c r="H29" s="973">
        <f>VLOOKUP(F4-1,'3.3 Defaults &amp; Recoveries p.p.'!B:C,2,0)+H23</f>
        <v>11872</v>
      </c>
      <c r="I29" s="25"/>
      <c r="J29" s="25"/>
      <c r="K29" s="25"/>
      <c r="L29" s="25"/>
      <c r="M29" s="247"/>
    </row>
    <row r="30" spans="1:13">
      <c r="A30" s="240"/>
      <c r="D30" s="330"/>
      <c r="F30" s="330"/>
      <c r="H30" s="25"/>
      <c r="I30" s="25"/>
      <c r="J30" s="718"/>
      <c r="K30" s="25"/>
      <c r="L30" s="25"/>
      <c r="M30" s="247"/>
    </row>
    <row r="31" spans="1:13">
      <c r="A31" s="240"/>
      <c r="D31" s="876"/>
      <c r="F31" s="330"/>
      <c r="H31" s="25"/>
      <c r="I31" s="25"/>
      <c r="J31" s="25"/>
      <c r="K31" s="25"/>
      <c r="L31" s="25"/>
      <c r="M31" s="247"/>
    </row>
    <row r="32" spans="1:13" ht="18">
      <c r="A32" s="240"/>
      <c r="B32" s="241" t="s">
        <v>249</v>
      </c>
      <c r="D32" s="876"/>
      <c r="F32" s="330"/>
      <c r="H32" s="25"/>
      <c r="I32" s="25"/>
      <c r="J32" s="822"/>
      <c r="K32" s="25"/>
      <c r="L32" s="823"/>
      <c r="M32" s="247"/>
    </row>
    <row r="33" spans="1:13">
      <c r="A33" s="240"/>
      <c r="D33" s="876"/>
      <c r="F33" s="330"/>
      <c r="H33" s="25"/>
      <c r="I33" s="25"/>
      <c r="J33" s="25"/>
      <c r="K33" s="25"/>
      <c r="L33" s="25"/>
      <c r="M33" s="247"/>
    </row>
    <row r="34" spans="1:13" ht="13">
      <c r="A34" s="240"/>
      <c r="B34" s="873" t="s">
        <v>250</v>
      </c>
      <c r="D34" s="876"/>
      <c r="F34" s="936"/>
      <c r="H34" s="25"/>
      <c r="I34" s="25"/>
      <c r="J34" s="25"/>
      <c r="K34" s="25"/>
      <c r="L34" s="25"/>
      <c r="M34" s="247"/>
    </row>
    <row r="35" spans="1:13">
      <c r="A35" s="240"/>
      <c r="B35" s="33" t="s">
        <v>410</v>
      </c>
      <c r="D35" s="876"/>
      <c r="F35" s="937">
        <f>VLOOKUP("A_PDL_bop",calcdata_20,2,FALSE)</f>
        <v>0</v>
      </c>
      <c r="H35" s="25"/>
      <c r="I35" s="25"/>
      <c r="J35" s="25"/>
      <c r="K35" s="25"/>
      <c r="L35" s="25"/>
      <c r="M35" s="247"/>
    </row>
    <row r="36" spans="1:13" ht="13">
      <c r="A36" s="240"/>
      <c r="B36" s="33" t="s">
        <v>411</v>
      </c>
      <c r="D36" s="876"/>
      <c r="F36" s="937">
        <f>VLOOKUP("A_debited_PDL",calcdata_20,2,FALSE)</f>
        <v>0</v>
      </c>
      <c r="H36" s="25"/>
      <c r="I36" s="25"/>
      <c r="J36" s="822"/>
      <c r="K36" s="25"/>
      <c r="L36" s="822"/>
      <c r="M36" s="247"/>
    </row>
    <row r="37" spans="1:13" ht="13">
      <c r="A37" s="240"/>
      <c r="B37" s="33" t="s">
        <v>412</v>
      </c>
      <c r="D37" s="876"/>
      <c r="F37" s="937">
        <f>VLOOKUP("A_credited_PDL",calcdata_20,2,FALSE)</f>
        <v>0</v>
      </c>
      <c r="H37" s="25"/>
      <c r="I37" s="25"/>
      <c r="J37" s="822"/>
      <c r="K37" s="25"/>
      <c r="L37" s="822"/>
      <c r="M37" s="247"/>
    </row>
    <row r="38" spans="1:13" ht="13">
      <c r="A38" s="240"/>
      <c r="B38" s="33" t="s">
        <v>413</v>
      </c>
      <c r="D38" s="876"/>
      <c r="F38" s="937">
        <f>VLOOKUP("A_PDL_eop",calcdata_20,2,FALSE)</f>
        <v>0</v>
      </c>
      <c r="H38" s="25"/>
      <c r="I38" s="25"/>
      <c r="J38" s="827"/>
      <c r="K38" s="25"/>
      <c r="L38" s="827"/>
      <c r="M38" s="247"/>
    </row>
    <row r="39" spans="1:13" ht="13">
      <c r="A39" s="240"/>
      <c r="D39" s="876"/>
      <c r="F39" s="937"/>
      <c r="H39" s="25"/>
      <c r="I39" s="25"/>
      <c r="J39" s="828"/>
      <c r="K39" s="25"/>
      <c r="L39" s="718"/>
      <c r="M39" s="247"/>
    </row>
    <row r="40" spans="1:13" ht="13">
      <c r="A40" s="240"/>
      <c r="B40" s="873" t="s">
        <v>346</v>
      </c>
      <c r="D40" s="876"/>
      <c r="F40" s="936"/>
      <c r="H40" s="25"/>
      <c r="I40" s="25"/>
      <c r="J40" s="25"/>
      <c r="K40" s="25"/>
      <c r="L40" s="25"/>
      <c r="M40" s="247"/>
    </row>
    <row r="41" spans="1:13">
      <c r="A41" s="240"/>
      <c r="B41" s="33" t="s">
        <v>414</v>
      </c>
      <c r="D41" s="876"/>
      <c r="F41" s="937">
        <f>VLOOKUP("B_PDL_bop",calcdata_20,2,FALSE)</f>
        <v>0</v>
      </c>
      <c r="H41" s="25"/>
      <c r="I41" s="25"/>
      <c r="J41" s="25"/>
      <c r="K41" s="25"/>
      <c r="L41" s="25"/>
      <c r="M41" s="247"/>
    </row>
    <row r="42" spans="1:13" ht="13">
      <c r="A42" s="240"/>
      <c r="B42" s="33" t="s">
        <v>415</v>
      </c>
      <c r="D42" s="876"/>
      <c r="F42" s="937">
        <f>VLOOKUP("B_debited_PDL",calcdata_20,2,FALSE)</f>
        <v>0</v>
      </c>
      <c r="H42" s="25"/>
      <c r="I42" s="25"/>
      <c r="J42" s="822"/>
      <c r="K42" s="25"/>
      <c r="L42" s="822"/>
      <c r="M42" s="247"/>
    </row>
    <row r="43" spans="1:13" ht="13">
      <c r="A43" s="240"/>
      <c r="B43" s="33" t="s">
        <v>416</v>
      </c>
      <c r="D43" s="876"/>
      <c r="F43" s="937">
        <f>VLOOKUP("B_credited_PDL",calcdata_20,2,FALSE)</f>
        <v>0</v>
      </c>
      <c r="H43" s="25"/>
      <c r="I43" s="25"/>
      <c r="J43" s="827"/>
      <c r="K43" s="25"/>
      <c r="L43" s="827"/>
      <c r="M43" s="247"/>
    </row>
    <row r="44" spans="1:13" ht="13">
      <c r="A44" s="240"/>
      <c r="B44" s="33" t="s">
        <v>417</v>
      </c>
      <c r="D44" s="876"/>
      <c r="F44" s="937">
        <f>VLOOKUP("B_PDL_eop",calcdata_20,2,FALSE)</f>
        <v>0</v>
      </c>
      <c r="H44" s="25"/>
      <c r="I44" s="25"/>
      <c r="J44" s="827"/>
      <c r="K44" s="25"/>
      <c r="L44" s="827"/>
      <c r="M44" s="247"/>
    </row>
    <row r="45" spans="1:13" ht="13">
      <c r="A45" s="240"/>
      <c r="D45" s="876"/>
      <c r="F45" s="937"/>
      <c r="H45" s="25"/>
      <c r="I45" s="25"/>
      <c r="J45" s="828"/>
      <c r="K45" s="25"/>
      <c r="L45" s="718"/>
      <c r="M45" s="247"/>
    </row>
    <row r="46" spans="1:13" ht="13">
      <c r="A46" s="240"/>
      <c r="B46" s="873" t="s">
        <v>347</v>
      </c>
      <c r="D46" s="876"/>
      <c r="F46" s="936"/>
      <c r="H46" s="25"/>
      <c r="I46" s="25"/>
      <c r="J46" s="25"/>
      <c r="K46" s="25"/>
      <c r="L46" s="25"/>
      <c r="M46" s="247"/>
    </row>
    <row r="47" spans="1:13">
      <c r="A47" s="240"/>
      <c r="B47" s="33" t="s">
        <v>418</v>
      </c>
      <c r="D47" s="876"/>
      <c r="F47" s="937">
        <f>VLOOKUP("C_PDL_bop",calcdata_20,2,FALSE)</f>
        <v>0</v>
      </c>
      <c r="H47" s="25"/>
      <c r="I47" s="25"/>
      <c r="J47" s="25"/>
      <c r="K47" s="25"/>
      <c r="L47" s="25"/>
      <c r="M47" s="247"/>
    </row>
    <row r="48" spans="1:13" ht="13">
      <c r="A48" s="240"/>
      <c r="B48" s="33" t="s">
        <v>419</v>
      </c>
      <c r="D48" s="876"/>
      <c r="F48" s="937">
        <f>VLOOKUP("C_debited_PDL",calcdata_20,2,FALSE)</f>
        <v>0</v>
      </c>
      <c r="H48" s="25"/>
      <c r="I48" s="25"/>
      <c r="J48" s="822"/>
      <c r="K48" s="25"/>
      <c r="L48" s="822"/>
      <c r="M48" s="247"/>
    </row>
    <row r="49" spans="1:13" ht="13">
      <c r="A49" s="240"/>
      <c r="B49" s="33" t="s">
        <v>420</v>
      </c>
      <c r="D49" s="876"/>
      <c r="F49" s="937">
        <f>VLOOKUP("C_credited_PDL",calcdata_20,2,FALSE)</f>
        <v>0</v>
      </c>
      <c r="H49" s="25"/>
      <c r="I49" s="25"/>
      <c r="J49" s="827"/>
      <c r="K49" s="25"/>
      <c r="L49" s="827"/>
      <c r="M49" s="247"/>
    </row>
    <row r="50" spans="1:13" ht="13">
      <c r="A50" s="240"/>
      <c r="B50" s="33" t="s">
        <v>421</v>
      </c>
      <c r="D50" s="876"/>
      <c r="F50" s="937">
        <f>VLOOKUP("C_PDL_eop",calcdata_20,2,FALSE)</f>
        <v>0</v>
      </c>
      <c r="H50" s="25"/>
      <c r="I50" s="25"/>
      <c r="J50" s="827"/>
      <c r="K50" s="25"/>
      <c r="L50" s="827"/>
      <c r="M50" s="247"/>
    </row>
    <row r="51" spans="1:13" ht="13">
      <c r="A51" s="240"/>
      <c r="D51" s="876"/>
      <c r="F51" s="937"/>
      <c r="H51" s="25"/>
      <c r="I51" s="25"/>
      <c r="J51" s="828"/>
      <c r="K51" s="25"/>
      <c r="L51" s="718"/>
      <c r="M51" s="247"/>
    </row>
    <row r="52" spans="1:13" ht="13">
      <c r="A52" s="240"/>
      <c r="B52" s="873" t="s">
        <v>348</v>
      </c>
      <c r="D52" s="876"/>
      <c r="F52" s="936"/>
      <c r="H52" s="25"/>
      <c r="I52" s="25"/>
      <c r="J52" s="25"/>
      <c r="K52" s="25"/>
      <c r="L52" s="25"/>
      <c r="M52" s="247"/>
    </row>
    <row r="53" spans="1:13">
      <c r="A53" s="240"/>
      <c r="B53" s="33" t="s">
        <v>422</v>
      </c>
      <c r="D53" s="876"/>
      <c r="F53" s="937">
        <f>VLOOKUP("D_PDL_bop",calcdata_20,2,FALSE)</f>
        <v>0</v>
      </c>
      <c r="H53" s="25"/>
      <c r="I53" s="25"/>
      <c r="J53" s="25"/>
      <c r="K53" s="25"/>
      <c r="L53" s="25"/>
      <c r="M53" s="247"/>
    </row>
    <row r="54" spans="1:13" ht="13">
      <c r="A54" s="240"/>
      <c r="B54" s="33" t="s">
        <v>423</v>
      </c>
      <c r="D54" s="876"/>
      <c r="F54" s="937">
        <f>VLOOKUP("D_debited_PDL",calcdata_20,2,FALSE)</f>
        <v>0</v>
      </c>
      <c r="H54" s="25"/>
      <c r="I54" s="25"/>
      <c r="J54" s="822"/>
      <c r="K54" s="25"/>
      <c r="L54" s="822"/>
      <c r="M54" s="247"/>
    </row>
    <row r="55" spans="1:13" ht="13">
      <c r="A55" s="240"/>
      <c r="B55" s="33" t="s">
        <v>424</v>
      </c>
      <c r="D55" s="876"/>
      <c r="F55" s="937">
        <f>VLOOKUP("D_credited_PDL",calcdata_20,2,FALSE)</f>
        <v>0</v>
      </c>
      <c r="H55" s="25"/>
      <c r="I55" s="25"/>
      <c r="J55" s="827"/>
      <c r="K55" s="25"/>
      <c r="L55" s="827"/>
      <c r="M55" s="247"/>
    </row>
    <row r="56" spans="1:13" ht="13">
      <c r="A56" s="240"/>
      <c r="B56" s="33" t="s">
        <v>425</v>
      </c>
      <c r="D56" s="876"/>
      <c r="F56" s="937">
        <f>VLOOKUP("D_PDL_eop",calcdata_20,2,FALSE)</f>
        <v>0</v>
      </c>
      <c r="H56" s="25"/>
      <c r="I56" s="25"/>
      <c r="J56" s="827"/>
      <c r="K56" s="25"/>
      <c r="L56" s="827"/>
      <c r="M56" s="247"/>
    </row>
    <row r="57" spans="1:13" ht="13">
      <c r="A57" s="240"/>
      <c r="D57" s="876"/>
      <c r="F57" s="937"/>
      <c r="H57" s="25"/>
      <c r="I57" s="25"/>
      <c r="J57" s="828"/>
      <c r="K57" s="25"/>
      <c r="L57" s="718"/>
      <c r="M57" s="247"/>
    </row>
    <row r="58" spans="1:13" ht="13">
      <c r="A58" s="240"/>
      <c r="B58" s="873" t="s">
        <v>349</v>
      </c>
      <c r="D58" s="876"/>
      <c r="F58" s="936"/>
      <c r="H58" s="25"/>
      <c r="I58" s="25"/>
      <c r="J58" s="25"/>
      <c r="K58" s="25"/>
      <c r="L58" s="25"/>
      <c r="M58" s="247"/>
    </row>
    <row r="59" spans="1:13">
      <c r="A59" s="240"/>
      <c r="B59" s="33" t="s">
        <v>426</v>
      </c>
      <c r="D59" s="876"/>
      <c r="F59" s="937">
        <f>VLOOKUP("E_PDL_bop",calcdata_20,2,FALSE)</f>
        <v>0</v>
      </c>
      <c r="H59" s="25"/>
      <c r="I59" s="25"/>
      <c r="J59" s="25"/>
      <c r="K59" s="25"/>
      <c r="L59" s="25"/>
      <c r="M59" s="247"/>
    </row>
    <row r="60" spans="1:13" ht="13">
      <c r="A60" s="240"/>
      <c r="B60" s="33" t="s">
        <v>427</v>
      </c>
      <c r="D60" s="876"/>
      <c r="F60" s="937">
        <f>VLOOKUP("E_debited_PDL",calcdata_20,2,FALSE)</f>
        <v>0</v>
      </c>
      <c r="H60" s="25"/>
      <c r="I60" s="25"/>
      <c r="J60" s="822"/>
      <c r="K60" s="25"/>
      <c r="L60" s="822"/>
      <c r="M60" s="247"/>
    </row>
    <row r="61" spans="1:13" ht="13">
      <c r="A61" s="240"/>
      <c r="B61" s="33" t="s">
        <v>428</v>
      </c>
      <c r="D61" s="876"/>
      <c r="F61" s="937">
        <f>VLOOKUP("E_credited_PDL",calcdata_20,2,FALSE)</f>
        <v>0</v>
      </c>
      <c r="H61" s="25"/>
      <c r="I61" s="25"/>
      <c r="J61" s="827"/>
      <c r="K61" s="25"/>
      <c r="L61" s="827"/>
      <c r="M61" s="247"/>
    </row>
    <row r="62" spans="1:13" ht="13">
      <c r="A62" s="240"/>
      <c r="B62" s="33" t="s">
        <v>429</v>
      </c>
      <c r="D62" s="876"/>
      <c r="F62" s="937">
        <f>VLOOKUP("E_PDL_eop",calcdata_20,2,FALSE)</f>
        <v>0</v>
      </c>
      <c r="H62" s="25"/>
      <c r="I62" s="25"/>
      <c r="J62" s="827"/>
      <c r="K62" s="25"/>
      <c r="L62" s="827"/>
      <c r="M62" s="247"/>
    </row>
    <row r="63" spans="1:13" ht="13">
      <c r="A63" s="240"/>
      <c r="D63" s="876"/>
      <c r="F63" s="937"/>
      <c r="H63" s="25"/>
      <c r="I63" s="25"/>
      <c r="J63" s="828"/>
      <c r="K63" s="25"/>
      <c r="L63" s="718"/>
      <c r="M63" s="247"/>
    </row>
    <row r="64" spans="1:13" ht="13">
      <c r="A64" s="240"/>
      <c r="B64" s="873" t="s">
        <v>350</v>
      </c>
      <c r="D64" s="876"/>
      <c r="F64" s="936"/>
      <c r="H64" s="25"/>
      <c r="I64" s="25"/>
      <c r="J64" s="25"/>
      <c r="K64" s="25"/>
      <c r="L64" s="25"/>
      <c r="M64" s="247"/>
    </row>
    <row r="65" spans="1:13">
      <c r="A65" s="240"/>
      <c r="B65" s="33" t="s">
        <v>430</v>
      </c>
      <c r="D65" s="876"/>
      <c r="F65" s="937">
        <f>VLOOKUP("F_PDL_bop",calcdata_20,2,FALSE)</f>
        <v>0</v>
      </c>
      <c r="H65" s="25"/>
      <c r="I65" s="25"/>
      <c r="J65" s="25"/>
      <c r="K65" s="25"/>
      <c r="L65" s="25"/>
      <c r="M65" s="247"/>
    </row>
    <row r="66" spans="1:13" ht="13">
      <c r="A66" s="240"/>
      <c r="B66" s="33" t="s">
        <v>431</v>
      </c>
      <c r="D66" s="876"/>
      <c r="F66" s="937">
        <f>VLOOKUP("F_debited_PDL",calcdata_20,2,FALSE)</f>
        <v>0</v>
      </c>
      <c r="H66" s="25"/>
      <c r="I66" s="25"/>
      <c r="J66" s="822"/>
      <c r="K66" s="25"/>
      <c r="L66" s="822"/>
      <c r="M66" s="247"/>
    </row>
    <row r="67" spans="1:13" ht="13">
      <c r="A67" s="240"/>
      <c r="B67" s="33" t="s">
        <v>432</v>
      </c>
      <c r="D67" s="876"/>
      <c r="F67" s="937">
        <f>VLOOKUP("F_credited_PDL",calcdata_20,2,FALSE)</f>
        <v>0</v>
      </c>
      <c r="H67" s="25"/>
      <c r="I67" s="25"/>
      <c r="J67" s="827"/>
      <c r="K67" s="25"/>
      <c r="L67" s="827"/>
      <c r="M67" s="247"/>
    </row>
    <row r="68" spans="1:13" ht="13">
      <c r="A68" s="240"/>
      <c r="B68" s="33" t="s">
        <v>433</v>
      </c>
      <c r="D68" s="876"/>
      <c r="F68" s="937">
        <f>VLOOKUP("F_PDL_eop",calcdata_20,2,FALSE)</f>
        <v>0</v>
      </c>
      <c r="H68" s="25"/>
      <c r="I68" s="25"/>
      <c r="J68" s="827"/>
      <c r="K68" s="25"/>
      <c r="L68" s="827"/>
      <c r="M68" s="247"/>
    </row>
    <row r="69" spans="1:13" ht="13">
      <c r="A69" s="240"/>
      <c r="D69" s="876"/>
      <c r="F69" s="937"/>
      <c r="H69" s="25"/>
      <c r="I69" s="25"/>
      <c r="J69" s="828"/>
      <c r="K69" s="25"/>
      <c r="L69" s="718"/>
      <c r="M69" s="247"/>
    </row>
    <row r="70" spans="1:13" ht="13">
      <c r="A70" s="240"/>
      <c r="B70" s="873" t="s">
        <v>351</v>
      </c>
      <c r="D70" s="876"/>
      <c r="F70" s="936"/>
      <c r="H70" s="25"/>
      <c r="I70" s="25"/>
      <c r="J70" s="25"/>
      <c r="K70" s="25"/>
      <c r="L70" s="25"/>
      <c r="M70" s="247"/>
    </row>
    <row r="71" spans="1:13">
      <c r="A71" s="240"/>
      <c r="B71" s="33" t="s">
        <v>434</v>
      </c>
      <c r="D71" s="876"/>
      <c r="F71" s="937">
        <f>VLOOKUP("G_PDL_bop",calcdata_20,2,FALSE)</f>
        <v>0</v>
      </c>
      <c r="H71" s="25"/>
      <c r="I71" s="25"/>
      <c r="J71" s="25"/>
      <c r="K71" s="25"/>
      <c r="L71" s="25"/>
      <c r="M71" s="247"/>
    </row>
    <row r="72" spans="1:13" ht="13">
      <c r="A72" s="240"/>
      <c r="B72" s="33" t="s">
        <v>529</v>
      </c>
      <c r="D72" s="876"/>
      <c r="F72" s="937">
        <f>VLOOKUP("G_debited_PDL",calcdata_20,2,FALSE)</f>
        <v>877657.75</v>
      </c>
      <c r="H72" s="25"/>
      <c r="I72" s="25"/>
      <c r="J72" s="822"/>
      <c r="K72" s="25"/>
      <c r="L72" s="822"/>
      <c r="M72" s="247"/>
    </row>
    <row r="73" spans="1:13" ht="13">
      <c r="A73" s="240"/>
      <c r="B73" s="33" t="s">
        <v>530</v>
      </c>
      <c r="D73" s="876"/>
      <c r="F73" s="937">
        <f>VLOOKUP("G_credited_PDL",calcdata_20,2,FALSE)</f>
        <v>877657.75</v>
      </c>
      <c r="H73" s="25"/>
      <c r="I73" s="25"/>
      <c r="J73" s="827"/>
      <c r="K73" s="25"/>
      <c r="L73" s="827"/>
      <c r="M73" s="247"/>
    </row>
    <row r="74" spans="1:13" ht="13">
      <c r="A74" s="240"/>
      <c r="B74" s="33" t="s">
        <v>531</v>
      </c>
      <c r="D74" s="876"/>
      <c r="F74" s="937">
        <f>VLOOKUP("G_PDL_eop",calcdata_20,2,FALSE)</f>
        <v>0</v>
      </c>
      <c r="H74" s="25"/>
      <c r="I74" s="25"/>
      <c r="J74" s="827"/>
      <c r="K74" s="25"/>
      <c r="L74" s="827"/>
      <c r="M74" s="247"/>
    </row>
    <row r="75" spans="1:13" ht="12.75" customHeight="1">
      <c r="A75" s="240"/>
      <c r="D75" s="880"/>
      <c r="F75" s="938"/>
      <c r="H75" s="25"/>
      <c r="I75" s="25"/>
      <c r="J75" s="25"/>
      <c r="K75" s="25"/>
      <c r="L75" s="25"/>
      <c r="M75" s="247"/>
    </row>
    <row r="76" spans="1:13">
      <c r="A76" s="317"/>
      <c r="B76" s="320"/>
      <c r="C76" s="320"/>
      <c r="D76" s="881"/>
      <c r="E76" s="320"/>
      <c r="F76" s="320"/>
      <c r="G76" s="320"/>
      <c r="H76" s="40"/>
      <c r="I76" s="40"/>
      <c r="J76" s="40"/>
      <c r="K76" s="40"/>
      <c r="L76" s="40"/>
      <c r="M76" s="321"/>
    </row>
    <row r="78" spans="1:13">
      <c r="H78" s="271"/>
    </row>
    <row r="79" spans="1:13">
      <c r="H79" s="271"/>
    </row>
    <row r="81" spans="2:8">
      <c r="C81" s="835"/>
      <c r="D81" s="836"/>
      <c r="F81" s="836"/>
      <c r="H81" s="271"/>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7"/>
      <c r="C1" s="837"/>
      <c r="D1" s="837"/>
      <c r="E1" s="837"/>
      <c r="F1" s="837"/>
      <c r="G1" s="837"/>
      <c r="H1" s="837"/>
      <c r="I1" s="837"/>
      <c r="J1" s="837"/>
      <c r="K1" s="837"/>
      <c r="L1" s="961"/>
      <c r="M1" s="238"/>
    </row>
    <row r="2" spans="1:13" ht="18">
      <c r="A2" s="240"/>
      <c r="B2" s="241" t="str">
        <f>'Cover Sheet'!B2</f>
        <v>SC Germany Consumer 2020-1</v>
      </c>
      <c r="C2" s="241"/>
      <c r="D2" s="242" t="str">
        <f>'Cover Sheet'!D2</f>
        <v>Calculation Date</v>
      </c>
      <c r="E2" s="243"/>
      <c r="F2" s="244">
        <f>'Cover Sheet'!F2</f>
        <v>45820</v>
      </c>
      <c r="G2" s="243"/>
      <c r="H2" s="243"/>
      <c r="I2" s="243"/>
      <c r="J2" s="243"/>
      <c r="K2" s="243"/>
      <c r="L2" s="245"/>
      <c r="M2" s="316"/>
    </row>
    <row r="3" spans="1:13" ht="18">
      <c r="A3" s="240"/>
      <c r="B3" s="241" t="str">
        <f>'Cover Sheet'!B3</f>
        <v>Monthly Investor Report</v>
      </c>
      <c r="C3" s="241"/>
      <c r="D3" s="249" t="str">
        <f>'Cover Sheet'!D3</f>
        <v>Payment Date</v>
      </c>
      <c r="E3" s="250"/>
      <c r="F3" s="251">
        <f>'Cover Sheet'!F3</f>
        <v>45824</v>
      </c>
      <c r="G3" s="250"/>
      <c r="H3" s="250"/>
      <c r="I3" s="250"/>
      <c r="J3" s="250"/>
      <c r="K3" s="250"/>
      <c r="L3" s="252"/>
      <c r="M3" s="316"/>
    </row>
    <row r="4" spans="1:13">
      <c r="A4" s="240"/>
      <c r="B4" s="870"/>
      <c r="C4" s="330"/>
      <c r="D4" s="249" t="str">
        <f>'Cover Sheet'!D4</f>
        <v>Period  No</v>
      </c>
      <c r="E4" s="250"/>
      <c r="F4" s="255">
        <f>'Cover Sheet'!F4</f>
        <v>55</v>
      </c>
      <c r="G4" s="250"/>
      <c r="H4" s="256"/>
      <c r="I4" s="250"/>
      <c r="J4" s="261"/>
      <c r="K4" s="250"/>
      <c r="L4" s="257"/>
      <c r="M4" s="316"/>
    </row>
    <row r="5" spans="1:13" ht="18">
      <c r="A5" s="240"/>
      <c r="B5" s="331" t="s">
        <v>448</v>
      </c>
      <c r="C5" s="331"/>
      <c r="D5" s="249" t="str">
        <f>'Cover Sheet'!D5</f>
        <v>Monthly Period</v>
      </c>
      <c r="E5" s="250"/>
      <c r="F5" s="124">
        <f>'Cover Sheet'!F5</f>
        <v>45824</v>
      </c>
      <c r="G5" s="250"/>
      <c r="H5" s="256"/>
      <c r="I5" s="250"/>
      <c r="J5" s="261"/>
      <c r="K5" s="250"/>
      <c r="L5" s="257"/>
      <c r="M5" s="316"/>
    </row>
    <row r="6" spans="1:13" s="248" customFormat="1" ht="15" customHeight="1">
      <c r="A6" s="240"/>
      <c r="B6" s="259"/>
      <c r="C6" s="332"/>
      <c r="D6" s="249" t="str">
        <f>'Cover Sheet'!D6</f>
        <v>Interest Period</v>
      </c>
      <c r="E6" s="261" t="s">
        <v>34</v>
      </c>
      <c r="F6" s="251">
        <f>'Cover Sheet'!F6</f>
        <v>45791</v>
      </c>
      <c r="G6" s="261" t="str">
        <f>'Cover Sheet'!G6</f>
        <v>to</v>
      </c>
      <c r="H6" s="251">
        <f>'Cover Sheet'!H6</f>
        <v>45824</v>
      </c>
      <c r="I6" s="261" t="str">
        <f>'Cover Sheet'!I6</f>
        <v>=</v>
      </c>
      <c r="J6" s="838" t="str">
        <f>'Cover Sheet'!J6</f>
        <v>33 days</v>
      </c>
      <c r="K6" s="261"/>
      <c r="L6" s="375"/>
      <c r="M6" s="839"/>
    </row>
    <row r="7" spans="1:13">
      <c r="A7" s="240"/>
      <c r="D7" s="713" t="str">
        <f>'Cover Sheet'!D7</f>
        <v>Collection Period</v>
      </c>
      <c r="E7" s="714" t="s">
        <v>34</v>
      </c>
      <c r="F7" s="265" t="str">
        <f>'Cover Sheet'!F7</f>
        <v>01.05.2025</v>
      </c>
      <c r="G7" s="714" t="str">
        <f>'Cover Sheet'!G7</f>
        <v>to</v>
      </c>
      <c r="H7" s="265">
        <f>'Cover Sheet'!H7</f>
        <v>45808</v>
      </c>
      <c r="I7" s="266"/>
      <c r="J7" s="266"/>
      <c r="K7" s="266"/>
      <c r="L7" s="267"/>
      <c r="M7" s="316"/>
    </row>
    <row r="8" spans="1:13" ht="13">
      <c r="A8" s="240"/>
      <c r="D8" s="840"/>
      <c r="E8" s="268"/>
      <c r="F8" s="246"/>
      <c r="H8" s="269"/>
      <c r="J8" s="269"/>
      <c r="L8" s="960"/>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443</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962"/>
      <c r="G19" s="841"/>
      <c r="H19" s="844"/>
      <c r="J19" s="845"/>
      <c r="K19" s="25"/>
      <c r="L19" s="25"/>
      <c r="M19" s="316"/>
    </row>
    <row r="20" spans="1:23" ht="44" thickBot="1">
      <c r="A20" s="240"/>
      <c r="B20" s="847" t="s">
        <v>115</v>
      </c>
      <c r="C20" s="847" t="s">
        <v>409</v>
      </c>
      <c r="D20" s="847" t="s">
        <v>437</v>
      </c>
      <c r="E20" s="847" t="s">
        <v>435</v>
      </c>
      <c r="F20" s="847" t="s">
        <v>436</v>
      </c>
      <c r="G20" s="847" t="s">
        <v>441</v>
      </c>
      <c r="H20" s="847" t="s">
        <v>438</v>
      </c>
      <c r="I20" s="847" t="s">
        <v>439</v>
      </c>
      <c r="J20" s="847" t="s">
        <v>440</v>
      </c>
      <c r="K20" s="847" t="s">
        <v>442</v>
      </c>
      <c r="L20" s="25"/>
      <c r="M20" s="848"/>
      <c r="O20" s="849"/>
      <c r="P20" s="25"/>
      <c r="Q20" s="850"/>
      <c r="R20" s="851"/>
      <c r="S20" s="851"/>
      <c r="T20" s="25"/>
      <c r="U20" s="25"/>
      <c r="V20" s="763"/>
      <c r="W20" s="852"/>
    </row>
    <row r="21" spans="1:23" ht="13">
      <c r="A21" s="240"/>
      <c r="B21" s="423">
        <v>1</v>
      </c>
      <c r="C21" s="955">
        <f t="shared" ref="C21:C52" si="0">IF(B21&gt;$F$4,"",VLOOKUP(CONCATENATE("defaults_",$B21),defaults_20,2,0))</f>
        <v>0</v>
      </c>
      <c r="D21" s="853">
        <f t="shared" ref="D21:D52" si="1">IF(B21&gt;$F$4,"",VLOOKUP(CONCATENATE("defaults_",$B21),defaults_20,3,0))</f>
        <v>0</v>
      </c>
      <c r="E21" s="853">
        <f t="shared" ref="E21:E52" si="2">IF(B21&gt;$F$4,"",VLOOKUP(CONCATENATE("defaults_",$B21),defaults_20,4,0))</f>
        <v>0</v>
      </c>
      <c r="F21" s="853">
        <f t="shared" ref="F21:F52" si="3">IF(B21&gt;$F$4,"",VLOOKUP(CONCATENATE("defaults_",$B21),defaults_20,5,0))</f>
        <v>1865332396.49</v>
      </c>
      <c r="G21" s="821">
        <f t="shared" ref="G21:G52" si="4">IF(B21&gt;$F$4,"",VLOOKUP(CONCATENATE("defaults_",$B21),defaults_20,6,0))</f>
        <v>0</v>
      </c>
      <c r="H21" s="854">
        <f t="shared" ref="H21:H52" si="5">IF(B21&gt;$F$4,"",VLOOKUP(CONCATENATE("defaults_",$B21),defaults_20,7,0))</f>
        <v>0</v>
      </c>
      <c r="I21" s="855">
        <f t="shared" ref="I21:I52" si="6">IF(B21&gt;$F$4,"",VLOOKUP(CONCATENATE("defaults_",$B21),defaults_20,8,0))</f>
        <v>0</v>
      </c>
      <c r="J21" s="854">
        <f t="shared" ref="J21:J52" si="7">IF(B21&gt;$F$4,"",VLOOKUP(CONCATENATE("defaults_",$B21),defaults_20,9,0))</f>
        <v>0</v>
      </c>
      <c r="K21" s="957">
        <f t="shared" ref="K21:K52" si="8">IF(B21&gt;$F$4,"",VLOOKUP(CONCATENATE("defaults_",$B21),defaults_20,10,0))</f>
        <v>0</v>
      </c>
      <c r="L21" s="25"/>
      <c r="M21" s="316"/>
      <c r="N21" s="25"/>
      <c r="O21" s="25"/>
      <c r="P21" s="25"/>
      <c r="Q21" s="850"/>
      <c r="R21" s="851"/>
      <c r="S21" s="850"/>
      <c r="T21" s="25"/>
      <c r="U21" s="718"/>
      <c r="V21" s="25"/>
      <c r="W21" s="25"/>
    </row>
    <row r="22" spans="1:23" ht="13">
      <c r="A22" s="240"/>
      <c r="B22" s="423">
        <v>2</v>
      </c>
      <c r="C22" s="955">
        <f t="shared" si="0"/>
        <v>16</v>
      </c>
      <c r="D22" s="853">
        <f t="shared" si="1"/>
        <v>147487.32</v>
      </c>
      <c r="E22" s="853">
        <f t="shared" si="2"/>
        <v>147487.32</v>
      </c>
      <c r="F22" s="853">
        <f t="shared" si="3"/>
        <v>1925228852.76</v>
      </c>
      <c r="G22" s="821">
        <f t="shared" si="4"/>
        <v>7.6607682140522054E-5</v>
      </c>
      <c r="H22" s="854">
        <f t="shared" si="5"/>
        <v>-479.73</v>
      </c>
      <c r="I22" s="855">
        <f t="shared" si="6"/>
        <v>-479.73</v>
      </c>
      <c r="J22" s="854">
        <f t="shared" si="7"/>
        <v>147967.04999999999</v>
      </c>
      <c r="K22" s="958">
        <f t="shared" si="8"/>
        <v>7.6856862906389068E-5</v>
      </c>
      <c r="L22" s="25"/>
      <c r="M22" s="316"/>
      <c r="N22" s="25"/>
      <c r="O22" s="856"/>
      <c r="P22" s="25"/>
      <c r="Q22" s="850"/>
      <c r="R22" s="851"/>
      <c r="S22" s="851"/>
      <c r="T22" s="25"/>
      <c r="U22" s="25"/>
      <c r="V22" s="25"/>
      <c r="W22" s="25"/>
    </row>
    <row r="23" spans="1:23" ht="13">
      <c r="A23" s="240"/>
      <c r="B23" s="423">
        <v>3</v>
      </c>
      <c r="C23" s="955">
        <f t="shared" si="0"/>
        <v>24</v>
      </c>
      <c r="D23" s="853">
        <f t="shared" si="1"/>
        <v>157926.42000000001</v>
      </c>
      <c r="E23" s="853">
        <f t="shared" si="2"/>
        <v>305413.74</v>
      </c>
      <c r="F23" s="853">
        <f t="shared" si="3"/>
        <v>1996496542.3599999</v>
      </c>
      <c r="G23" s="821">
        <f t="shared" si="4"/>
        <v>1.5297484043672792E-4</v>
      </c>
      <c r="H23" s="854">
        <f t="shared" si="5"/>
        <v>257.69</v>
      </c>
      <c r="I23" s="855">
        <f t="shared" si="6"/>
        <v>-222.04</v>
      </c>
      <c r="J23" s="854">
        <f t="shared" si="7"/>
        <v>305635.78000000003</v>
      </c>
      <c r="K23" s="958">
        <f t="shared" si="8"/>
        <v>1.5308605525493017E-4</v>
      </c>
      <c r="L23" s="25"/>
      <c r="M23" s="857"/>
      <c r="Q23" s="850"/>
      <c r="R23" s="858"/>
      <c r="S23" s="858"/>
      <c r="U23" s="25"/>
      <c r="V23" s="763"/>
      <c r="W23" s="822"/>
    </row>
    <row r="24" spans="1:23" ht="13">
      <c r="A24" s="240"/>
      <c r="B24" s="423">
        <v>4</v>
      </c>
      <c r="C24" s="955">
        <f t="shared" si="0"/>
        <v>132</v>
      </c>
      <c r="D24" s="853">
        <f t="shared" si="1"/>
        <v>1099521.49</v>
      </c>
      <c r="E24" s="853">
        <f t="shared" si="2"/>
        <v>1404935.23</v>
      </c>
      <c r="F24" s="853">
        <f t="shared" si="3"/>
        <v>2069848195.1199999</v>
      </c>
      <c r="G24" s="821">
        <f t="shared" si="4"/>
        <v>6.7876244901068634E-4</v>
      </c>
      <c r="H24" s="854">
        <f t="shared" si="5"/>
        <v>9982.5</v>
      </c>
      <c r="I24" s="855">
        <f t="shared" si="6"/>
        <v>9760.4599999999991</v>
      </c>
      <c r="J24" s="854">
        <f t="shared" si="7"/>
        <v>1395174.77</v>
      </c>
      <c r="K24" s="958">
        <f t="shared" si="8"/>
        <v>6.7404690512538499E-4</v>
      </c>
      <c r="L24" s="25"/>
      <c r="M24" s="848"/>
      <c r="N24" s="819"/>
      <c r="O24" s="822"/>
      <c r="P24" s="819"/>
      <c r="Q24" s="859"/>
      <c r="R24" s="860"/>
      <c r="S24" s="858"/>
      <c r="T24" s="819"/>
      <c r="U24" s="25"/>
      <c r="V24" s="763"/>
      <c r="W24" s="852"/>
    </row>
    <row r="25" spans="1:23" ht="13">
      <c r="A25" s="240"/>
      <c r="B25" s="423">
        <v>5</v>
      </c>
      <c r="C25" s="955">
        <f t="shared" si="0"/>
        <v>315</v>
      </c>
      <c r="D25" s="853">
        <f t="shared" si="1"/>
        <v>2218875.8199999998</v>
      </c>
      <c r="E25" s="853">
        <f t="shared" si="2"/>
        <v>3623811.05</v>
      </c>
      <c r="F25" s="853">
        <f t="shared" si="3"/>
        <v>2153371435.1599998</v>
      </c>
      <c r="G25" s="821">
        <f t="shared" si="4"/>
        <v>1.6828546115318667E-3</v>
      </c>
      <c r="H25" s="854">
        <f t="shared" si="5"/>
        <v>24886.76</v>
      </c>
      <c r="I25" s="855">
        <f t="shared" si="6"/>
        <v>34647.22</v>
      </c>
      <c r="J25" s="854">
        <f t="shared" si="7"/>
        <v>3589163.83</v>
      </c>
      <c r="K25" s="958">
        <f t="shared" si="8"/>
        <v>1.6667648559819024E-3</v>
      </c>
      <c r="L25" s="25"/>
      <c r="M25" s="316"/>
      <c r="Q25" s="850"/>
      <c r="R25" s="851"/>
      <c r="S25" s="850"/>
      <c r="T25" s="25"/>
      <c r="U25" s="718"/>
      <c r="V25" s="25"/>
      <c r="W25" s="25"/>
    </row>
    <row r="26" spans="1:23" ht="13">
      <c r="A26" s="240"/>
      <c r="B26" s="423">
        <v>6</v>
      </c>
      <c r="C26" s="955">
        <f t="shared" si="0"/>
        <v>507</v>
      </c>
      <c r="D26" s="853">
        <f t="shared" si="1"/>
        <v>2239836.88</v>
      </c>
      <c r="E26" s="853">
        <f t="shared" si="2"/>
        <v>5863647.9299999997</v>
      </c>
      <c r="F26" s="853">
        <f t="shared" si="3"/>
        <v>2230111276.0500002</v>
      </c>
      <c r="G26" s="821">
        <f t="shared" si="4"/>
        <v>2.6293073323165133E-3</v>
      </c>
      <c r="H26" s="854">
        <f t="shared" si="5"/>
        <v>3854.39</v>
      </c>
      <c r="I26" s="855">
        <f t="shared" si="6"/>
        <v>38501.61</v>
      </c>
      <c r="J26" s="854">
        <f t="shared" si="7"/>
        <v>5825146.3200000003</v>
      </c>
      <c r="K26" s="958">
        <f t="shared" si="8"/>
        <v>2.6120428978403131E-3</v>
      </c>
      <c r="L26" s="25"/>
      <c r="M26" s="316"/>
      <c r="Q26" s="850"/>
      <c r="R26" s="851"/>
      <c r="S26" s="850"/>
      <c r="T26" s="25"/>
      <c r="U26" s="718"/>
      <c r="V26" s="25"/>
      <c r="W26" s="25"/>
    </row>
    <row r="27" spans="1:23" ht="13">
      <c r="A27" s="240"/>
      <c r="B27" s="423">
        <v>7</v>
      </c>
      <c r="C27" s="955">
        <f t="shared" si="0"/>
        <v>775</v>
      </c>
      <c r="D27" s="853">
        <f t="shared" si="1"/>
        <v>2857778.09</v>
      </c>
      <c r="E27" s="853">
        <f t="shared" si="2"/>
        <v>8721426.0199999996</v>
      </c>
      <c r="F27" s="853">
        <f t="shared" si="3"/>
        <v>2305545697.6199999</v>
      </c>
      <c r="G27" s="821">
        <f t="shared" si="4"/>
        <v>3.7828033636475183E-3</v>
      </c>
      <c r="H27" s="854">
        <f t="shared" si="5"/>
        <v>5493.97</v>
      </c>
      <c r="I27" s="855">
        <f t="shared" si="6"/>
        <v>43995.58</v>
      </c>
      <c r="J27" s="854">
        <f t="shared" si="7"/>
        <v>8677430.4399999995</v>
      </c>
      <c r="K27" s="958">
        <f t="shared" si="8"/>
        <v>3.763720861814908E-3</v>
      </c>
      <c r="L27" s="25"/>
      <c r="M27" s="316"/>
      <c r="O27" s="856"/>
      <c r="Q27" s="850"/>
      <c r="R27" s="858"/>
      <c r="S27" s="858"/>
      <c r="U27" s="25"/>
      <c r="V27" s="25"/>
      <c r="W27" s="25"/>
    </row>
    <row r="28" spans="1:23" ht="13">
      <c r="A28" s="240"/>
      <c r="B28" s="423">
        <v>8</v>
      </c>
      <c r="C28" s="955">
        <f t="shared" si="0"/>
        <v>1035</v>
      </c>
      <c r="D28" s="853">
        <f t="shared" si="1"/>
        <v>2403241.33</v>
      </c>
      <c r="E28" s="853">
        <f t="shared" si="2"/>
        <v>11124667.35</v>
      </c>
      <c r="F28" s="853">
        <f t="shared" si="3"/>
        <v>2387304300.2600002</v>
      </c>
      <c r="G28" s="821">
        <f t="shared" si="4"/>
        <v>4.6599285012758618E-3</v>
      </c>
      <c r="H28" s="854">
        <f t="shared" si="5"/>
        <v>22450.16</v>
      </c>
      <c r="I28" s="855">
        <f t="shared" si="6"/>
        <v>66445.740000000005</v>
      </c>
      <c r="J28" s="854">
        <f t="shared" si="7"/>
        <v>11058221.609999999</v>
      </c>
      <c r="K28" s="958">
        <f t="shared" si="8"/>
        <v>4.6320955434108902E-3</v>
      </c>
      <c r="L28" s="25"/>
      <c r="M28" s="316"/>
      <c r="Q28" s="850"/>
      <c r="R28" s="858"/>
      <c r="S28" s="858"/>
      <c r="U28" s="25"/>
      <c r="V28" s="25"/>
      <c r="W28" s="25"/>
    </row>
    <row r="29" spans="1:23" ht="13">
      <c r="A29" s="240"/>
      <c r="B29" s="423">
        <v>9</v>
      </c>
      <c r="C29" s="955">
        <f t="shared" si="0"/>
        <v>1358</v>
      </c>
      <c r="D29" s="853">
        <f t="shared" si="1"/>
        <v>3038826.26</v>
      </c>
      <c r="E29" s="853">
        <f t="shared" si="2"/>
        <v>14163493.609999999</v>
      </c>
      <c r="F29" s="853">
        <f t="shared" si="3"/>
        <v>2482653655.3200002</v>
      </c>
      <c r="G29" s="821">
        <f t="shared" si="4"/>
        <v>5.7049816754139258E-3</v>
      </c>
      <c r="H29" s="854">
        <f t="shared" si="5"/>
        <v>31479.16</v>
      </c>
      <c r="I29" s="855">
        <f t="shared" si="6"/>
        <v>97924.9</v>
      </c>
      <c r="J29" s="854">
        <f t="shared" si="7"/>
        <v>14065568.710000001</v>
      </c>
      <c r="K29" s="958">
        <f t="shared" si="8"/>
        <v>5.6655380342156619E-3</v>
      </c>
      <c r="L29" s="25"/>
      <c r="M29" s="848"/>
      <c r="N29" s="819"/>
      <c r="O29" s="822"/>
      <c r="P29" s="819"/>
      <c r="Q29" s="861"/>
      <c r="R29" s="860"/>
      <c r="S29" s="858"/>
      <c r="T29" s="819"/>
      <c r="U29" s="822"/>
      <c r="V29" s="25"/>
      <c r="W29" s="25"/>
    </row>
    <row r="30" spans="1:23" ht="13">
      <c r="A30" s="240"/>
      <c r="B30" s="423">
        <v>10</v>
      </c>
      <c r="C30" s="955">
        <f t="shared" si="0"/>
        <v>1606</v>
      </c>
      <c r="D30" s="853">
        <f t="shared" si="1"/>
        <v>2948583.92</v>
      </c>
      <c r="E30" s="853">
        <f t="shared" si="2"/>
        <v>17112077.530000001</v>
      </c>
      <c r="F30" s="853">
        <f t="shared" si="3"/>
        <v>2566789790.5900002</v>
      </c>
      <c r="G30" s="821">
        <f t="shared" si="4"/>
        <v>6.6667233883872653E-3</v>
      </c>
      <c r="H30" s="854">
        <f t="shared" si="5"/>
        <v>52785.46</v>
      </c>
      <c r="I30" s="855">
        <f t="shared" si="6"/>
        <v>150710.35999999999</v>
      </c>
      <c r="J30" s="854">
        <f t="shared" si="7"/>
        <v>16961367.170000002</v>
      </c>
      <c r="K30" s="958">
        <f t="shared" si="8"/>
        <v>6.6080078829132633E-3</v>
      </c>
      <c r="L30" s="25"/>
      <c r="M30" s="316"/>
      <c r="Q30" s="850"/>
      <c r="R30" s="851"/>
      <c r="S30" s="850"/>
      <c r="T30" s="25"/>
      <c r="U30" s="718"/>
      <c r="V30" s="25"/>
      <c r="W30" s="25"/>
    </row>
    <row r="31" spans="1:23" ht="13">
      <c r="A31" s="240"/>
      <c r="B31" s="423">
        <v>11</v>
      </c>
      <c r="C31" s="955">
        <f t="shared" si="0"/>
        <v>1934</v>
      </c>
      <c r="D31" s="853">
        <f t="shared" si="1"/>
        <v>3478842.52</v>
      </c>
      <c r="E31" s="853">
        <f t="shared" si="2"/>
        <v>20590920.050000001</v>
      </c>
      <c r="F31" s="853">
        <f t="shared" si="3"/>
        <v>2648433796.2199998</v>
      </c>
      <c r="G31" s="821">
        <f t="shared" si="4"/>
        <v>7.7747535465634713E-3</v>
      </c>
      <c r="H31" s="854">
        <f t="shared" si="5"/>
        <v>70308.759999999995</v>
      </c>
      <c r="I31" s="855">
        <f t="shared" si="6"/>
        <v>221019.12</v>
      </c>
      <c r="J31" s="854">
        <f t="shared" si="7"/>
        <v>20369900.93</v>
      </c>
      <c r="K31" s="958">
        <f t="shared" si="8"/>
        <v>7.6913007827770202E-3</v>
      </c>
      <c r="L31" s="25"/>
      <c r="M31" s="316"/>
      <c r="Q31" s="850"/>
      <c r="R31" s="851"/>
      <c r="S31" s="850"/>
      <c r="T31" s="25"/>
      <c r="U31" s="718"/>
      <c r="V31" s="25"/>
      <c r="W31" s="25"/>
    </row>
    <row r="32" spans="1:23" ht="13">
      <c r="A32" s="240"/>
      <c r="B32" s="423">
        <v>12</v>
      </c>
      <c r="C32" s="955">
        <f t="shared" si="0"/>
        <v>2253</v>
      </c>
      <c r="D32" s="853">
        <f t="shared" si="1"/>
        <v>3348605.56</v>
      </c>
      <c r="E32" s="853">
        <f t="shared" si="2"/>
        <v>23939525.609999999</v>
      </c>
      <c r="F32" s="853">
        <f t="shared" si="3"/>
        <v>2730124401.23</v>
      </c>
      <c r="G32" s="821">
        <f t="shared" si="4"/>
        <v>8.7686574279232671E-3</v>
      </c>
      <c r="H32" s="854">
        <f t="shared" si="5"/>
        <v>118385.37</v>
      </c>
      <c r="I32" s="855">
        <f t="shared" si="6"/>
        <v>339404.49</v>
      </c>
      <c r="J32" s="854">
        <f t="shared" si="7"/>
        <v>23600121.120000001</v>
      </c>
      <c r="K32" s="958">
        <f t="shared" si="8"/>
        <v>8.6443391038765367E-3</v>
      </c>
      <c r="L32" s="25"/>
      <c r="M32" s="316"/>
      <c r="O32" s="856"/>
      <c r="Q32" s="850"/>
      <c r="R32" s="858"/>
      <c r="S32" s="858"/>
      <c r="U32" s="25"/>
      <c r="V32" s="25"/>
      <c r="W32" s="25"/>
    </row>
    <row r="33" spans="1:23" ht="13">
      <c r="A33" s="240"/>
      <c r="B33" s="423">
        <v>13</v>
      </c>
      <c r="C33" s="955">
        <f t="shared" si="0"/>
        <v>2547</v>
      </c>
      <c r="D33" s="853">
        <f t="shared" si="1"/>
        <v>3035221.94</v>
      </c>
      <c r="E33" s="853">
        <f t="shared" si="2"/>
        <v>26974747.550000001</v>
      </c>
      <c r="F33" s="853">
        <f t="shared" si="3"/>
        <v>2730124401.23</v>
      </c>
      <c r="G33" s="821">
        <f t="shared" si="4"/>
        <v>9.8804096757814774E-3</v>
      </c>
      <c r="H33" s="854">
        <f t="shared" si="5"/>
        <v>101904.44</v>
      </c>
      <c r="I33" s="855">
        <f t="shared" si="6"/>
        <v>441308.93</v>
      </c>
      <c r="J33" s="854">
        <f t="shared" si="7"/>
        <v>26533438.620000001</v>
      </c>
      <c r="K33" s="958">
        <f t="shared" si="8"/>
        <v>9.7187654189112866E-3</v>
      </c>
      <c r="L33" s="25"/>
      <c r="M33" s="316"/>
      <c r="Q33" s="850"/>
      <c r="R33" s="858"/>
      <c r="S33" s="858"/>
      <c r="U33" s="25"/>
      <c r="V33" s="862"/>
      <c r="W33" s="822"/>
    </row>
    <row r="34" spans="1:23" ht="13">
      <c r="A34" s="240"/>
      <c r="B34" s="423">
        <v>14</v>
      </c>
      <c r="C34" s="955">
        <f t="shared" si="0"/>
        <v>2882</v>
      </c>
      <c r="D34" s="853">
        <f t="shared" si="1"/>
        <v>3649681.15</v>
      </c>
      <c r="E34" s="853">
        <f t="shared" si="2"/>
        <v>30624428.699999999</v>
      </c>
      <c r="F34" s="853">
        <f t="shared" si="3"/>
        <v>2730124401.23</v>
      </c>
      <c r="G34" s="821">
        <f t="shared" si="4"/>
        <v>1.1217228301465975E-2</v>
      </c>
      <c r="H34" s="854">
        <f t="shared" si="5"/>
        <v>168996.44</v>
      </c>
      <c r="I34" s="855">
        <f t="shared" si="6"/>
        <v>610305.37</v>
      </c>
      <c r="J34" s="854">
        <f t="shared" si="7"/>
        <v>30014123.329999998</v>
      </c>
      <c r="K34" s="958">
        <f t="shared" si="8"/>
        <v>1.0993683407421937E-2</v>
      </c>
      <c r="L34" s="25"/>
      <c r="M34" s="848"/>
      <c r="N34" s="819"/>
      <c r="O34" s="822"/>
      <c r="P34" s="819"/>
      <c r="Q34" s="861"/>
      <c r="R34" s="860"/>
      <c r="S34" s="858"/>
      <c r="U34" s="25"/>
      <c r="V34" s="25"/>
      <c r="W34" s="25"/>
    </row>
    <row r="35" spans="1:23" ht="13">
      <c r="A35" s="240"/>
      <c r="B35" s="423">
        <v>15</v>
      </c>
      <c r="C35" s="955">
        <f t="shared" si="0"/>
        <v>3239</v>
      </c>
      <c r="D35" s="853">
        <f t="shared" si="1"/>
        <v>3614994.27</v>
      </c>
      <c r="E35" s="853">
        <f t="shared" si="2"/>
        <v>34239422.969999999</v>
      </c>
      <c r="F35" s="853">
        <f t="shared" si="3"/>
        <v>2730124401.23</v>
      </c>
      <c r="G35" s="821">
        <f t="shared" si="4"/>
        <v>1.2541341689255681E-2</v>
      </c>
      <c r="H35" s="854">
        <f t="shared" si="5"/>
        <v>152385.89000000001</v>
      </c>
      <c r="I35" s="855">
        <f t="shared" si="6"/>
        <v>762691.26</v>
      </c>
      <c r="J35" s="854">
        <f t="shared" si="7"/>
        <v>33476731.710000001</v>
      </c>
      <c r="K35" s="958">
        <f t="shared" si="8"/>
        <v>1.2261980331342326E-2</v>
      </c>
      <c r="L35" s="25"/>
      <c r="M35" s="316"/>
      <c r="Q35" s="850"/>
      <c r="R35" s="851"/>
      <c r="S35" s="850"/>
      <c r="T35" s="25"/>
      <c r="U35" s="718"/>
      <c r="V35" s="25"/>
      <c r="W35" s="25"/>
    </row>
    <row r="36" spans="1:23" ht="13">
      <c r="A36" s="240"/>
      <c r="B36" s="423">
        <v>16</v>
      </c>
      <c r="C36" s="955">
        <f t="shared" si="0"/>
        <v>3622</v>
      </c>
      <c r="D36" s="853">
        <f t="shared" si="1"/>
        <v>3585117.74</v>
      </c>
      <c r="E36" s="853">
        <f t="shared" si="2"/>
        <v>37824540.710000001</v>
      </c>
      <c r="F36" s="853">
        <f t="shared" si="3"/>
        <v>2730124401.23</v>
      </c>
      <c r="G36" s="821">
        <f t="shared" si="4"/>
        <v>1.385451179182859E-2</v>
      </c>
      <c r="H36" s="854">
        <f t="shared" si="5"/>
        <v>111648.37</v>
      </c>
      <c r="I36" s="855">
        <f t="shared" si="6"/>
        <v>874339.63</v>
      </c>
      <c r="J36" s="854">
        <f t="shared" si="7"/>
        <v>36950201.079999998</v>
      </c>
      <c r="K36" s="958">
        <f t="shared" si="8"/>
        <v>1.3534255458598468E-2</v>
      </c>
      <c r="L36" s="25"/>
      <c r="M36" s="316"/>
      <c r="Q36" s="850"/>
      <c r="R36" s="851"/>
      <c r="S36" s="850"/>
      <c r="T36" s="25"/>
      <c r="U36" s="718"/>
      <c r="V36" s="25"/>
      <c r="W36" s="25"/>
    </row>
    <row r="37" spans="1:23" ht="13">
      <c r="A37" s="240"/>
      <c r="B37" s="423">
        <v>17</v>
      </c>
      <c r="C37" s="955">
        <f t="shared" si="0"/>
        <v>3912</v>
      </c>
      <c r="D37" s="853">
        <f t="shared" si="1"/>
        <v>2818503.57</v>
      </c>
      <c r="E37" s="853">
        <f t="shared" si="2"/>
        <v>40643044.280000001</v>
      </c>
      <c r="F37" s="853">
        <f t="shared" si="3"/>
        <v>2730124401.23</v>
      </c>
      <c r="G37" s="821">
        <f t="shared" si="4"/>
        <v>1.4886883638595055E-2</v>
      </c>
      <c r="H37" s="854">
        <f t="shared" si="5"/>
        <v>178137.94</v>
      </c>
      <c r="I37" s="855">
        <f t="shared" si="6"/>
        <v>1052477.57</v>
      </c>
      <c r="J37" s="854">
        <f t="shared" si="7"/>
        <v>39590566.710000001</v>
      </c>
      <c r="K37" s="958">
        <f t="shared" si="8"/>
        <v>1.4501378285972357E-2</v>
      </c>
      <c r="L37" s="25"/>
      <c r="M37" s="316"/>
      <c r="O37" s="856"/>
      <c r="Q37" s="850"/>
      <c r="R37" s="858"/>
      <c r="S37" s="858"/>
      <c r="U37" s="25"/>
      <c r="V37" s="25"/>
      <c r="W37" s="25"/>
    </row>
    <row r="38" spans="1:23" ht="13">
      <c r="A38" s="240"/>
      <c r="B38" s="423">
        <v>18</v>
      </c>
      <c r="C38" s="955">
        <f t="shared" si="0"/>
        <v>4325</v>
      </c>
      <c r="D38" s="853">
        <f t="shared" si="1"/>
        <v>4735808.45</v>
      </c>
      <c r="E38" s="853">
        <f t="shared" si="2"/>
        <v>45378852.729999997</v>
      </c>
      <c r="F38" s="853">
        <f t="shared" si="3"/>
        <v>2730124401.23</v>
      </c>
      <c r="G38" s="821">
        <f t="shared" si="4"/>
        <v>1.6621532963683093E-2</v>
      </c>
      <c r="H38" s="854">
        <f t="shared" si="5"/>
        <v>186401.94</v>
      </c>
      <c r="I38" s="855">
        <f t="shared" si="6"/>
        <v>1238879.51</v>
      </c>
      <c r="J38" s="854">
        <f t="shared" si="7"/>
        <v>44139973.219999999</v>
      </c>
      <c r="K38" s="958">
        <f t="shared" si="8"/>
        <v>1.616775162337426E-2</v>
      </c>
      <c r="L38" s="25"/>
      <c r="M38" s="316"/>
      <c r="Q38" s="850"/>
      <c r="R38" s="858"/>
      <c r="S38" s="858"/>
      <c r="U38" s="25"/>
      <c r="V38" s="25"/>
      <c r="W38" s="823"/>
    </row>
    <row r="39" spans="1:23" ht="13">
      <c r="A39" s="240"/>
      <c r="B39" s="423">
        <v>19</v>
      </c>
      <c r="C39" s="955">
        <f t="shared" si="0"/>
        <v>4652</v>
      </c>
      <c r="D39" s="853">
        <f t="shared" si="1"/>
        <v>3472064.24</v>
      </c>
      <c r="E39" s="853">
        <f t="shared" si="2"/>
        <v>48850916.969999999</v>
      </c>
      <c r="F39" s="853">
        <f t="shared" si="3"/>
        <v>2730124401.23</v>
      </c>
      <c r="G39" s="821">
        <f t="shared" si="4"/>
        <v>1.7893293414758413E-2</v>
      </c>
      <c r="H39" s="854">
        <f t="shared" si="5"/>
        <v>185101.49</v>
      </c>
      <c r="I39" s="855">
        <f t="shared" si="6"/>
        <v>1423981</v>
      </c>
      <c r="J39" s="854">
        <f t="shared" si="7"/>
        <v>47426935.969999999</v>
      </c>
      <c r="K39" s="958">
        <f t="shared" si="8"/>
        <v>1.7371712420369126E-2</v>
      </c>
      <c r="L39" s="25"/>
      <c r="M39" s="848"/>
      <c r="O39" s="849"/>
      <c r="P39" s="25"/>
      <c r="Q39" s="850"/>
      <c r="R39" s="851"/>
      <c r="S39" s="851"/>
      <c r="T39" s="25"/>
      <c r="U39" s="25"/>
      <c r="V39" s="25"/>
      <c r="W39" s="25"/>
    </row>
    <row r="40" spans="1:23" ht="13">
      <c r="A40" s="240"/>
      <c r="B40" s="423">
        <v>20</v>
      </c>
      <c r="C40" s="955">
        <f t="shared" si="0"/>
        <v>4988</v>
      </c>
      <c r="D40" s="853">
        <f t="shared" si="1"/>
        <v>3076208.58</v>
      </c>
      <c r="E40" s="853">
        <f t="shared" si="2"/>
        <v>51927125.549999997</v>
      </c>
      <c r="F40" s="853">
        <f t="shared" si="3"/>
        <v>2730124401.23</v>
      </c>
      <c r="G40" s="821">
        <f t="shared" si="4"/>
        <v>1.9020058399758392E-2</v>
      </c>
      <c r="H40" s="854">
        <f t="shared" si="5"/>
        <v>169052.85</v>
      </c>
      <c r="I40" s="855">
        <f t="shared" si="6"/>
        <v>1593033.85</v>
      </c>
      <c r="J40" s="854">
        <f t="shared" si="7"/>
        <v>50334091.700000003</v>
      </c>
      <c r="K40" s="958">
        <f t="shared" si="8"/>
        <v>1.843655610613313E-2</v>
      </c>
      <c r="L40" s="25"/>
      <c r="M40" s="316"/>
      <c r="N40" s="25"/>
      <c r="O40" s="25"/>
      <c r="P40" s="25"/>
      <c r="Q40" s="850"/>
      <c r="R40" s="851"/>
      <c r="S40" s="850"/>
      <c r="T40" s="25"/>
      <c r="U40" s="718"/>
      <c r="V40" s="25"/>
      <c r="W40" s="25"/>
    </row>
    <row r="41" spans="1:23" ht="13">
      <c r="A41" s="240"/>
      <c r="B41" s="423">
        <v>21</v>
      </c>
      <c r="C41" s="955">
        <f t="shared" si="0"/>
        <v>5324</v>
      </c>
      <c r="D41" s="853">
        <f t="shared" si="1"/>
        <v>3230731.23</v>
      </c>
      <c r="E41" s="853">
        <f t="shared" si="2"/>
        <v>55157856.780000001</v>
      </c>
      <c r="F41" s="853">
        <f t="shared" si="3"/>
        <v>2730124401.23</v>
      </c>
      <c r="G41" s="821">
        <f t="shared" si="4"/>
        <v>2.0203422508933953E-2</v>
      </c>
      <c r="H41" s="854">
        <f t="shared" si="5"/>
        <v>209071.26</v>
      </c>
      <c r="I41" s="855">
        <f t="shared" si="6"/>
        <v>1802105.11</v>
      </c>
      <c r="J41" s="854">
        <f t="shared" si="7"/>
        <v>53355751.670000002</v>
      </c>
      <c r="K41" s="958">
        <f t="shared" si="8"/>
        <v>1.9543340825773983E-2</v>
      </c>
      <c r="L41" s="25"/>
      <c r="M41" s="316"/>
      <c r="N41" s="25"/>
      <c r="O41" s="25"/>
      <c r="P41" s="25"/>
      <c r="Q41" s="850"/>
      <c r="R41" s="851"/>
      <c r="S41" s="850"/>
      <c r="T41" s="25"/>
      <c r="U41" s="718"/>
      <c r="V41" s="25"/>
      <c r="W41" s="25"/>
    </row>
    <row r="42" spans="1:23" ht="13">
      <c r="A42" s="240"/>
      <c r="B42" s="423">
        <v>22</v>
      </c>
      <c r="C42" s="955">
        <f t="shared" si="0"/>
        <v>5671</v>
      </c>
      <c r="D42" s="853">
        <f t="shared" si="1"/>
        <v>3692073.28</v>
      </c>
      <c r="E42" s="853">
        <f t="shared" si="2"/>
        <v>58849930.060000002</v>
      </c>
      <c r="F42" s="853">
        <f t="shared" si="3"/>
        <v>2730124401.23</v>
      </c>
      <c r="G42" s="821">
        <f t="shared" si="4"/>
        <v>2.1555768679803168E-2</v>
      </c>
      <c r="H42" s="854">
        <f t="shared" si="5"/>
        <v>286489.58</v>
      </c>
      <c r="I42" s="855">
        <f t="shared" si="6"/>
        <v>2088594.69</v>
      </c>
      <c r="J42" s="854">
        <f t="shared" si="7"/>
        <v>56761335.369999997</v>
      </c>
      <c r="K42" s="958">
        <f t="shared" si="8"/>
        <v>2.0790750540315081E-2</v>
      </c>
      <c r="L42" s="25"/>
      <c r="M42" s="316"/>
      <c r="N42" s="25"/>
      <c r="O42" s="856"/>
      <c r="P42" s="25"/>
      <c r="Q42" s="850"/>
      <c r="R42" s="851"/>
      <c r="S42" s="851"/>
      <c r="T42" s="25"/>
      <c r="U42" s="25"/>
      <c r="V42" s="25"/>
      <c r="W42" s="822"/>
    </row>
    <row r="43" spans="1:23" ht="13">
      <c r="A43" s="240"/>
      <c r="B43" s="423">
        <v>23</v>
      </c>
      <c r="C43" s="955">
        <f t="shared" si="0"/>
        <v>5972</v>
      </c>
      <c r="D43" s="853">
        <f t="shared" si="1"/>
        <v>2760606.09</v>
      </c>
      <c r="E43" s="853">
        <f t="shared" si="2"/>
        <v>61610536.149999999</v>
      </c>
      <c r="F43" s="853">
        <f t="shared" si="3"/>
        <v>2730124401.23</v>
      </c>
      <c r="G43" s="821">
        <f t="shared" si="4"/>
        <v>2.2566933624798446E-2</v>
      </c>
      <c r="H43" s="854">
        <f t="shared" si="5"/>
        <v>281752.38</v>
      </c>
      <c r="I43" s="855">
        <f t="shared" si="6"/>
        <v>2370347.0699999998</v>
      </c>
      <c r="J43" s="854">
        <f t="shared" si="7"/>
        <v>59240189.079999998</v>
      </c>
      <c r="K43" s="958">
        <f t="shared" si="8"/>
        <v>2.169871418800938E-2</v>
      </c>
      <c r="L43" s="25"/>
      <c r="M43" s="316"/>
      <c r="O43" s="25"/>
      <c r="P43" s="25"/>
      <c r="Q43" s="850"/>
      <c r="R43" s="851"/>
      <c r="S43" s="851"/>
      <c r="T43" s="25"/>
      <c r="U43" s="25"/>
      <c r="V43" s="25"/>
      <c r="W43" s="827"/>
    </row>
    <row r="44" spans="1:23" ht="13">
      <c r="A44" s="240"/>
      <c r="B44" s="423">
        <v>24</v>
      </c>
      <c r="C44" s="955">
        <f t="shared" si="0"/>
        <v>6280</v>
      </c>
      <c r="D44" s="853">
        <f t="shared" si="1"/>
        <v>2904644.76</v>
      </c>
      <c r="E44" s="853">
        <f t="shared" si="2"/>
        <v>64515180.909999996</v>
      </c>
      <c r="F44" s="853">
        <f t="shared" si="3"/>
        <v>2730124401.23</v>
      </c>
      <c r="G44" s="821">
        <f t="shared" si="4"/>
        <v>2.3630857583242015E-2</v>
      </c>
      <c r="H44" s="854">
        <f t="shared" si="5"/>
        <v>185063.2</v>
      </c>
      <c r="I44" s="855">
        <f t="shared" si="6"/>
        <v>2555410.27</v>
      </c>
      <c r="J44" s="854">
        <f t="shared" si="7"/>
        <v>61959770.640000001</v>
      </c>
      <c r="K44" s="958">
        <f t="shared" si="8"/>
        <v>2.2694852517374426E-2</v>
      </c>
      <c r="L44" s="25"/>
      <c r="M44" s="848"/>
      <c r="O44" s="849"/>
      <c r="P44" s="25"/>
      <c r="Q44" s="850"/>
      <c r="R44" s="851"/>
      <c r="S44" s="851"/>
      <c r="T44" s="25"/>
      <c r="U44" s="25"/>
      <c r="V44" s="25"/>
      <c r="W44" s="718"/>
    </row>
    <row r="45" spans="1:23" ht="13">
      <c r="A45" s="240"/>
      <c r="B45" s="423">
        <v>25</v>
      </c>
      <c r="C45" s="955">
        <f t="shared" si="0"/>
        <v>6589</v>
      </c>
      <c r="D45" s="853">
        <f t="shared" si="1"/>
        <v>2962236.25</v>
      </c>
      <c r="E45" s="853">
        <f t="shared" si="2"/>
        <v>67477417.159999996</v>
      </c>
      <c r="F45" s="853">
        <f t="shared" si="3"/>
        <v>2730124401.23</v>
      </c>
      <c r="G45" s="821">
        <f t="shared" si="4"/>
        <v>2.471587636431493E-2</v>
      </c>
      <c r="H45" s="854">
        <f t="shared" si="5"/>
        <v>4711560.2699999996</v>
      </c>
      <c r="I45" s="855">
        <f t="shared" si="6"/>
        <v>7266970.54</v>
      </c>
      <c r="J45" s="854">
        <f t="shared" si="7"/>
        <v>60210446.619999997</v>
      </c>
      <c r="K45" s="958">
        <f t="shared" si="8"/>
        <v>2.2054103685851627E-2</v>
      </c>
      <c r="L45" s="25"/>
      <c r="M45" s="316"/>
      <c r="N45" s="25"/>
      <c r="O45" s="25"/>
      <c r="P45" s="25"/>
      <c r="Q45" s="850"/>
      <c r="R45" s="851"/>
      <c r="S45" s="850"/>
      <c r="T45" s="25"/>
      <c r="U45" s="718"/>
      <c r="V45" s="25"/>
      <c r="W45" s="25"/>
    </row>
    <row r="46" spans="1:23" ht="13">
      <c r="A46" s="240"/>
      <c r="B46" s="423">
        <v>26</v>
      </c>
      <c r="C46" s="955">
        <f t="shared" si="0"/>
        <v>6808</v>
      </c>
      <c r="D46" s="853">
        <f t="shared" si="1"/>
        <v>2173212.2400000002</v>
      </c>
      <c r="E46" s="853">
        <f t="shared" si="2"/>
        <v>69650629.400000006</v>
      </c>
      <c r="F46" s="853">
        <f t="shared" si="3"/>
        <v>2730124401.23</v>
      </c>
      <c r="G46" s="821">
        <f t="shared" si="4"/>
        <v>2.5511888531020925E-2</v>
      </c>
      <c r="H46" s="854">
        <f t="shared" si="5"/>
        <v>177779.61</v>
      </c>
      <c r="I46" s="855">
        <f t="shared" si="6"/>
        <v>7444750.1500000004</v>
      </c>
      <c r="J46" s="854">
        <f t="shared" si="7"/>
        <v>62205879.25</v>
      </c>
      <c r="K46" s="958">
        <f t="shared" si="8"/>
        <v>2.2784998083594452E-2</v>
      </c>
      <c r="L46" s="25"/>
      <c r="M46" s="316"/>
      <c r="N46" s="25"/>
      <c r="O46" s="25"/>
      <c r="P46" s="25"/>
      <c r="Q46" s="850"/>
      <c r="R46" s="851"/>
      <c r="S46" s="850"/>
      <c r="T46" s="25"/>
      <c r="U46" s="718"/>
      <c r="V46" s="25"/>
      <c r="W46" s="25"/>
    </row>
    <row r="47" spans="1:23" ht="13">
      <c r="A47" s="240"/>
      <c r="B47" s="423">
        <v>27</v>
      </c>
      <c r="C47" s="955">
        <f t="shared" si="0"/>
        <v>7053</v>
      </c>
      <c r="D47" s="853">
        <f t="shared" si="1"/>
        <v>2624041.8199999998</v>
      </c>
      <c r="E47" s="853">
        <f t="shared" si="2"/>
        <v>72274671.219999999</v>
      </c>
      <c r="F47" s="853">
        <f t="shared" si="3"/>
        <v>2730124401.23</v>
      </c>
      <c r="G47" s="821">
        <f t="shared" si="4"/>
        <v>2.647303221327137E-2</v>
      </c>
      <c r="H47" s="854">
        <f t="shared" si="5"/>
        <v>161908.4</v>
      </c>
      <c r="I47" s="855">
        <f t="shared" si="6"/>
        <v>7606658.5499999998</v>
      </c>
      <c r="J47" s="854">
        <f t="shared" si="7"/>
        <v>64668012.670000002</v>
      </c>
      <c r="K47" s="958">
        <f t="shared" si="8"/>
        <v>2.3686837362013678E-2</v>
      </c>
      <c r="L47" s="25"/>
      <c r="M47" s="316"/>
      <c r="N47" s="25"/>
      <c r="O47" s="856"/>
      <c r="P47" s="25"/>
      <c r="Q47" s="850"/>
      <c r="R47" s="851"/>
      <c r="S47" s="851"/>
      <c r="T47" s="25"/>
      <c r="U47" s="25"/>
      <c r="V47" s="25"/>
      <c r="W47" s="25"/>
    </row>
    <row r="48" spans="1:23" ht="12.75" customHeight="1">
      <c r="A48" s="240"/>
      <c r="B48" s="423">
        <v>28</v>
      </c>
      <c r="C48" s="955">
        <f t="shared" si="0"/>
        <v>7325</v>
      </c>
      <c r="D48" s="853">
        <f t="shared" si="1"/>
        <v>2883031.8</v>
      </c>
      <c r="E48" s="853">
        <f t="shared" si="2"/>
        <v>75157703.019999996</v>
      </c>
      <c r="F48" s="853">
        <f t="shared" si="3"/>
        <v>2730124401.23</v>
      </c>
      <c r="G48" s="821">
        <f t="shared" si="4"/>
        <v>2.7529039697289717E-2</v>
      </c>
      <c r="H48" s="854">
        <f t="shared" si="5"/>
        <v>196623.44</v>
      </c>
      <c r="I48" s="855">
        <f t="shared" si="6"/>
        <v>7803281.9900000002</v>
      </c>
      <c r="J48" s="854">
        <f t="shared" si="7"/>
        <v>67354421.030000001</v>
      </c>
      <c r="K48" s="958">
        <f t="shared" si="8"/>
        <v>2.4670824889757723E-2</v>
      </c>
      <c r="L48" s="25"/>
      <c r="M48" s="316"/>
      <c r="Q48" s="863"/>
      <c r="S48" s="864"/>
      <c r="U48" s="25"/>
      <c r="V48" s="25"/>
      <c r="W48" s="25"/>
    </row>
    <row r="49" spans="1:23" ht="12.75" customHeight="1">
      <c r="A49" s="240"/>
      <c r="B49" s="423">
        <v>29</v>
      </c>
      <c r="C49" s="955">
        <f t="shared" si="0"/>
        <v>7620</v>
      </c>
      <c r="D49" s="853">
        <f t="shared" si="1"/>
        <v>3265311.65</v>
      </c>
      <c r="E49" s="853">
        <f t="shared" si="2"/>
        <v>78423014.670000002</v>
      </c>
      <c r="F49" s="853">
        <f t="shared" si="3"/>
        <v>2730124401.23</v>
      </c>
      <c r="G49" s="821">
        <f t="shared" si="4"/>
        <v>2.8725070049799989E-2</v>
      </c>
      <c r="H49" s="854">
        <f t="shared" si="5"/>
        <v>249299.79</v>
      </c>
      <c r="I49" s="855">
        <f t="shared" si="6"/>
        <v>8052581.7800000003</v>
      </c>
      <c r="J49" s="854">
        <f t="shared" si="7"/>
        <v>70370432.890000001</v>
      </c>
      <c r="K49" s="958">
        <f t="shared" si="8"/>
        <v>2.5775540798908682E-2</v>
      </c>
      <c r="L49" s="25"/>
      <c r="M49" s="316"/>
      <c r="Q49" s="718"/>
      <c r="S49" s="330"/>
      <c r="U49" s="25"/>
      <c r="V49" s="25"/>
      <c r="W49" s="25"/>
    </row>
    <row r="50" spans="1:23" ht="13">
      <c r="A50" s="240"/>
      <c r="B50" s="423">
        <v>30</v>
      </c>
      <c r="C50" s="955">
        <f t="shared" si="0"/>
        <v>7829</v>
      </c>
      <c r="D50" s="853">
        <f t="shared" si="1"/>
        <v>1493905.64</v>
      </c>
      <c r="E50" s="853">
        <f t="shared" si="2"/>
        <v>79916920.310000002</v>
      </c>
      <c r="F50" s="853">
        <f t="shared" si="3"/>
        <v>2730124401.23</v>
      </c>
      <c r="G50" s="821">
        <f t="shared" si="4"/>
        <v>2.9272263298329965E-2</v>
      </c>
      <c r="H50" s="854">
        <f t="shared" si="5"/>
        <v>250132.45</v>
      </c>
      <c r="I50" s="855">
        <f t="shared" si="6"/>
        <v>8302714.2300000004</v>
      </c>
      <c r="J50" s="854">
        <f t="shared" si="7"/>
        <v>71614206.079999998</v>
      </c>
      <c r="K50" s="958">
        <f t="shared" si="8"/>
        <v>2.6231114614314176E-2</v>
      </c>
      <c r="L50" s="25"/>
      <c r="M50" s="316"/>
    </row>
    <row r="51" spans="1:23" ht="13">
      <c r="A51" s="240"/>
      <c r="B51" s="423">
        <v>31</v>
      </c>
      <c r="C51" s="955">
        <f t="shared" si="0"/>
        <v>8081</v>
      </c>
      <c r="D51" s="853">
        <f t="shared" si="1"/>
        <v>2453715.83</v>
      </c>
      <c r="E51" s="853">
        <f t="shared" si="2"/>
        <v>82370636.140000001</v>
      </c>
      <c r="F51" s="853">
        <f t="shared" si="3"/>
        <v>2730124401.23</v>
      </c>
      <c r="G51" s="821">
        <f t="shared" si="4"/>
        <v>3.0171019350945929E-2</v>
      </c>
      <c r="H51" s="854">
        <f t="shared" si="5"/>
        <v>263009.46999999997</v>
      </c>
      <c r="I51" s="855">
        <f t="shared" si="6"/>
        <v>8565723.6999999993</v>
      </c>
      <c r="J51" s="854">
        <f t="shared" si="7"/>
        <v>73804912.439999998</v>
      </c>
      <c r="K51" s="958">
        <f t="shared" si="8"/>
        <v>2.7033534591591777E-2</v>
      </c>
      <c r="L51" s="25"/>
      <c r="M51" s="316"/>
      <c r="S51" s="271"/>
    </row>
    <row r="52" spans="1:23" ht="13">
      <c r="A52" s="240"/>
      <c r="B52" s="423">
        <v>32</v>
      </c>
      <c r="C52" s="955">
        <f t="shared" si="0"/>
        <v>8325</v>
      </c>
      <c r="D52" s="853">
        <f t="shared" si="1"/>
        <v>2206457.69</v>
      </c>
      <c r="E52" s="853">
        <f t="shared" si="2"/>
        <v>84577093.829999998</v>
      </c>
      <c r="F52" s="853">
        <f t="shared" si="3"/>
        <v>2730124401.23</v>
      </c>
      <c r="G52" s="821">
        <f t="shared" si="4"/>
        <v>3.0979208783268472E-2</v>
      </c>
      <c r="H52" s="854">
        <f t="shared" si="5"/>
        <v>276668.58</v>
      </c>
      <c r="I52" s="855">
        <f t="shared" si="6"/>
        <v>8842392.2799999993</v>
      </c>
      <c r="J52" s="854">
        <f t="shared" si="7"/>
        <v>75734701.549999997</v>
      </c>
      <c r="K52" s="958">
        <f t="shared" si="8"/>
        <v>2.7740384839562374E-2</v>
      </c>
      <c r="L52" s="25"/>
      <c r="M52" s="316"/>
      <c r="S52" s="271"/>
    </row>
    <row r="53" spans="1:23" ht="13">
      <c r="A53" s="240"/>
      <c r="B53" s="423">
        <v>33</v>
      </c>
      <c r="C53" s="955">
        <f t="shared" ref="C53:C84" si="9">IF(B53&gt;$F$4,"",VLOOKUP(CONCATENATE("defaults_",$B53),defaults_20,2,0))</f>
        <v>8542</v>
      </c>
      <c r="D53" s="853">
        <f t="shared" ref="D53:D84" si="10">IF(B53&gt;$F$4,"",VLOOKUP(CONCATENATE("defaults_",$B53),defaults_20,3,0))</f>
        <v>2083281.27</v>
      </c>
      <c r="E53" s="853">
        <f t="shared" ref="E53:E84" si="11">IF(B53&gt;$F$4,"",VLOOKUP(CONCATENATE("defaults_",$B53),defaults_20,4,0))</f>
        <v>86660375.099999994</v>
      </c>
      <c r="F53" s="853">
        <f t="shared" ref="F53:F84" si="12">IF(B53&gt;$F$4,"",VLOOKUP(CONCATENATE("defaults_",$B53),defaults_20,5,0))</f>
        <v>2730124401.23</v>
      </c>
      <c r="G53" s="821">
        <f t="shared" ref="G53:G84" si="13">IF(B53&gt;$F$4,"",VLOOKUP(CONCATENATE("defaults_",$B53),defaults_20,6,0))</f>
        <v>3.174228070374998E-2</v>
      </c>
      <c r="H53" s="854">
        <f t="shared" ref="H53:H84" si="14">IF(B53&gt;$F$4,"",VLOOKUP(CONCATENATE("defaults_",$B53),defaults_20,7,0))</f>
        <v>261274.42</v>
      </c>
      <c r="I53" s="855">
        <f t="shared" ref="I53:I84" si="15">IF(B53&gt;$F$4,"",VLOOKUP(CONCATENATE("defaults_",$B53),defaults_20,8,0))</f>
        <v>9103666.6999999993</v>
      </c>
      <c r="J53" s="854">
        <f t="shared" ref="J53:J84" si="16">IF(B53&gt;$F$4,"",VLOOKUP(CONCATENATE("defaults_",$B53),defaults_20,9,0))</f>
        <v>77556708.400000006</v>
      </c>
      <c r="K53" s="958">
        <f t="shared" ref="K53:K84" si="17">IF(B53&gt;$F$4,"",VLOOKUP(CONCATENATE("defaults_",$B53),defaults_20,10,0))</f>
        <v>2.8407756205196529E-2</v>
      </c>
      <c r="L53" s="25"/>
      <c r="M53" s="316"/>
    </row>
    <row r="54" spans="1:23" ht="13">
      <c r="A54" s="240"/>
      <c r="B54" s="423">
        <v>34</v>
      </c>
      <c r="C54" s="955">
        <f t="shared" si="9"/>
        <v>8746</v>
      </c>
      <c r="D54" s="853">
        <f t="shared" si="10"/>
        <v>1867381.73</v>
      </c>
      <c r="E54" s="853">
        <f t="shared" si="11"/>
        <v>88527756.829999998</v>
      </c>
      <c r="F54" s="853">
        <f t="shared" si="12"/>
        <v>2730124401.23</v>
      </c>
      <c r="G54" s="821">
        <f t="shared" si="13"/>
        <v>3.2426272147201674E-2</v>
      </c>
      <c r="H54" s="854">
        <f t="shared" si="14"/>
        <v>315106.34999999998</v>
      </c>
      <c r="I54" s="855">
        <f t="shared" si="15"/>
        <v>9418773.0500000007</v>
      </c>
      <c r="J54" s="854">
        <f t="shared" si="16"/>
        <v>79108983.780000001</v>
      </c>
      <c r="K54" s="958">
        <f t="shared" si="17"/>
        <v>2.8976329336626239E-2</v>
      </c>
      <c r="L54" s="25"/>
      <c r="M54" s="316"/>
      <c r="N54" s="835"/>
      <c r="O54" s="836"/>
      <c r="Q54" s="836"/>
      <c r="S54" s="271"/>
    </row>
    <row r="55" spans="1:23" ht="13">
      <c r="A55" s="240"/>
      <c r="B55" s="423">
        <v>35</v>
      </c>
      <c r="C55" s="955">
        <f t="shared" si="9"/>
        <v>8943</v>
      </c>
      <c r="D55" s="853">
        <f t="shared" si="10"/>
        <v>2075017.77</v>
      </c>
      <c r="E55" s="853">
        <f t="shared" si="11"/>
        <v>90602774.599999994</v>
      </c>
      <c r="F55" s="853">
        <f t="shared" si="12"/>
        <v>2730124401.23</v>
      </c>
      <c r="G55" s="821">
        <f t="shared" si="13"/>
        <v>3.3186317282531456E-2</v>
      </c>
      <c r="H55" s="854">
        <f t="shared" si="14"/>
        <v>204987.12</v>
      </c>
      <c r="I55" s="855">
        <f t="shared" si="15"/>
        <v>9623760.1699999999</v>
      </c>
      <c r="J55" s="854">
        <f t="shared" si="16"/>
        <v>80979014.430000007</v>
      </c>
      <c r="K55" s="958">
        <f t="shared" si="17"/>
        <v>2.9661291036231389E-2</v>
      </c>
      <c r="L55" s="25"/>
      <c r="M55" s="316"/>
      <c r="N55" s="835"/>
      <c r="O55" s="836"/>
      <c r="Q55" s="836"/>
    </row>
    <row r="56" spans="1:23" ht="13">
      <c r="A56" s="240"/>
      <c r="B56" s="423">
        <v>36</v>
      </c>
      <c r="C56" s="955">
        <f t="shared" si="9"/>
        <v>9135</v>
      </c>
      <c r="D56" s="853">
        <f t="shared" si="10"/>
        <v>1876834.53</v>
      </c>
      <c r="E56" s="853">
        <f t="shared" si="11"/>
        <v>92479609.129999995</v>
      </c>
      <c r="F56" s="853">
        <f t="shared" si="12"/>
        <v>2730124401.23</v>
      </c>
      <c r="G56" s="821">
        <f t="shared" si="13"/>
        <v>3.3873771132310035E-2</v>
      </c>
      <c r="H56" s="854">
        <f t="shared" si="14"/>
        <v>1560772.79</v>
      </c>
      <c r="I56" s="855">
        <f t="shared" si="15"/>
        <v>11184532.960000001</v>
      </c>
      <c r="J56" s="854">
        <f t="shared" si="16"/>
        <v>81295076.170000002</v>
      </c>
      <c r="K56" s="958">
        <f t="shared" si="17"/>
        <v>2.9777059292014026E-2</v>
      </c>
      <c r="L56" s="25"/>
      <c r="M56" s="316"/>
    </row>
    <row r="57" spans="1:23" ht="13">
      <c r="A57" s="240"/>
      <c r="B57" s="423">
        <v>37</v>
      </c>
      <c r="C57" s="955">
        <f t="shared" si="9"/>
        <v>9311</v>
      </c>
      <c r="D57" s="853">
        <f t="shared" si="10"/>
        <v>1507632.45</v>
      </c>
      <c r="E57" s="853">
        <f t="shared" si="11"/>
        <v>93987241.579999998</v>
      </c>
      <c r="F57" s="853">
        <f t="shared" si="12"/>
        <v>2730124401.23</v>
      </c>
      <c r="G57" s="821">
        <f t="shared" si="13"/>
        <v>3.4425992287258421E-2</v>
      </c>
      <c r="H57" s="854">
        <f t="shared" si="14"/>
        <v>317518.5</v>
      </c>
      <c r="I57" s="855">
        <f t="shared" si="15"/>
        <v>11502051.460000001</v>
      </c>
      <c r="J57" s="854">
        <f t="shared" si="16"/>
        <v>82485190.120000005</v>
      </c>
      <c r="K57" s="958">
        <f t="shared" si="17"/>
        <v>3.021297860377279E-2</v>
      </c>
      <c r="L57" s="25"/>
      <c r="M57" s="316"/>
      <c r="N57" s="835"/>
      <c r="O57" s="835"/>
      <c r="P57" s="835"/>
      <c r="Q57" s="835"/>
    </row>
    <row r="58" spans="1:23" ht="13">
      <c r="A58" s="240"/>
      <c r="B58" s="423">
        <v>38</v>
      </c>
      <c r="C58" s="955">
        <f t="shared" si="9"/>
        <v>9501</v>
      </c>
      <c r="D58" s="853">
        <f t="shared" si="10"/>
        <v>1849626.77</v>
      </c>
      <c r="E58" s="853">
        <f t="shared" si="11"/>
        <v>95836868.349999994</v>
      </c>
      <c r="F58" s="853">
        <f t="shared" si="12"/>
        <v>2730124401.23</v>
      </c>
      <c r="G58" s="821">
        <f t="shared" si="13"/>
        <v>3.5103480378704616E-2</v>
      </c>
      <c r="H58" s="854">
        <f t="shared" si="14"/>
        <v>277721.07</v>
      </c>
      <c r="I58" s="855">
        <f t="shared" si="15"/>
        <v>11779772.529999999</v>
      </c>
      <c r="J58" s="854">
        <f t="shared" si="16"/>
        <v>84057095.819999993</v>
      </c>
      <c r="K58" s="958">
        <f t="shared" si="17"/>
        <v>3.078874200096151E-2</v>
      </c>
      <c r="L58" s="25"/>
      <c r="M58" s="316"/>
    </row>
    <row r="59" spans="1:23" ht="13">
      <c r="A59" s="240"/>
      <c r="B59" s="423">
        <v>39</v>
      </c>
      <c r="C59" s="955">
        <f t="shared" si="9"/>
        <v>9695</v>
      </c>
      <c r="D59" s="853">
        <f t="shared" si="10"/>
        <v>2002314.76</v>
      </c>
      <c r="E59" s="853">
        <f t="shared" si="11"/>
        <v>97839183.109999999</v>
      </c>
      <c r="F59" s="853">
        <f t="shared" si="12"/>
        <v>2730124401.23</v>
      </c>
      <c r="G59" s="821">
        <f t="shared" si="13"/>
        <v>3.5836895588318471E-2</v>
      </c>
      <c r="H59" s="854">
        <f t="shared" si="14"/>
        <v>314968.46999999997</v>
      </c>
      <c r="I59" s="855">
        <f t="shared" si="15"/>
        <v>12094741</v>
      </c>
      <c r="J59" s="854">
        <f t="shared" si="16"/>
        <v>85744442.109999999</v>
      </c>
      <c r="K59" s="958">
        <f t="shared" si="17"/>
        <v>3.1406789401746543E-2</v>
      </c>
      <c r="L59" s="25"/>
      <c r="M59" s="316"/>
    </row>
    <row r="60" spans="1:23" ht="13">
      <c r="A60" s="240"/>
      <c r="B60" s="423">
        <v>40</v>
      </c>
      <c r="C60" s="955">
        <f t="shared" si="9"/>
        <v>9848</v>
      </c>
      <c r="D60" s="853">
        <f t="shared" si="10"/>
        <v>1620692.83</v>
      </c>
      <c r="E60" s="853">
        <f t="shared" si="11"/>
        <v>99459875.939999998</v>
      </c>
      <c r="F60" s="853">
        <f t="shared" si="12"/>
        <v>2730124401.23</v>
      </c>
      <c r="G60" s="821">
        <f t="shared" si="13"/>
        <v>3.6430528914796131E-2</v>
      </c>
      <c r="H60" s="854">
        <f t="shared" si="14"/>
        <v>277300.58</v>
      </c>
      <c r="I60" s="855">
        <f t="shared" si="15"/>
        <v>12372041.58</v>
      </c>
      <c r="J60" s="854">
        <f t="shared" si="16"/>
        <v>87087834.359999999</v>
      </c>
      <c r="K60" s="958">
        <f t="shared" si="17"/>
        <v>3.1898852052589403E-2</v>
      </c>
      <c r="L60" s="25"/>
      <c r="M60" s="316"/>
    </row>
    <row r="61" spans="1:23" ht="13">
      <c r="A61" s="240"/>
      <c r="B61" s="423">
        <v>41</v>
      </c>
      <c r="C61" s="955">
        <f t="shared" si="9"/>
        <v>9994</v>
      </c>
      <c r="D61" s="853">
        <f t="shared" si="10"/>
        <v>1281616.3400000001</v>
      </c>
      <c r="E61" s="853">
        <f t="shared" si="11"/>
        <v>100741492.28</v>
      </c>
      <c r="F61" s="853">
        <f t="shared" si="12"/>
        <v>2730124401.23</v>
      </c>
      <c r="G61" s="821">
        <f t="shared" si="13"/>
        <v>3.6899964058272602E-2</v>
      </c>
      <c r="H61" s="854">
        <f t="shared" si="14"/>
        <v>278569.33</v>
      </c>
      <c r="I61" s="855">
        <f t="shared" si="15"/>
        <v>12650610.91</v>
      </c>
      <c r="J61" s="854">
        <f t="shared" si="16"/>
        <v>88090881.370000005</v>
      </c>
      <c r="K61" s="958">
        <f t="shared" si="17"/>
        <v>3.2266251798017891E-2</v>
      </c>
      <c r="L61" s="25"/>
      <c r="M61" s="316"/>
    </row>
    <row r="62" spans="1:23" ht="13">
      <c r="A62" s="240"/>
      <c r="B62" s="423">
        <v>42</v>
      </c>
      <c r="C62" s="955">
        <f t="shared" si="9"/>
        <v>10140</v>
      </c>
      <c r="D62" s="853">
        <f t="shared" si="10"/>
        <v>1250891.31</v>
      </c>
      <c r="E62" s="853">
        <f t="shared" si="11"/>
        <v>101992383.59</v>
      </c>
      <c r="F62" s="853">
        <f t="shared" si="12"/>
        <v>2730124401.23</v>
      </c>
      <c r="G62" s="821">
        <f t="shared" si="13"/>
        <v>3.7358145124833687E-2</v>
      </c>
      <c r="H62" s="854">
        <f t="shared" si="14"/>
        <v>326599.52</v>
      </c>
      <c r="I62" s="855">
        <f t="shared" si="15"/>
        <v>12977210.43</v>
      </c>
      <c r="J62" s="854">
        <f t="shared" si="16"/>
        <v>89015173.159999996</v>
      </c>
      <c r="K62" s="958">
        <f t="shared" si="17"/>
        <v>3.2604804792007315E-2</v>
      </c>
      <c r="L62" s="25"/>
      <c r="M62" s="316"/>
    </row>
    <row r="63" spans="1:23" ht="13">
      <c r="A63" s="240"/>
      <c r="B63" s="423">
        <v>43</v>
      </c>
      <c r="C63" s="955">
        <f t="shared" si="9"/>
        <v>10276</v>
      </c>
      <c r="D63" s="853">
        <f t="shared" si="10"/>
        <v>1166417.58</v>
      </c>
      <c r="E63" s="853">
        <f t="shared" si="11"/>
        <v>103158801.17</v>
      </c>
      <c r="F63" s="853">
        <f t="shared" si="12"/>
        <v>2730124401.23</v>
      </c>
      <c r="G63" s="821">
        <f t="shared" si="13"/>
        <v>3.7785384843095057E-2</v>
      </c>
      <c r="H63" s="854">
        <f t="shared" si="14"/>
        <v>312342.63</v>
      </c>
      <c r="I63" s="855">
        <f t="shared" si="15"/>
        <v>13289553.060000001</v>
      </c>
      <c r="J63" s="854">
        <f t="shared" si="16"/>
        <v>89869248.109999999</v>
      </c>
      <c r="K63" s="958">
        <f t="shared" si="17"/>
        <v>3.291763850376609E-2</v>
      </c>
      <c r="L63" s="25"/>
      <c r="M63" s="316"/>
    </row>
    <row r="64" spans="1:23" ht="13">
      <c r="A64" s="240"/>
      <c r="B64" s="423">
        <v>44</v>
      </c>
      <c r="C64" s="955">
        <f t="shared" si="9"/>
        <v>10441</v>
      </c>
      <c r="D64" s="853">
        <f t="shared" si="10"/>
        <v>1702421.65</v>
      </c>
      <c r="E64" s="853">
        <f t="shared" si="11"/>
        <v>104861222.81999999</v>
      </c>
      <c r="F64" s="853">
        <f t="shared" si="12"/>
        <v>2730124401.23</v>
      </c>
      <c r="G64" s="821">
        <f t="shared" si="13"/>
        <v>3.8408954102148972E-2</v>
      </c>
      <c r="H64" s="854">
        <f t="shared" si="14"/>
        <v>281732.40000000002</v>
      </c>
      <c r="I64" s="855">
        <f t="shared" si="15"/>
        <v>13571285.460000001</v>
      </c>
      <c r="J64" s="854">
        <f t="shared" si="16"/>
        <v>91289937.359999999</v>
      </c>
      <c r="K64" s="958">
        <f t="shared" si="17"/>
        <v>3.3438013783866863E-2</v>
      </c>
      <c r="L64" s="25"/>
      <c r="M64" s="316"/>
    </row>
    <row r="65" spans="1:13" ht="13">
      <c r="A65" s="240"/>
      <c r="B65" s="423">
        <v>45</v>
      </c>
      <c r="C65" s="955">
        <f t="shared" si="9"/>
        <v>10597</v>
      </c>
      <c r="D65" s="853">
        <f t="shared" si="10"/>
        <v>1445215.19</v>
      </c>
      <c r="E65" s="853">
        <f t="shared" si="11"/>
        <v>106306438.01000001</v>
      </c>
      <c r="F65" s="853">
        <f t="shared" si="12"/>
        <v>2730124401.23</v>
      </c>
      <c r="G65" s="821">
        <f t="shared" si="13"/>
        <v>3.893831283369574E-2</v>
      </c>
      <c r="H65" s="854">
        <f t="shared" si="14"/>
        <v>332224.62</v>
      </c>
      <c r="I65" s="855">
        <f t="shared" si="15"/>
        <v>13903510.08</v>
      </c>
      <c r="J65" s="854">
        <f t="shared" si="16"/>
        <v>92402927.930000007</v>
      </c>
      <c r="K65" s="958">
        <f t="shared" si="17"/>
        <v>3.3845684060539442E-2</v>
      </c>
      <c r="L65" s="25"/>
      <c r="M65" s="316"/>
    </row>
    <row r="66" spans="1:13" ht="13">
      <c r="A66" s="240"/>
      <c r="B66" s="423">
        <v>46</v>
      </c>
      <c r="C66" s="955">
        <f t="shared" si="9"/>
        <v>10756</v>
      </c>
      <c r="D66" s="853">
        <f t="shared" si="10"/>
        <v>1454671.96</v>
      </c>
      <c r="E66" s="853">
        <f t="shared" si="11"/>
        <v>107761109.97</v>
      </c>
      <c r="F66" s="853">
        <f t="shared" si="12"/>
        <v>2730124401.23</v>
      </c>
      <c r="G66" s="821">
        <f t="shared" si="13"/>
        <v>3.9471135425715585E-2</v>
      </c>
      <c r="H66" s="854">
        <f t="shared" si="14"/>
        <v>372435.02</v>
      </c>
      <c r="I66" s="855">
        <f t="shared" si="15"/>
        <v>14275945.1</v>
      </c>
      <c r="J66" s="854">
        <f t="shared" si="16"/>
        <v>93485164.870000005</v>
      </c>
      <c r="K66" s="958">
        <f t="shared" si="17"/>
        <v>3.4242089784583526E-2</v>
      </c>
      <c r="L66" s="25"/>
      <c r="M66" s="316"/>
    </row>
    <row r="67" spans="1:13" ht="13">
      <c r="A67" s="240"/>
      <c r="B67" s="423">
        <v>47</v>
      </c>
      <c r="C67" s="955">
        <f t="shared" si="9"/>
        <v>10887</v>
      </c>
      <c r="D67" s="853">
        <f t="shared" si="10"/>
        <v>1011398.35</v>
      </c>
      <c r="E67" s="853">
        <f t="shared" si="11"/>
        <v>108772508.31999999</v>
      </c>
      <c r="F67" s="853">
        <f t="shared" si="12"/>
        <v>2730124401.23</v>
      </c>
      <c r="G67" s="821">
        <f t="shared" si="13"/>
        <v>3.9841594130653843E-2</v>
      </c>
      <c r="H67" s="854">
        <f t="shared" si="14"/>
        <v>340485.08</v>
      </c>
      <c r="I67" s="855">
        <f t="shared" si="15"/>
        <v>14616430.18</v>
      </c>
      <c r="J67" s="854">
        <f t="shared" si="16"/>
        <v>94156078.140000001</v>
      </c>
      <c r="K67" s="958">
        <f t="shared" si="17"/>
        <v>3.4487834362998238E-2</v>
      </c>
      <c r="L67" s="25"/>
      <c r="M67" s="316"/>
    </row>
    <row r="68" spans="1:13" ht="13">
      <c r="A68" s="240"/>
      <c r="B68" s="423">
        <v>48</v>
      </c>
      <c r="C68" s="955">
        <f t="shared" si="9"/>
        <v>11030</v>
      </c>
      <c r="D68" s="853">
        <f t="shared" si="10"/>
        <v>1119787.7</v>
      </c>
      <c r="E68" s="853">
        <f t="shared" si="11"/>
        <v>109892296.02</v>
      </c>
      <c r="F68" s="853">
        <f t="shared" si="12"/>
        <v>2730124401.23</v>
      </c>
      <c r="G68" s="821">
        <f t="shared" si="13"/>
        <v>4.0251754085085037E-2</v>
      </c>
      <c r="H68" s="854">
        <f t="shared" si="14"/>
        <v>334974.38</v>
      </c>
      <c r="I68" s="855">
        <f t="shared" si="15"/>
        <v>14951404.560000001</v>
      </c>
      <c r="J68" s="854">
        <f t="shared" si="16"/>
        <v>94940891.459999993</v>
      </c>
      <c r="K68" s="958">
        <f t="shared" si="17"/>
        <v>3.4775298670355968E-2</v>
      </c>
      <c r="L68" s="25"/>
      <c r="M68" s="316"/>
    </row>
    <row r="69" spans="1:13" ht="13">
      <c r="A69" s="240"/>
      <c r="B69" s="423">
        <v>49</v>
      </c>
      <c r="C69" s="955">
        <f t="shared" si="9"/>
        <v>11171</v>
      </c>
      <c r="D69" s="853">
        <f t="shared" si="10"/>
        <v>1364789.39</v>
      </c>
      <c r="E69" s="853">
        <f t="shared" si="11"/>
        <v>111257085.41</v>
      </c>
      <c r="F69" s="853">
        <f t="shared" si="12"/>
        <v>2730124401.23</v>
      </c>
      <c r="G69" s="821">
        <f t="shared" si="13"/>
        <v>4.0751654159010289E-2</v>
      </c>
      <c r="H69" s="854">
        <f t="shared" si="14"/>
        <v>2663051.4312</v>
      </c>
      <c r="I69" s="855">
        <f t="shared" si="15"/>
        <v>17614455.9912</v>
      </c>
      <c r="J69" s="854">
        <f t="shared" si="16"/>
        <v>93642629.418799996</v>
      </c>
      <c r="K69" s="958">
        <f t="shared" si="17"/>
        <v>3.4299766478272327E-2</v>
      </c>
      <c r="L69" s="25"/>
      <c r="M69" s="316"/>
    </row>
    <row r="70" spans="1:13" ht="13">
      <c r="A70" s="240"/>
      <c r="B70" s="423">
        <v>50</v>
      </c>
      <c r="C70" s="955">
        <f t="shared" si="9"/>
        <v>11287</v>
      </c>
      <c r="D70" s="853">
        <f t="shared" si="10"/>
        <v>944075.13</v>
      </c>
      <c r="E70" s="853">
        <f t="shared" si="11"/>
        <v>112201160.54000001</v>
      </c>
      <c r="F70" s="853">
        <f t="shared" si="12"/>
        <v>2730124401.23</v>
      </c>
      <c r="G70" s="821">
        <f t="shared" si="13"/>
        <v>4.1097453467486729E-2</v>
      </c>
      <c r="H70" s="854">
        <f t="shared" si="14"/>
        <v>-8077.94</v>
      </c>
      <c r="I70" s="855">
        <f t="shared" si="15"/>
        <v>17606378.051199999</v>
      </c>
      <c r="J70" s="854">
        <f t="shared" si="16"/>
        <v>94594782.488800004</v>
      </c>
      <c r="K70" s="958">
        <f t="shared" si="17"/>
        <v>3.4648524604301685E-2</v>
      </c>
      <c r="L70" s="25"/>
      <c r="M70" s="316"/>
    </row>
    <row r="71" spans="1:13" ht="13">
      <c r="A71" s="240"/>
      <c r="B71" s="423">
        <v>51</v>
      </c>
      <c r="C71" s="955">
        <f t="shared" si="9"/>
        <v>11414</v>
      </c>
      <c r="D71" s="853">
        <f t="shared" si="10"/>
        <v>1108098.8700000001</v>
      </c>
      <c r="E71" s="853">
        <f t="shared" si="11"/>
        <v>113309259.41</v>
      </c>
      <c r="F71" s="853">
        <f t="shared" si="12"/>
        <v>2730124401.23</v>
      </c>
      <c r="G71" s="821">
        <f t="shared" si="13"/>
        <v>4.1503331994304324E-2</v>
      </c>
      <c r="H71" s="854">
        <f t="shared" si="14"/>
        <v>236397.08</v>
      </c>
      <c r="I71" s="855">
        <f t="shared" si="15"/>
        <v>17842775.131200001</v>
      </c>
      <c r="J71" s="854">
        <f t="shared" si="16"/>
        <v>95466484.278799996</v>
      </c>
      <c r="K71" s="958">
        <f t="shared" si="17"/>
        <v>3.496781473980147E-2</v>
      </c>
      <c r="L71" s="25"/>
      <c r="M71" s="316"/>
    </row>
    <row r="72" spans="1:13" ht="13">
      <c r="A72" s="240"/>
      <c r="B72" s="423">
        <v>52</v>
      </c>
      <c r="C72" s="955">
        <f t="shared" si="9"/>
        <v>11547</v>
      </c>
      <c r="D72" s="853">
        <f t="shared" si="10"/>
        <v>1143276.32</v>
      </c>
      <c r="E72" s="853">
        <f t="shared" si="11"/>
        <v>114452535.73</v>
      </c>
      <c r="F72" s="853">
        <f t="shared" si="12"/>
        <v>2730124401.23</v>
      </c>
      <c r="G72" s="821">
        <f t="shared" si="13"/>
        <v>4.1922095446799354E-2</v>
      </c>
      <c r="H72" s="854">
        <f t="shared" si="14"/>
        <v>262503.78999999998</v>
      </c>
      <c r="I72" s="855">
        <f t="shared" si="15"/>
        <v>18105278.9212</v>
      </c>
      <c r="J72" s="854">
        <f t="shared" si="16"/>
        <v>96347256.808799997</v>
      </c>
      <c r="K72" s="958">
        <f t="shared" si="17"/>
        <v>3.5290427339287118E-2</v>
      </c>
      <c r="L72" s="25"/>
      <c r="M72" s="316"/>
    </row>
    <row r="73" spans="1:13" ht="13">
      <c r="A73" s="240"/>
      <c r="B73" s="423">
        <v>53</v>
      </c>
      <c r="C73" s="955">
        <f t="shared" si="9"/>
        <v>11656</v>
      </c>
      <c r="D73" s="853">
        <f t="shared" si="10"/>
        <v>799048.51</v>
      </c>
      <c r="E73" s="853">
        <f t="shared" si="11"/>
        <v>115251584.23999999</v>
      </c>
      <c r="F73" s="853">
        <f t="shared" si="12"/>
        <v>2730124401.23</v>
      </c>
      <c r="G73" s="821">
        <f t="shared" si="13"/>
        <v>4.2214773871870392E-2</v>
      </c>
      <c r="H73" s="854">
        <f t="shared" si="14"/>
        <v>263265.02</v>
      </c>
      <c r="I73" s="855">
        <f t="shared" si="15"/>
        <v>18368543.941199999</v>
      </c>
      <c r="J73" s="854">
        <f t="shared" si="16"/>
        <v>96883040.298800007</v>
      </c>
      <c r="K73" s="958">
        <f t="shared" si="17"/>
        <v>3.5486676085226536E-2</v>
      </c>
      <c r="L73" s="25"/>
      <c r="M73" s="316"/>
    </row>
    <row r="74" spans="1:13" ht="13">
      <c r="A74" s="240"/>
      <c r="B74" s="423">
        <v>54</v>
      </c>
      <c r="C74" s="955">
        <f t="shared" si="9"/>
        <v>11765</v>
      </c>
      <c r="D74" s="853">
        <f t="shared" si="10"/>
        <v>903321.41</v>
      </c>
      <c r="E74" s="853">
        <f t="shared" si="11"/>
        <v>116154905.65000001</v>
      </c>
      <c r="F74" s="853">
        <f t="shared" si="12"/>
        <v>2730124401.23</v>
      </c>
      <c r="G74" s="821">
        <f t="shared" si="13"/>
        <v>4.254564575799874E-2</v>
      </c>
      <c r="H74" s="854">
        <f t="shared" si="14"/>
        <v>268765.7</v>
      </c>
      <c r="I74" s="855">
        <f t="shared" si="15"/>
        <v>18637309.641199999</v>
      </c>
      <c r="J74" s="854">
        <f t="shared" si="16"/>
        <v>97517596.0088</v>
      </c>
      <c r="K74" s="958">
        <f t="shared" si="17"/>
        <v>3.5719103482935638E-2</v>
      </c>
      <c r="L74" s="25"/>
      <c r="M74" s="316"/>
    </row>
    <row r="75" spans="1:13" ht="13">
      <c r="A75" s="240"/>
      <c r="B75" s="423">
        <v>55</v>
      </c>
      <c r="C75" s="955">
        <f t="shared" si="9"/>
        <v>11872</v>
      </c>
      <c r="D75" s="853">
        <f t="shared" si="10"/>
        <v>877657.75</v>
      </c>
      <c r="E75" s="853">
        <f t="shared" si="11"/>
        <v>117032563.40000001</v>
      </c>
      <c r="F75" s="853">
        <f t="shared" si="12"/>
        <v>2730124401.23</v>
      </c>
      <c r="G75" s="821">
        <f t="shared" si="13"/>
        <v>4.2867117464417903E-2</v>
      </c>
      <c r="H75" s="854">
        <f t="shared" si="14"/>
        <v>282796.34999999998</v>
      </c>
      <c r="I75" s="855">
        <f t="shared" si="15"/>
        <v>18920105.9912</v>
      </c>
      <c r="J75" s="854">
        <f t="shared" si="16"/>
        <v>98112457.408800006</v>
      </c>
      <c r="K75" s="958">
        <f t="shared" si="17"/>
        <v>3.59369915028852E-2</v>
      </c>
      <c r="L75" s="25"/>
      <c r="M75" s="316"/>
    </row>
    <row r="76" spans="1:13" ht="13">
      <c r="A76" s="240"/>
      <c r="B76" s="423">
        <v>56</v>
      </c>
      <c r="C76" s="955" t="str">
        <f t="shared" si="9"/>
        <v/>
      </c>
      <c r="D76" s="853" t="str">
        <f t="shared" si="10"/>
        <v/>
      </c>
      <c r="E76" s="853" t="str">
        <f t="shared" si="11"/>
        <v/>
      </c>
      <c r="F76" s="853" t="str">
        <f t="shared" si="12"/>
        <v/>
      </c>
      <c r="G76" s="821" t="str">
        <f t="shared" si="13"/>
        <v/>
      </c>
      <c r="H76" s="854" t="str">
        <f t="shared" si="14"/>
        <v/>
      </c>
      <c r="I76" s="855" t="str">
        <f t="shared" si="15"/>
        <v/>
      </c>
      <c r="J76" s="854" t="str">
        <f t="shared" si="16"/>
        <v/>
      </c>
      <c r="K76" s="958" t="str">
        <f t="shared" si="17"/>
        <v/>
      </c>
      <c r="L76" s="25"/>
      <c r="M76" s="316"/>
    </row>
    <row r="77" spans="1:13" ht="13">
      <c r="A77" s="240"/>
      <c r="B77" s="423">
        <v>57</v>
      </c>
      <c r="C77" s="955" t="str">
        <f t="shared" si="9"/>
        <v/>
      </c>
      <c r="D77" s="853" t="str">
        <f t="shared" si="10"/>
        <v/>
      </c>
      <c r="E77" s="853" t="str">
        <f t="shared" si="11"/>
        <v/>
      </c>
      <c r="F77" s="853" t="str">
        <f t="shared" si="12"/>
        <v/>
      </c>
      <c r="G77" s="821" t="str">
        <f t="shared" si="13"/>
        <v/>
      </c>
      <c r="H77" s="854" t="str">
        <f t="shared" si="14"/>
        <v/>
      </c>
      <c r="I77" s="855" t="str">
        <f t="shared" si="15"/>
        <v/>
      </c>
      <c r="J77" s="854" t="str">
        <f t="shared" si="16"/>
        <v/>
      </c>
      <c r="K77" s="958" t="str">
        <f t="shared" si="17"/>
        <v/>
      </c>
      <c r="L77" s="25"/>
      <c r="M77" s="316"/>
    </row>
    <row r="78" spans="1:13" ht="13">
      <c r="A78" s="240"/>
      <c r="B78" s="423">
        <v>58</v>
      </c>
      <c r="C78" s="955" t="str">
        <f t="shared" si="9"/>
        <v/>
      </c>
      <c r="D78" s="853" t="str">
        <f t="shared" si="10"/>
        <v/>
      </c>
      <c r="E78" s="853" t="str">
        <f t="shared" si="11"/>
        <v/>
      </c>
      <c r="F78" s="853" t="str">
        <f t="shared" si="12"/>
        <v/>
      </c>
      <c r="G78" s="821" t="str">
        <f t="shared" si="13"/>
        <v/>
      </c>
      <c r="H78" s="854" t="str">
        <f t="shared" si="14"/>
        <v/>
      </c>
      <c r="I78" s="855" t="str">
        <f t="shared" si="15"/>
        <v/>
      </c>
      <c r="J78" s="854" t="str">
        <f t="shared" si="16"/>
        <v/>
      </c>
      <c r="K78" s="958" t="str">
        <f t="shared" si="17"/>
        <v/>
      </c>
      <c r="L78" s="25"/>
      <c r="M78" s="316"/>
    </row>
    <row r="79" spans="1:13" ht="13">
      <c r="A79" s="240"/>
      <c r="B79" s="423">
        <v>59</v>
      </c>
      <c r="C79" s="955" t="str">
        <f t="shared" si="9"/>
        <v/>
      </c>
      <c r="D79" s="853" t="str">
        <f t="shared" si="10"/>
        <v/>
      </c>
      <c r="E79" s="853" t="str">
        <f t="shared" si="11"/>
        <v/>
      </c>
      <c r="F79" s="853" t="str">
        <f t="shared" si="12"/>
        <v/>
      </c>
      <c r="G79" s="821" t="str">
        <f t="shared" si="13"/>
        <v/>
      </c>
      <c r="H79" s="854" t="str">
        <f t="shared" si="14"/>
        <v/>
      </c>
      <c r="I79" s="855" t="str">
        <f t="shared" si="15"/>
        <v/>
      </c>
      <c r="J79" s="854" t="str">
        <f t="shared" si="16"/>
        <v/>
      </c>
      <c r="K79" s="958" t="str">
        <f t="shared" si="17"/>
        <v/>
      </c>
      <c r="L79" s="25"/>
      <c r="M79" s="316"/>
    </row>
    <row r="80" spans="1:13" ht="13">
      <c r="A80" s="240"/>
      <c r="B80" s="423">
        <v>60</v>
      </c>
      <c r="C80" s="955" t="str">
        <f t="shared" si="9"/>
        <v/>
      </c>
      <c r="D80" s="853" t="str">
        <f t="shared" si="10"/>
        <v/>
      </c>
      <c r="E80" s="853" t="str">
        <f t="shared" si="11"/>
        <v/>
      </c>
      <c r="F80" s="853" t="str">
        <f t="shared" si="12"/>
        <v/>
      </c>
      <c r="G80" s="821" t="str">
        <f t="shared" si="13"/>
        <v/>
      </c>
      <c r="H80" s="854" t="str">
        <f t="shared" si="14"/>
        <v/>
      </c>
      <c r="I80" s="855" t="str">
        <f t="shared" si="15"/>
        <v/>
      </c>
      <c r="J80" s="854" t="str">
        <f t="shared" si="16"/>
        <v/>
      </c>
      <c r="K80" s="958" t="str">
        <f t="shared" si="17"/>
        <v/>
      </c>
      <c r="L80" s="25"/>
      <c r="M80" s="316"/>
    </row>
    <row r="81" spans="1:13" ht="13">
      <c r="A81" s="240"/>
      <c r="B81" s="423">
        <v>61</v>
      </c>
      <c r="C81" s="955" t="str">
        <f t="shared" si="9"/>
        <v/>
      </c>
      <c r="D81" s="853" t="str">
        <f t="shared" si="10"/>
        <v/>
      </c>
      <c r="E81" s="853" t="str">
        <f t="shared" si="11"/>
        <v/>
      </c>
      <c r="F81" s="853" t="str">
        <f t="shared" si="12"/>
        <v/>
      </c>
      <c r="G81" s="821" t="str">
        <f t="shared" si="13"/>
        <v/>
      </c>
      <c r="H81" s="854" t="str">
        <f t="shared" si="14"/>
        <v/>
      </c>
      <c r="I81" s="855" t="str">
        <f t="shared" si="15"/>
        <v/>
      </c>
      <c r="J81" s="854" t="str">
        <f t="shared" si="16"/>
        <v/>
      </c>
      <c r="K81" s="958" t="str">
        <f t="shared" si="17"/>
        <v/>
      </c>
      <c r="L81" s="25"/>
      <c r="M81" s="316"/>
    </row>
    <row r="82" spans="1:13" ht="13">
      <c r="A82" s="240"/>
      <c r="B82" s="423">
        <v>62</v>
      </c>
      <c r="C82" s="955" t="str">
        <f t="shared" si="9"/>
        <v/>
      </c>
      <c r="D82" s="853" t="str">
        <f t="shared" si="10"/>
        <v/>
      </c>
      <c r="E82" s="853" t="str">
        <f t="shared" si="11"/>
        <v/>
      </c>
      <c r="F82" s="853" t="str">
        <f t="shared" si="12"/>
        <v/>
      </c>
      <c r="G82" s="821" t="str">
        <f t="shared" si="13"/>
        <v/>
      </c>
      <c r="H82" s="854" t="str">
        <f t="shared" si="14"/>
        <v/>
      </c>
      <c r="I82" s="855" t="str">
        <f t="shared" si="15"/>
        <v/>
      </c>
      <c r="J82" s="854" t="str">
        <f t="shared" si="16"/>
        <v/>
      </c>
      <c r="K82" s="958" t="str">
        <f t="shared" si="17"/>
        <v/>
      </c>
      <c r="L82" s="25"/>
      <c r="M82" s="316"/>
    </row>
    <row r="83" spans="1:13" ht="13">
      <c r="A83" s="240"/>
      <c r="B83" s="423">
        <v>63</v>
      </c>
      <c r="C83" s="955" t="str">
        <f t="shared" si="9"/>
        <v/>
      </c>
      <c r="D83" s="853" t="str">
        <f t="shared" si="10"/>
        <v/>
      </c>
      <c r="E83" s="853" t="str">
        <f t="shared" si="11"/>
        <v/>
      </c>
      <c r="F83" s="853" t="str">
        <f t="shared" si="12"/>
        <v/>
      </c>
      <c r="G83" s="821" t="str">
        <f t="shared" si="13"/>
        <v/>
      </c>
      <c r="H83" s="854" t="str">
        <f t="shared" si="14"/>
        <v/>
      </c>
      <c r="I83" s="855" t="str">
        <f t="shared" si="15"/>
        <v/>
      </c>
      <c r="J83" s="854" t="str">
        <f t="shared" si="16"/>
        <v/>
      </c>
      <c r="K83" s="958" t="str">
        <f t="shared" si="17"/>
        <v/>
      </c>
      <c r="L83" s="25"/>
      <c r="M83" s="316"/>
    </row>
    <row r="84" spans="1:13" ht="13">
      <c r="A84" s="240"/>
      <c r="B84" s="423">
        <v>64</v>
      </c>
      <c r="C84" s="955" t="str">
        <f t="shared" si="9"/>
        <v/>
      </c>
      <c r="D84" s="853" t="str">
        <f t="shared" si="10"/>
        <v/>
      </c>
      <c r="E84" s="853" t="str">
        <f t="shared" si="11"/>
        <v/>
      </c>
      <c r="F84" s="853" t="str">
        <f t="shared" si="12"/>
        <v/>
      </c>
      <c r="G84" s="821" t="str">
        <f t="shared" si="13"/>
        <v/>
      </c>
      <c r="H84" s="854" t="str">
        <f t="shared" si="14"/>
        <v/>
      </c>
      <c r="I84" s="855" t="str">
        <f t="shared" si="15"/>
        <v/>
      </c>
      <c r="J84" s="854" t="str">
        <f t="shared" si="16"/>
        <v/>
      </c>
      <c r="K84" s="958" t="str">
        <f t="shared" si="17"/>
        <v/>
      </c>
      <c r="L84" s="25"/>
      <c r="M84" s="316"/>
    </row>
    <row r="85" spans="1:13" ht="13">
      <c r="A85" s="240"/>
      <c r="B85" s="423">
        <v>65</v>
      </c>
      <c r="C85" s="955" t="str">
        <f t="shared" ref="C85:C99" si="18">IF(B85&gt;$F$4,"",VLOOKUP(CONCATENATE("defaults_",$B85),defaults_20,2,0))</f>
        <v/>
      </c>
      <c r="D85" s="853" t="str">
        <f t="shared" ref="D85:D99" si="19">IF(B85&gt;$F$4,"",VLOOKUP(CONCATENATE("defaults_",$B85),defaults_20,3,0))</f>
        <v/>
      </c>
      <c r="E85" s="853" t="str">
        <f t="shared" ref="E85:E99" si="20">IF(B85&gt;$F$4,"",VLOOKUP(CONCATENATE("defaults_",$B85),defaults_20,4,0))</f>
        <v/>
      </c>
      <c r="F85" s="853" t="str">
        <f t="shared" ref="F85:F99" si="21">IF(B85&gt;$F$4,"",VLOOKUP(CONCATENATE("defaults_",$B85),defaults_20,5,0))</f>
        <v/>
      </c>
      <c r="G85" s="821" t="str">
        <f t="shared" ref="G85:G99" si="22">IF(B85&gt;$F$4,"",VLOOKUP(CONCATENATE("defaults_",$B85),defaults_20,6,0))</f>
        <v/>
      </c>
      <c r="H85" s="854" t="str">
        <f t="shared" ref="H85:H99" si="23">IF(B85&gt;$F$4,"",VLOOKUP(CONCATENATE("defaults_",$B85),defaults_20,7,0))</f>
        <v/>
      </c>
      <c r="I85" s="855" t="str">
        <f t="shared" ref="I85:I99" si="24">IF(B85&gt;$F$4,"",VLOOKUP(CONCATENATE("defaults_",$B85),defaults_20,8,0))</f>
        <v/>
      </c>
      <c r="J85" s="854" t="str">
        <f t="shared" ref="J85:J99" si="25">IF(B85&gt;$F$4,"",VLOOKUP(CONCATENATE("defaults_",$B85),defaults_20,9,0))</f>
        <v/>
      </c>
      <c r="K85" s="958" t="str">
        <f t="shared" ref="K85:K99" si="26">IF(B85&gt;$F$4,"",VLOOKUP(CONCATENATE("defaults_",$B85),defaults_20,10,0))</f>
        <v/>
      </c>
      <c r="L85" s="25"/>
      <c r="M85" s="316"/>
    </row>
    <row r="86" spans="1:13" ht="13">
      <c r="A86" s="240"/>
      <c r="B86" s="423">
        <v>66</v>
      </c>
      <c r="C86" s="955" t="str">
        <f t="shared" si="18"/>
        <v/>
      </c>
      <c r="D86" s="853" t="str">
        <f t="shared" si="19"/>
        <v/>
      </c>
      <c r="E86" s="853" t="str">
        <f t="shared" si="20"/>
        <v/>
      </c>
      <c r="F86" s="853" t="str">
        <f t="shared" si="21"/>
        <v/>
      </c>
      <c r="G86" s="821" t="str">
        <f t="shared" si="22"/>
        <v/>
      </c>
      <c r="H86" s="854" t="str">
        <f t="shared" si="23"/>
        <v/>
      </c>
      <c r="I86" s="855" t="str">
        <f t="shared" si="24"/>
        <v/>
      </c>
      <c r="J86" s="854" t="str">
        <f t="shared" si="25"/>
        <v/>
      </c>
      <c r="K86" s="958" t="str">
        <f t="shared" si="26"/>
        <v/>
      </c>
      <c r="L86" s="25"/>
      <c r="M86" s="316"/>
    </row>
    <row r="87" spans="1:13" ht="13">
      <c r="A87" s="240"/>
      <c r="B87" s="423">
        <v>67</v>
      </c>
      <c r="C87" s="955" t="str">
        <f t="shared" si="18"/>
        <v/>
      </c>
      <c r="D87" s="853" t="str">
        <f t="shared" si="19"/>
        <v/>
      </c>
      <c r="E87" s="853" t="str">
        <f t="shared" si="20"/>
        <v/>
      </c>
      <c r="F87" s="853" t="str">
        <f t="shared" si="21"/>
        <v/>
      </c>
      <c r="G87" s="821" t="str">
        <f t="shared" si="22"/>
        <v/>
      </c>
      <c r="H87" s="854" t="str">
        <f t="shared" si="23"/>
        <v/>
      </c>
      <c r="I87" s="855" t="str">
        <f t="shared" si="24"/>
        <v/>
      </c>
      <c r="J87" s="854" t="str">
        <f t="shared" si="25"/>
        <v/>
      </c>
      <c r="K87" s="958" t="str">
        <f t="shared" si="26"/>
        <v/>
      </c>
      <c r="L87" s="25"/>
      <c r="M87" s="316"/>
    </row>
    <row r="88" spans="1:13" ht="13">
      <c r="A88" s="240"/>
      <c r="B88" s="423">
        <v>68</v>
      </c>
      <c r="C88" s="955" t="str">
        <f t="shared" si="18"/>
        <v/>
      </c>
      <c r="D88" s="853" t="str">
        <f t="shared" si="19"/>
        <v/>
      </c>
      <c r="E88" s="853" t="str">
        <f t="shared" si="20"/>
        <v/>
      </c>
      <c r="F88" s="853" t="str">
        <f t="shared" si="21"/>
        <v/>
      </c>
      <c r="G88" s="821" t="str">
        <f t="shared" si="22"/>
        <v/>
      </c>
      <c r="H88" s="854" t="str">
        <f t="shared" si="23"/>
        <v/>
      </c>
      <c r="I88" s="855" t="str">
        <f t="shared" si="24"/>
        <v/>
      </c>
      <c r="J88" s="854" t="str">
        <f t="shared" si="25"/>
        <v/>
      </c>
      <c r="K88" s="958" t="str">
        <f t="shared" si="26"/>
        <v/>
      </c>
      <c r="L88" s="25"/>
      <c r="M88" s="316"/>
    </row>
    <row r="89" spans="1:13" ht="13">
      <c r="A89" s="240"/>
      <c r="B89" s="423">
        <v>69</v>
      </c>
      <c r="C89" s="955" t="str">
        <f t="shared" si="18"/>
        <v/>
      </c>
      <c r="D89" s="853" t="str">
        <f t="shared" si="19"/>
        <v/>
      </c>
      <c r="E89" s="853" t="str">
        <f t="shared" si="20"/>
        <v/>
      </c>
      <c r="F89" s="853" t="str">
        <f t="shared" si="21"/>
        <v/>
      </c>
      <c r="G89" s="821" t="str">
        <f t="shared" si="22"/>
        <v/>
      </c>
      <c r="H89" s="854" t="str">
        <f t="shared" si="23"/>
        <v/>
      </c>
      <c r="I89" s="855" t="str">
        <f t="shared" si="24"/>
        <v/>
      </c>
      <c r="J89" s="854" t="str">
        <f t="shared" si="25"/>
        <v/>
      </c>
      <c r="K89" s="958" t="str">
        <f t="shared" si="26"/>
        <v/>
      </c>
      <c r="L89" s="25"/>
      <c r="M89" s="316"/>
    </row>
    <row r="90" spans="1:13" ht="13">
      <c r="A90" s="240"/>
      <c r="B90" s="423">
        <v>70</v>
      </c>
      <c r="C90" s="955" t="str">
        <f t="shared" si="18"/>
        <v/>
      </c>
      <c r="D90" s="853" t="str">
        <f t="shared" si="19"/>
        <v/>
      </c>
      <c r="E90" s="853" t="str">
        <f t="shared" si="20"/>
        <v/>
      </c>
      <c r="F90" s="853" t="str">
        <f t="shared" si="21"/>
        <v/>
      </c>
      <c r="G90" s="821" t="str">
        <f t="shared" si="22"/>
        <v/>
      </c>
      <c r="H90" s="854" t="str">
        <f t="shared" si="23"/>
        <v/>
      </c>
      <c r="I90" s="855" t="str">
        <f t="shared" si="24"/>
        <v/>
      </c>
      <c r="J90" s="854" t="str">
        <f t="shared" si="25"/>
        <v/>
      </c>
      <c r="K90" s="958" t="str">
        <f t="shared" si="26"/>
        <v/>
      </c>
      <c r="L90" s="25"/>
      <c r="M90" s="316"/>
    </row>
    <row r="91" spans="1:13" ht="13">
      <c r="A91" s="240"/>
      <c r="B91" s="423">
        <v>71</v>
      </c>
      <c r="C91" s="955" t="str">
        <f t="shared" si="18"/>
        <v/>
      </c>
      <c r="D91" s="853" t="str">
        <f t="shared" si="19"/>
        <v/>
      </c>
      <c r="E91" s="853" t="str">
        <f t="shared" si="20"/>
        <v/>
      </c>
      <c r="F91" s="853" t="str">
        <f t="shared" si="21"/>
        <v/>
      </c>
      <c r="G91" s="821" t="str">
        <f t="shared" si="22"/>
        <v/>
      </c>
      <c r="H91" s="854" t="str">
        <f t="shared" si="23"/>
        <v/>
      </c>
      <c r="I91" s="855" t="str">
        <f t="shared" si="24"/>
        <v/>
      </c>
      <c r="J91" s="854" t="str">
        <f t="shared" si="25"/>
        <v/>
      </c>
      <c r="K91" s="958" t="str">
        <f t="shared" si="26"/>
        <v/>
      </c>
      <c r="L91" s="25"/>
      <c r="M91" s="316"/>
    </row>
    <row r="92" spans="1:13" ht="13">
      <c r="A92" s="240"/>
      <c r="B92" s="423">
        <v>72</v>
      </c>
      <c r="C92" s="955" t="str">
        <f t="shared" si="18"/>
        <v/>
      </c>
      <c r="D92" s="853" t="str">
        <f t="shared" si="19"/>
        <v/>
      </c>
      <c r="E92" s="853" t="str">
        <f t="shared" si="20"/>
        <v/>
      </c>
      <c r="F92" s="853" t="str">
        <f t="shared" si="21"/>
        <v/>
      </c>
      <c r="G92" s="821" t="str">
        <f t="shared" si="22"/>
        <v/>
      </c>
      <c r="H92" s="854" t="str">
        <f t="shared" si="23"/>
        <v/>
      </c>
      <c r="I92" s="855" t="str">
        <f t="shared" si="24"/>
        <v/>
      </c>
      <c r="J92" s="854" t="str">
        <f t="shared" si="25"/>
        <v/>
      </c>
      <c r="K92" s="958" t="str">
        <f t="shared" si="26"/>
        <v/>
      </c>
      <c r="L92" s="25"/>
      <c r="M92" s="316"/>
    </row>
    <row r="93" spans="1:13" ht="13">
      <c r="A93" s="240"/>
      <c r="B93" s="423">
        <v>73</v>
      </c>
      <c r="C93" s="955" t="str">
        <f t="shared" si="18"/>
        <v/>
      </c>
      <c r="D93" s="853" t="str">
        <f t="shared" si="19"/>
        <v/>
      </c>
      <c r="E93" s="853" t="str">
        <f t="shared" si="20"/>
        <v/>
      </c>
      <c r="F93" s="853" t="str">
        <f t="shared" si="21"/>
        <v/>
      </c>
      <c r="G93" s="821" t="str">
        <f t="shared" si="22"/>
        <v/>
      </c>
      <c r="H93" s="854" t="str">
        <f t="shared" si="23"/>
        <v/>
      </c>
      <c r="I93" s="855" t="str">
        <f t="shared" si="24"/>
        <v/>
      </c>
      <c r="J93" s="854" t="str">
        <f t="shared" si="25"/>
        <v/>
      </c>
      <c r="K93" s="958" t="str">
        <f t="shared" si="26"/>
        <v/>
      </c>
      <c r="L93" s="25"/>
      <c r="M93" s="316"/>
    </row>
    <row r="94" spans="1:13" ht="13">
      <c r="A94" s="240"/>
      <c r="B94" s="423">
        <v>74</v>
      </c>
      <c r="C94" s="955" t="str">
        <f t="shared" si="18"/>
        <v/>
      </c>
      <c r="D94" s="853" t="str">
        <f t="shared" si="19"/>
        <v/>
      </c>
      <c r="E94" s="853" t="str">
        <f t="shared" si="20"/>
        <v/>
      </c>
      <c r="F94" s="853" t="str">
        <f t="shared" si="21"/>
        <v/>
      </c>
      <c r="G94" s="821" t="str">
        <f t="shared" si="22"/>
        <v/>
      </c>
      <c r="H94" s="854" t="str">
        <f t="shared" si="23"/>
        <v/>
      </c>
      <c r="I94" s="855" t="str">
        <f t="shared" si="24"/>
        <v/>
      </c>
      <c r="J94" s="854" t="str">
        <f t="shared" si="25"/>
        <v/>
      </c>
      <c r="K94" s="958" t="str">
        <f t="shared" si="26"/>
        <v/>
      </c>
      <c r="L94" s="25"/>
      <c r="M94" s="316"/>
    </row>
    <row r="95" spans="1:13" ht="13">
      <c r="A95" s="240"/>
      <c r="B95" s="423">
        <v>75</v>
      </c>
      <c r="C95" s="955" t="str">
        <f t="shared" si="18"/>
        <v/>
      </c>
      <c r="D95" s="853" t="str">
        <f t="shared" si="19"/>
        <v/>
      </c>
      <c r="E95" s="853" t="str">
        <f t="shared" si="20"/>
        <v/>
      </c>
      <c r="F95" s="853" t="str">
        <f t="shared" si="21"/>
        <v/>
      </c>
      <c r="G95" s="821" t="str">
        <f t="shared" si="22"/>
        <v/>
      </c>
      <c r="H95" s="854" t="str">
        <f t="shared" si="23"/>
        <v/>
      </c>
      <c r="I95" s="855" t="str">
        <f t="shared" si="24"/>
        <v/>
      </c>
      <c r="J95" s="854" t="str">
        <f t="shared" si="25"/>
        <v/>
      </c>
      <c r="K95" s="958" t="str">
        <f t="shared" si="26"/>
        <v/>
      </c>
      <c r="L95" s="25"/>
      <c r="M95" s="316"/>
    </row>
    <row r="96" spans="1:13" ht="13">
      <c r="A96" s="240"/>
      <c r="B96" s="423">
        <v>76</v>
      </c>
      <c r="C96" s="955" t="str">
        <f t="shared" si="18"/>
        <v/>
      </c>
      <c r="D96" s="853" t="str">
        <f t="shared" si="19"/>
        <v/>
      </c>
      <c r="E96" s="853" t="str">
        <f t="shared" si="20"/>
        <v/>
      </c>
      <c r="F96" s="853" t="str">
        <f t="shared" si="21"/>
        <v/>
      </c>
      <c r="G96" s="821" t="str">
        <f t="shared" si="22"/>
        <v/>
      </c>
      <c r="H96" s="854" t="str">
        <f t="shared" si="23"/>
        <v/>
      </c>
      <c r="I96" s="855" t="str">
        <f t="shared" si="24"/>
        <v/>
      </c>
      <c r="J96" s="854" t="str">
        <f t="shared" si="25"/>
        <v/>
      </c>
      <c r="K96" s="958" t="str">
        <f t="shared" si="26"/>
        <v/>
      </c>
      <c r="L96" s="25"/>
      <c r="M96" s="316"/>
    </row>
    <row r="97" spans="1:13" ht="13">
      <c r="A97" s="240"/>
      <c r="B97" s="423">
        <v>77</v>
      </c>
      <c r="C97" s="955" t="str">
        <f t="shared" si="18"/>
        <v/>
      </c>
      <c r="D97" s="853" t="str">
        <f t="shared" si="19"/>
        <v/>
      </c>
      <c r="E97" s="853" t="str">
        <f t="shared" si="20"/>
        <v/>
      </c>
      <c r="F97" s="853" t="str">
        <f t="shared" si="21"/>
        <v/>
      </c>
      <c r="G97" s="821" t="str">
        <f t="shared" si="22"/>
        <v/>
      </c>
      <c r="H97" s="854" t="str">
        <f t="shared" si="23"/>
        <v/>
      </c>
      <c r="I97" s="855" t="str">
        <f t="shared" si="24"/>
        <v/>
      </c>
      <c r="J97" s="854" t="str">
        <f t="shared" si="25"/>
        <v/>
      </c>
      <c r="K97" s="958" t="str">
        <f t="shared" si="26"/>
        <v/>
      </c>
      <c r="L97" s="25"/>
      <c r="M97" s="316"/>
    </row>
    <row r="98" spans="1:13" ht="13">
      <c r="A98" s="240"/>
      <c r="B98" s="423">
        <v>78</v>
      </c>
      <c r="C98" s="955" t="str">
        <f t="shared" si="18"/>
        <v/>
      </c>
      <c r="D98" s="853" t="str">
        <f t="shared" si="19"/>
        <v/>
      </c>
      <c r="E98" s="853" t="str">
        <f t="shared" si="20"/>
        <v/>
      </c>
      <c r="F98" s="853" t="str">
        <f t="shared" si="21"/>
        <v/>
      </c>
      <c r="G98" s="821" t="str">
        <f t="shared" si="22"/>
        <v/>
      </c>
      <c r="H98" s="854" t="str">
        <f t="shared" si="23"/>
        <v/>
      </c>
      <c r="I98" s="855" t="str">
        <f t="shared" si="24"/>
        <v/>
      </c>
      <c r="J98" s="854" t="str">
        <f t="shared" si="25"/>
        <v/>
      </c>
      <c r="K98" s="958" t="str">
        <f t="shared" si="26"/>
        <v/>
      </c>
      <c r="L98" s="25"/>
      <c r="M98" s="316"/>
    </row>
    <row r="99" spans="1:13" ht="13">
      <c r="A99" s="240"/>
      <c r="B99" s="423">
        <v>79</v>
      </c>
      <c r="C99" s="955" t="str">
        <f t="shared" si="18"/>
        <v/>
      </c>
      <c r="D99" s="853" t="str">
        <f t="shared" si="19"/>
        <v/>
      </c>
      <c r="E99" s="853" t="str">
        <f t="shared" si="20"/>
        <v/>
      </c>
      <c r="F99" s="853" t="str">
        <f t="shared" si="21"/>
        <v/>
      </c>
      <c r="G99" s="821" t="str">
        <f t="shared" si="22"/>
        <v/>
      </c>
      <c r="H99" s="854" t="str">
        <f t="shared" si="23"/>
        <v/>
      </c>
      <c r="I99" s="855" t="str">
        <f t="shared" si="24"/>
        <v/>
      </c>
      <c r="J99" s="854" t="str">
        <f t="shared" si="25"/>
        <v/>
      </c>
      <c r="K99" s="958" t="str">
        <f t="shared" si="26"/>
        <v/>
      </c>
      <c r="L99" s="25"/>
      <c r="M99" s="316"/>
    </row>
    <row r="100" spans="1:13" ht="13">
      <c r="A100" s="240"/>
      <c r="B100" s="865">
        <v>80</v>
      </c>
      <c r="C100" s="956"/>
      <c r="D100" s="866"/>
      <c r="E100" s="866"/>
      <c r="F100" s="866"/>
      <c r="G100" s="867"/>
      <c r="H100" s="868"/>
      <c r="I100" s="869"/>
      <c r="J100" s="868"/>
      <c r="K100" s="959"/>
      <c r="L100" s="402"/>
      <c r="M100" s="316"/>
    </row>
    <row r="101" spans="1:13">
      <c r="A101" s="317"/>
      <c r="B101" s="320"/>
      <c r="C101" s="320"/>
      <c r="D101" s="320"/>
      <c r="E101" s="320"/>
      <c r="F101" s="320"/>
      <c r="G101" s="320"/>
      <c r="H101" s="320"/>
      <c r="I101" s="320"/>
      <c r="J101" s="320"/>
      <c r="K101" s="320"/>
      <c r="L101" s="320"/>
      <c r="M101" s="35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5"/>
      <c r="B2" s="276" t="str">
        <f>'Cover Sheet'!B2</f>
        <v>SC Germany Consumer 2020-1</v>
      </c>
      <c r="C2" s="276"/>
      <c r="D2" s="779" t="str">
        <f>'Cover Sheet'!D2</f>
        <v>Calculation Date</v>
      </c>
      <c r="E2" s="780"/>
      <c r="F2" s="781">
        <f>'Cover Sheet'!F2</f>
        <v>45820</v>
      </c>
      <c r="G2" s="780"/>
      <c r="H2" s="780"/>
      <c r="I2" s="780"/>
      <c r="J2" s="780"/>
      <c r="K2" s="780"/>
      <c r="L2" s="782"/>
      <c r="M2" s="247"/>
    </row>
    <row r="3" spans="1:13" ht="18" customHeight="1">
      <c r="A3" s="285"/>
      <c r="B3" s="276" t="str">
        <f>'Cover Sheet'!B3</f>
        <v>Monthly Investor Report</v>
      </c>
      <c r="C3" s="276"/>
      <c r="D3" s="783" t="str">
        <f>'Cover Sheet'!D3</f>
        <v>Payment Date</v>
      </c>
      <c r="E3" s="784"/>
      <c r="F3" s="785">
        <f>'Cover Sheet'!F3</f>
        <v>45824</v>
      </c>
      <c r="G3" s="784"/>
      <c r="H3" s="784"/>
      <c r="I3" s="784"/>
      <c r="J3" s="784"/>
      <c r="K3" s="784"/>
      <c r="L3" s="786"/>
      <c r="M3" s="247"/>
    </row>
    <row r="4" spans="1:13">
      <c r="A4" s="285"/>
      <c r="B4" s="787"/>
      <c r="C4" s="718"/>
      <c r="D4" s="783" t="str">
        <f>'Cover Sheet'!D4</f>
        <v>Period  No</v>
      </c>
      <c r="E4" s="784"/>
      <c r="F4" s="788">
        <f>'Cover Sheet'!F4</f>
        <v>55</v>
      </c>
      <c r="G4" s="784"/>
      <c r="H4" s="789"/>
      <c r="I4" s="784"/>
      <c r="J4" s="790"/>
      <c r="K4" s="784"/>
      <c r="L4" s="786"/>
      <c r="M4" s="247"/>
    </row>
    <row r="5" spans="1:13" ht="17.25" customHeight="1">
      <c r="A5" s="285"/>
      <c r="B5" s="258" t="s">
        <v>165</v>
      </c>
      <c r="C5" s="258"/>
      <c r="D5" s="783" t="str">
        <f>'Cover Sheet'!D5</f>
        <v>Monthly Period</v>
      </c>
      <c r="E5" s="784"/>
      <c r="F5" s="124">
        <f>'Cover Sheet'!F5</f>
        <v>45824</v>
      </c>
      <c r="G5" s="784"/>
      <c r="H5" s="789"/>
      <c r="I5" s="784"/>
      <c r="J5" s="790"/>
      <c r="K5" s="784"/>
      <c r="L5" s="786"/>
      <c r="M5" s="247"/>
    </row>
    <row r="6" spans="1:13" ht="15" customHeight="1">
      <c r="A6" s="285"/>
      <c r="B6" s="791"/>
      <c r="C6" s="792"/>
      <c r="D6" s="783" t="str">
        <f>'Cover Sheet'!D6</f>
        <v>Interest Period</v>
      </c>
      <c r="E6" s="790" t="s">
        <v>34</v>
      </c>
      <c r="F6" s="785">
        <f>'Cover Sheet'!F6</f>
        <v>45791</v>
      </c>
      <c r="G6" s="790" t="str">
        <f>'Cover Sheet'!G6</f>
        <v>to</v>
      </c>
      <c r="H6" s="785">
        <f>'Cover Sheet'!H6</f>
        <v>45824</v>
      </c>
      <c r="I6" s="784" t="str">
        <f>'Cover Sheet'!I6</f>
        <v>=</v>
      </c>
      <c r="J6" s="793" t="str">
        <f>'Cover Sheet'!J6</f>
        <v>33 days</v>
      </c>
      <c r="K6" s="790"/>
      <c r="L6" s="794"/>
      <c r="M6" s="247"/>
    </row>
    <row r="7" spans="1:13" s="248" customFormat="1" ht="12.75" customHeight="1">
      <c r="A7" s="285"/>
      <c r="B7" s="25"/>
      <c r="C7" s="25"/>
      <c r="D7" s="795" t="str">
        <f>'Cover Sheet'!D7</f>
        <v>Collection Period</v>
      </c>
      <c r="E7" s="796" t="s">
        <v>34</v>
      </c>
      <c r="F7" s="797" t="str">
        <f>'Cover Sheet'!F7</f>
        <v>01.05.2025</v>
      </c>
      <c r="G7" s="796" t="str">
        <f>'Cover Sheet'!G7</f>
        <v>to</v>
      </c>
      <c r="H7" s="797">
        <f>'Cover Sheet'!H7</f>
        <v>45808</v>
      </c>
      <c r="I7" s="798"/>
      <c r="J7" s="798"/>
      <c r="K7" s="798"/>
      <c r="L7" s="799"/>
      <c r="M7" s="329"/>
    </row>
    <row r="8" spans="1:13" ht="13">
      <c r="A8" s="285"/>
      <c r="B8" s="25"/>
      <c r="C8" s="25"/>
      <c r="D8" s="25"/>
      <c r="E8" s="25"/>
      <c r="F8" s="800"/>
      <c r="G8" s="6"/>
      <c r="H8" s="715"/>
      <c r="I8" s="25"/>
      <c r="J8" s="716"/>
      <c r="K8" s="25"/>
      <c r="L8" s="86"/>
      <c r="M8" s="247"/>
    </row>
    <row r="9" spans="1:13">
      <c r="A9" s="285"/>
      <c r="B9" s="25"/>
      <c r="C9" s="25"/>
      <c r="D9" s="25"/>
      <c r="E9" s="25"/>
      <c r="F9" s="718"/>
      <c r="G9" s="25"/>
      <c r="H9" s="25"/>
      <c r="I9" s="25"/>
      <c r="J9" s="25"/>
      <c r="K9" s="25"/>
      <c r="L9" s="25"/>
      <c r="M9" s="247"/>
    </row>
    <row r="10" spans="1:13">
      <c r="A10" s="285"/>
      <c r="B10" s="25"/>
      <c r="C10" s="25"/>
      <c r="D10" s="25"/>
      <c r="E10" s="25"/>
      <c r="F10" s="718"/>
      <c r="G10" s="25"/>
      <c r="H10" s="25"/>
      <c r="I10" s="25"/>
      <c r="J10" s="25"/>
      <c r="K10" s="25"/>
      <c r="L10" s="25"/>
      <c r="M10" s="247"/>
    </row>
    <row r="11" spans="1:13" ht="18">
      <c r="A11" s="285"/>
      <c r="B11" s="25"/>
      <c r="C11" s="25"/>
      <c r="D11" s="413" t="s">
        <v>254</v>
      </c>
      <c r="E11" s="25"/>
      <c r="F11" s="718"/>
      <c r="G11" s="25"/>
      <c r="H11" s="934" t="s">
        <v>537</v>
      </c>
      <c r="I11" s="25"/>
      <c r="J11" s="25"/>
      <c r="K11" s="25"/>
      <c r="L11" s="25"/>
      <c r="M11" s="247"/>
    </row>
    <row r="12" spans="1:13" ht="18" customHeight="1">
      <c r="A12" s="285"/>
      <c r="B12" s="25"/>
      <c r="C12" s="25"/>
      <c r="D12" s="25"/>
      <c r="E12" s="25"/>
      <c r="F12" s="6"/>
      <c r="G12" s="801"/>
      <c r="H12" s="801"/>
      <c r="I12" s="801"/>
      <c r="J12" s="801"/>
      <c r="K12" s="801"/>
      <c r="L12" s="6"/>
      <c r="M12" s="247"/>
    </row>
    <row r="13" spans="1:13" ht="14.5">
      <c r="A13" s="285"/>
      <c r="B13" s="802" t="s">
        <v>166</v>
      </c>
      <c r="C13" s="86" t="s">
        <v>167</v>
      </c>
      <c r="D13" s="86" t="s">
        <v>168</v>
      </c>
      <c r="E13" s="86"/>
      <c r="F13" s="86" t="s">
        <v>169</v>
      </c>
      <c r="G13" s="86"/>
      <c r="H13" s="86" t="s">
        <v>12</v>
      </c>
      <c r="I13" s="803"/>
      <c r="J13" s="803"/>
      <c r="K13" s="803"/>
      <c r="L13" s="803"/>
      <c r="M13" s="247"/>
    </row>
    <row r="14" spans="1:13" ht="13">
      <c r="A14" s="285"/>
      <c r="B14" s="802"/>
      <c r="C14" s="86"/>
      <c r="D14" s="86"/>
      <c r="E14" s="86"/>
      <c r="F14" s="86"/>
      <c r="G14" s="86"/>
      <c r="H14" s="86"/>
      <c r="I14" s="801"/>
      <c r="J14" s="801"/>
      <c r="K14" s="801"/>
      <c r="L14" s="801"/>
      <c r="M14" s="247"/>
    </row>
    <row r="15" spans="1:13">
      <c r="A15" s="285"/>
      <c r="B15" s="73" t="s">
        <v>268</v>
      </c>
      <c r="C15" s="804">
        <v>5.6000000000000001E-2</v>
      </c>
      <c r="D15" s="805" t="s">
        <v>35</v>
      </c>
      <c r="E15" s="25"/>
      <c r="F15" s="805" t="s">
        <v>35</v>
      </c>
      <c r="G15" s="6"/>
      <c r="H15" s="141"/>
      <c r="I15" s="801"/>
      <c r="J15" s="801"/>
      <c r="K15" s="801"/>
      <c r="L15" s="801"/>
      <c r="M15" s="247"/>
    </row>
    <row r="16" spans="1:13">
      <c r="A16" s="285"/>
      <c r="B16" s="25"/>
      <c r="C16" s="25"/>
      <c r="D16" s="25"/>
      <c r="E16" s="25"/>
      <c r="F16" s="25"/>
      <c r="G16" s="25"/>
      <c r="H16" s="25"/>
      <c r="I16" s="25"/>
      <c r="J16" s="25"/>
      <c r="K16" s="25"/>
      <c r="L16" s="25"/>
      <c r="M16" s="247"/>
    </row>
    <row r="17" spans="1:13">
      <c r="A17" s="285"/>
      <c r="B17" s="806" t="s">
        <v>269</v>
      </c>
      <c r="C17" s="807" t="s">
        <v>35</v>
      </c>
      <c r="D17" s="935">
        <v>200000</v>
      </c>
      <c r="E17" s="801"/>
      <c r="F17" s="805" t="s">
        <v>35</v>
      </c>
      <c r="G17" s="801"/>
      <c r="H17" s="141"/>
      <c r="I17" s="801"/>
      <c r="J17" s="801"/>
      <c r="K17" s="801"/>
      <c r="L17" s="801"/>
      <c r="M17" s="247"/>
    </row>
    <row r="18" spans="1:13">
      <c r="A18" s="285"/>
      <c r="B18" s="808"/>
      <c r="C18" s="807"/>
      <c r="D18" s="809"/>
      <c r="E18" s="801"/>
      <c r="F18" s="801"/>
      <c r="G18" s="801"/>
      <c r="H18" s="801"/>
      <c r="I18" s="801"/>
      <c r="J18" s="801"/>
      <c r="K18" s="801"/>
      <c r="L18" s="801"/>
      <c r="M18" s="247"/>
    </row>
    <row r="19" spans="1:13">
      <c r="A19" s="285"/>
      <c r="B19" s="808" t="s">
        <v>65</v>
      </c>
      <c r="C19" s="807"/>
      <c r="D19" s="810">
        <v>80</v>
      </c>
      <c r="E19" s="801"/>
      <c r="F19" s="805" t="s">
        <v>35</v>
      </c>
      <c r="G19" s="801"/>
      <c r="H19" s="141"/>
      <c r="I19" s="801"/>
      <c r="J19" s="801"/>
      <c r="K19" s="801"/>
      <c r="L19" s="801"/>
      <c r="M19" s="247"/>
    </row>
    <row r="20" spans="1:13">
      <c r="A20" s="285"/>
      <c r="B20" s="808"/>
      <c r="C20" s="807"/>
      <c r="D20" s="809"/>
      <c r="E20" s="801"/>
      <c r="F20" s="801"/>
      <c r="G20" s="801"/>
      <c r="H20" s="801"/>
      <c r="I20" s="801"/>
      <c r="J20" s="801"/>
      <c r="K20" s="801"/>
      <c r="L20" s="801"/>
      <c r="M20" s="247"/>
    </row>
    <row r="21" spans="1:13" ht="13">
      <c r="A21" s="285"/>
      <c r="B21" s="802"/>
      <c r="C21" s="25"/>
      <c r="D21" s="86" t="s">
        <v>168</v>
      </c>
      <c r="E21" s="86"/>
      <c r="F21" s="86" t="s">
        <v>169</v>
      </c>
      <c r="G21" s="86"/>
      <c r="H21" s="86" t="s">
        <v>12</v>
      </c>
      <c r="I21" s="801"/>
      <c r="J21" s="801"/>
      <c r="K21" s="801"/>
      <c r="L21" s="801"/>
      <c r="M21" s="247"/>
    </row>
    <row r="22" spans="1:13">
      <c r="A22" s="285"/>
      <c r="B22" s="808"/>
      <c r="C22" s="807"/>
      <c r="D22" s="809"/>
      <c r="E22" s="801"/>
      <c r="F22" s="801"/>
      <c r="G22" s="801"/>
      <c r="H22" s="801"/>
      <c r="I22" s="801"/>
      <c r="J22" s="801"/>
      <c r="K22" s="801"/>
      <c r="L22" s="801"/>
      <c r="M22" s="247"/>
    </row>
    <row r="23" spans="1:13">
      <c r="A23" s="285"/>
      <c r="B23" s="806"/>
      <c r="C23" s="807"/>
      <c r="D23" s="811"/>
      <c r="E23" s="801"/>
      <c r="F23" s="812"/>
      <c r="G23" s="801"/>
      <c r="H23" s="141"/>
      <c r="I23" s="801"/>
      <c r="J23" s="801"/>
      <c r="K23" s="801"/>
      <c r="L23" s="801"/>
      <c r="M23" s="247"/>
    </row>
    <row r="24" spans="1:13" ht="13">
      <c r="A24" s="285"/>
      <c r="B24" s="24" t="s">
        <v>170</v>
      </c>
      <c r="C24" s="807"/>
      <c r="D24" s="809"/>
      <c r="E24" s="801"/>
      <c r="F24" s="801"/>
      <c r="G24" s="801"/>
      <c r="H24" s="141"/>
      <c r="I24" s="801"/>
      <c r="J24" s="801"/>
      <c r="K24" s="801"/>
      <c r="L24" s="801"/>
      <c r="M24" s="247"/>
    </row>
    <row r="25" spans="1:13" ht="13">
      <c r="A25" s="285"/>
      <c r="B25" s="808" t="s">
        <v>171</v>
      </c>
      <c r="C25" s="813"/>
      <c r="D25" s="935">
        <v>180000000</v>
      </c>
      <c r="E25" s="814"/>
      <c r="F25" s="805" t="s">
        <v>35</v>
      </c>
      <c r="G25" s="815"/>
      <c r="H25" s="814"/>
      <c r="I25" s="814"/>
      <c r="J25" s="814"/>
      <c r="K25" s="814"/>
      <c r="L25" s="801"/>
      <c r="M25" s="247"/>
    </row>
    <row r="26" spans="1:13">
      <c r="A26" s="285"/>
      <c r="B26" s="808" t="s">
        <v>172</v>
      </c>
      <c r="C26" s="807"/>
      <c r="D26" s="935">
        <v>180000000</v>
      </c>
      <c r="E26" s="801"/>
      <c r="F26" s="805" t="s">
        <v>35</v>
      </c>
      <c r="G26" s="801"/>
      <c r="H26" s="25"/>
      <c r="I26" s="801"/>
      <c r="J26" s="801"/>
      <c r="K26" s="801"/>
      <c r="L26" s="801"/>
      <c r="M26" s="247"/>
    </row>
    <row r="27" spans="1:13">
      <c r="A27" s="285"/>
      <c r="B27" s="808" t="s">
        <v>173</v>
      </c>
      <c r="C27" s="807"/>
      <c r="D27" s="935">
        <v>180000000</v>
      </c>
      <c r="E27" s="801"/>
      <c r="F27" s="805" t="s">
        <v>35</v>
      </c>
      <c r="G27" s="801"/>
      <c r="H27" s="801"/>
      <c r="I27" s="801"/>
      <c r="J27" s="801"/>
      <c r="K27" s="801"/>
      <c r="L27" s="801"/>
      <c r="M27" s="247"/>
    </row>
    <row r="28" spans="1:13">
      <c r="A28" s="285"/>
      <c r="B28" s="808"/>
      <c r="C28" s="807"/>
      <c r="D28" s="801"/>
      <c r="E28" s="801"/>
      <c r="F28" s="801"/>
      <c r="G28" s="801"/>
      <c r="H28" s="801"/>
      <c r="I28" s="801"/>
      <c r="J28" s="801"/>
      <c r="K28" s="801"/>
      <c r="L28" s="801"/>
      <c r="M28" s="247"/>
    </row>
    <row r="29" spans="1:13" ht="13">
      <c r="A29" s="285"/>
      <c r="B29" s="24" t="s">
        <v>271</v>
      </c>
      <c r="C29" s="807"/>
      <c r="D29" s="801"/>
      <c r="E29" s="801"/>
      <c r="F29" s="816"/>
      <c r="G29" s="801"/>
      <c r="H29" s="141" t="s">
        <v>43</v>
      </c>
      <c r="I29" s="801"/>
      <c r="J29" s="801"/>
      <c r="K29" s="801"/>
      <c r="L29" s="801"/>
      <c r="M29" s="247"/>
    </row>
    <row r="30" spans="1:13">
      <c r="A30" s="285"/>
      <c r="B30" s="25"/>
      <c r="C30" s="807"/>
      <c r="D30" s="801"/>
      <c r="E30" s="801"/>
      <c r="F30" s="816"/>
      <c r="G30" s="801"/>
      <c r="H30" s="141"/>
      <c r="I30" s="801"/>
      <c r="J30" s="801"/>
      <c r="K30" s="801"/>
      <c r="L30" s="801"/>
      <c r="M30" s="247"/>
    </row>
    <row r="31" spans="1:13" ht="13">
      <c r="A31" s="285"/>
      <c r="B31" s="24" t="s">
        <v>353</v>
      </c>
      <c r="C31" s="807"/>
      <c r="D31" s="801"/>
      <c r="E31" s="801"/>
      <c r="F31" s="816"/>
      <c r="G31" s="801"/>
      <c r="H31" s="141" t="s">
        <v>43</v>
      </c>
      <c r="I31" s="801"/>
      <c r="J31" s="801"/>
      <c r="K31" s="801"/>
      <c r="L31" s="801"/>
      <c r="M31" s="247"/>
    </row>
    <row r="32" spans="1:13">
      <c r="A32" s="285"/>
      <c r="B32" s="25"/>
      <c r="C32" s="807"/>
      <c r="D32" s="801"/>
      <c r="E32" s="801"/>
      <c r="F32" s="816"/>
      <c r="G32" s="801"/>
      <c r="H32" s="141"/>
      <c r="I32" s="801"/>
      <c r="J32" s="801"/>
      <c r="K32" s="801"/>
      <c r="L32" s="801"/>
      <c r="M32" s="247"/>
    </row>
    <row r="33" spans="1:13" ht="13">
      <c r="A33" s="285"/>
      <c r="B33" s="100" t="s">
        <v>354</v>
      </c>
      <c r="C33" s="807"/>
      <c r="D33" s="801"/>
      <c r="E33" s="801"/>
      <c r="F33" s="801"/>
      <c r="G33" s="801"/>
      <c r="H33" s="141" t="s">
        <v>43</v>
      </c>
      <c r="I33" s="801"/>
      <c r="J33" s="801"/>
      <c r="K33" s="801"/>
      <c r="L33" s="801"/>
      <c r="M33" s="247"/>
    </row>
    <row r="34" spans="1:13">
      <c r="A34" s="285"/>
      <c r="B34" s="808" t="s">
        <v>270</v>
      </c>
      <c r="C34" s="807"/>
      <c r="D34" s="25"/>
      <c r="E34" s="801"/>
      <c r="F34" s="801"/>
      <c r="G34" s="801"/>
      <c r="H34" s="801"/>
      <c r="I34" s="801"/>
      <c r="J34" s="801"/>
      <c r="K34" s="801"/>
      <c r="L34" s="801"/>
      <c r="M34" s="247"/>
    </row>
    <row r="35" spans="1:13">
      <c r="A35" s="285"/>
      <c r="B35" s="806" t="s">
        <v>403</v>
      </c>
      <c r="C35" s="807"/>
      <c r="D35" s="811">
        <v>1.4999999999999999E-2</v>
      </c>
      <c r="E35" s="801"/>
      <c r="F35" s="984">
        <f>VLOOKUP(F4,'3.3 Defaults &amp; Recoveries p.p.'!B20:K100,10,FALSE)</f>
        <v>3.59369915028852E-2</v>
      </c>
      <c r="G35" s="801"/>
      <c r="H35" s="141" t="str">
        <f>IF(NOT(ISNUMBER(F35)),"no",IF(AND(F35&gt;D35,$H$7&lt;=DATE(2021,11,30)),"yes","no"))</f>
        <v>no</v>
      </c>
      <c r="I35" s="801"/>
      <c r="J35" s="801"/>
      <c r="K35" s="801"/>
      <c r="L35" s="801"/>
      <c r="M35" s="247"/>
    </row>
    <row r="36" spans="1:13">
      <c r="A36" s="285"/>
      <c r="B36" s="806" t="s">
        <v>404</v>
      </c>
      <c r="C36" s="807"/>
      <c r="D36" s="811">
        <v>2.5000000000000001E-2</v>
      </c>
      <c r="E36" s="801"/>
      <c r="F36" s="985"/>
      <c r="G36" s="801"/>
      <c r="H36" s="141" t="str">
        <f>IF(NOT(ISNUMBER(F35)),"no",IF(AND(F35&gt;D36,$H$7&lt;=DATE(2022,11,30)),"yes","no"))</f>
        <v>no</v>
      </c>
      <c r="I36" s="801"/>
      <c r="J36" s="801"/>
      <c r="K36" s="801"/>
      <c r="L36" s="801"/>
      <c r="M36" s="247"/>
    </row>
    <row r="37" spans="1:13">
      <c r="A37" s="285"/>
      <c r="B37" s="806" t="s">
        <v>405</v>
      </c>
      <c r="C37" s="807"/>
      <c r="D37" s="811">
        <v>3.5000000000000003E-2</v>
      </c>
      <c r="E37" s="801"/>
      <c r="F37" s="985"/>
      <c r="G37" s="801"/>
      <c r="H37" s="141" t="str">
        <f>IF(NOT(ISNUMBER(F35)),"no",IF(AND(F35&gt;D37,$H$7&lt;=DATE(2023,11,30)),"yes","no"))</f>
        <v>no</v>
      </c>
      <c r="I37" s="801"/>
      <c r="J37" s="801"/>
      <c r="K37" s="801"/>
      <c r="L37" s="801"/>
      <c r="M37" s="247"/>
    </row>
    <row r="38" spans="1:13">
      <c r="A38" s="285"/>
      <c r="B38" s="806" t="s">
        <v>406</v>
      </c>
      <c r="C38" s="807"/>
      <c r="D38" s="811">
        <v>4.4999999999999998E-2</v>
      </c>
      <c r="E38" s="801"/>
      <c r="F38" s="985"/>
      <c r="G38" s="801"/>
      <c r="H38" s="141" t="str">
        <f>IF(NOT(ISNUMBER(F35)),"no",IF(AND(F35&gt;D38,$H$7&lt;=DATE(2023,11,30)),"yes","no"))</f>
        <v>no</v>
      </c>
      <c r="I38" s="801"/>
      <c r="J38" s="801"/>
      <c r="K38" s="801"/>
      <c r="L38" s="801"/>
      <c r="M38" s="247"/>
    </row>
    <row r="39" spans="1:13" ht="19.5" customHeight="1">
      <c r="A39" s="285"/>
      <c r="B39" s="806" t="s">
        <v>390</v>
      </c>
      <c r="C39" s="807"/>
      <c r="D39" s="935">
        <v>0</v>
      </c>
      <c r="E39" s="817"/>
      <c r="F39" s="935">
        <f>'3.2 Default Data'!F74</f>
        <v>0</v>
      </c>
      <c r="G39" s="801"/>
      <c r="H39" s="141" t="str">
        <f>IF(NOT(ISNUMBER(F39)),"no",IF(F39&gt;D39,"yes","no"))</f>
        <v>no</v>
      </c>
      <c r="I39" s="801"/>
      <c r="J39" s="801"/>
      <c r="K39" s="801"/>
      <c r="L39" s="801"/>
      <c r="M39" s="247"/>
    </row>
    <row r="40" spans="1:13" ht="25">
      <c r="A40" s="285"/>
      <c r="B40" s="818" t="s">
        <v>533</v>
      </c>
      <c r="C40" s="811">
        <v>0.1</v>
      </c>
      <c r="D40" s="811"/>
      <c r="E40" s="801"/>
      <c r="F40" s="812">
        <f>'1. Portfolio Information'!F28/'1.1 Portfolio Information p.p.'!C15</f>
        <v>0.16462675523620895</v>
      </c>
      <c r="G40" s="801"/>
      <c r="H40" s="141" t="str">
        <f>IF(NOT(ISNUMBER(F40)),"no",IF(F40&lt;C40,"yes","no"))</f>
        <v>no</v>
      </c>
      <c r="I40" s="801"/>
      <c r="J40" s="801"/>
      <c r="K40" s="801"/>
      <c r="L40" s="801"/>
      <c r="M40" s="247"/>
    </row>
    <row r="41" spans="1:13">
      <c r="A41" s="285"/>
      <c r="B41" s="806" t="s">
        <v>534</v>
      </c>
      <c r="C41" s="807"/>
      <c r="D41" s="811"/>
      <c r="E41" s="801"/>
      <c r="F41" s="812"/>
      <c r="G41" s="801"/>
      <c r="H41" s="141"/>
      <c r="I41" s="801"/>
      <c r="J41" s="801"/>
      <c r="K41" s="801"/>
      <c r="L41" s="801"/>
      <c r="M41" s="247"/>
    </row>
    <row r="42" spans="1:13">
      <c r="A42" s="285"/>
      <c r="B42" s="101" t="s">
        <v>391</v>
      </c>
      <c r="C42" s="807"/>
      <c r="D42" s="801"/>
      <c r="E42" s="801"/>
      <c r="F42" s="801"/>
      <c r="G42" s="801"/>
      <c r="H42" s="141"/>
      <c r="I42" s="801"/>
      <c r="J42" s="801"/>
      <c r="K42" s="801"/>
      <c r="L42" s="801"/>
      <c r="M42" s="247"/>
    </row>
    <row r="43" spans="1:13">
      <c r="A43" s="285"/>
      <c r="B43" s="808"/>
      <c r="C43" s="807"/>
      <c r="D43" s="801"/>
      <c r="E43" s="801"/>
      <c r="F43" s="801"/>
      <c r="G43" s="801"/>
      <c r="H43" s="801"/>
      <c r="I43" s="801"/>
      <c r="J43" s="801"/>
      <c r="K43" s="801"/>
      <c r="L43" s="801"/>
      <c r="M43" s="247"/>
    </row>
    <row r="44" spans="1:13" ht="13">
      <c r="A44" s="285"/>
      <c r="B44" s="819" t="s">
        <v>392</v>
      </c>
      <c r="C44" s="819"/>
      <c r="D44" s="820"/>
      <c r="E44" s="819"/>
      <c r="F44" s="821"/>
      <c r="G44" s="819"/>
      <c r="H44" s="141"/>
      <c r="I44" s="801"/>
      <c r="J44" s="801"/>
      <c r="K44" s="801"/>
      <c r="L44" s="801"/>
      <c r="M44" s="247"/>
    </row>
    <row r="45" spans="1:13" ht="13">
      <c r="A45" s="240"/>
      <c r="B45" s="808" t="s">
        <v>270</v>
      </c>
      <c r="C45" s="807"/>
      <c r="D45" s="25"/>
      <c r="E45" s="801"/>
      <c r="F45" s="801"/>
      <c r="G45" s="801"/>
      <c r="H45" s="801"/>
      <c r="I45" s="25"/>
      <c r="J45" s="822"/>
      <c r="K45" s="25"/>
      <c r="L45" s="823"/>
      <c r="M45" s="247"/>
    </row>
    <row r="46" spans="1:13">
      <c r="A46" s="240"/>
      <c r="B46" s="806" t="s">
        <v>393</v>
      </c>
      <c r="C46" s="807"/>
      <c r="D46" s="811" t="s">
        <v>246</v>
      </c>
      <c r="E46" s="801"/>
      <c r="F46" s="812" t="s">
        <v>246</v>
      </c>
      <c r="G46" s="801"/>
      <c r="H46" s="141"/>
      <c r="I46" s="25"/>
      <c r="J46" s="25"/>
      <c r="K46" s="25"/>
      <c r="L46" s="25"/>
      <c r="M46" s="247"/>
    </row>
    <row r="47" spans="1:13">
      <c r="A47" s="240"/>
      <c r="B47" s="824" t="s">
        <v>170</v>
      </c>
      <c r="C47" s="268"/>
      <c r="D47" s="825"/>
      <c r="F47" s="826"/>
      <c r="H47" s="141"/>
      <c r="I47" s="25"/>
      <c r="J47" s="25"/>
      <c r="K47" s="25"/>
      <c r="L47" s="25"/>
      <c r="M47" s="247"/>
    </row>
    <row r="48" spans="1:13" ht="13">
      <c r="A48" s="240"/>
      <c r="B48" s="25" t="s">
        <v>394</v>
      </c>
      <c r="C48" s="819"/>
      <c r="D48" s="820"/>
      <c r="E48" s="819"/>
      <c r="F48" s="821"/>
      <c r="G48" s="819"/>
      <c r="H48" s="141"/>
      <c r="I48" s="25"/>
      <c r="J48" s="822"/>
      <c r="K48" s="25"/>
      <c r="L48" s="822"/>
      <c r="M48" s="247"/>
    </row>
    <row r="49" spans="1:13" ht="13">
      <c r="A49" s="240"/>
      <c r="B49" s="25" t="s">
        <v>353</v>
      </c>
      <c r="H49" s="141"/>
      <c r="I49" s="25"/>
      <c r="J49" s="822"/>
      <c r="K49" s="25"/>
      <c r="L49" s="822"/>
      <c r="M49" s="247"/>
    </row>
    <row r="50" spans="1:13" ht="16" customHeight="1">
      <c r="A50" s="240"/>
      <c r="B50" s="33" t="s">
        <v>396</v>
      </c>
      <c r="D50" s="951" t="s">
        <v>246</v>
      </c>
      <c r="E50" s="735"/>
      <c r="F50" s="951" t="s">
        <v>246</v>
      </c>
      <c r="G50" s="25"/>
      <c r="H50" s="141"/>
      <c r="I50" s="25"/>
      <c r="J50" s="827"/>
      <c r="K50" s="25"/>
      <c r="L50" s="827"/>
      <c r="M50" s="247"/>
    </row>
    <row r="51" spans="1:13" ht="13">
      <c r="A51" s="240"/>
      <c r="I51" s="25"/>
      <c r="J51" s="828"/>
      <c r="K51" s="25"/>
      <c r="L51" s="718"/>
      <c r="M51" s="247"/>
    </row>
    <row r="52" spans="1:13">
      <c r="A52" s="240"/>
      <c r="B52" s="829"/>
      <c r="D52" s="330"/>
      <c r="F52" s="330"/>
      <c r="H52" s="141"/>
      <c r="I52" s="25"/>
      <c r="J52" s="25"/>
      <c r="K52" s="25"/>
      <c r="L52" s="25"/>
      <c r="M52" s="247"/>
    </row>
    <row r="53" spans="1:13">
      <c r="A53" s="240"/>
      <c r="D53" s="330"/>
      <c r="F53" s="330"/>
      <c r="H53" s="25"/>
      <c r="I53" s="25"/>
      <c r="J53" s="25"/>
      <c r="K53" s="25"/>
      <c r="L53" s="25"/>
      <c r="M53" s="247"/>
    </row>
    <row r="54" spans="1:13" ht="18" customHeight="1">
      <c r="A54" s="240"/>
      <c r="B54" s="241"/>
      <c r="D54" s="330"/>
      <c r="F54" s="330"/>
      <c r="H54" s="25"/>
      <c r="I54" s="25"/>
      <c r="J54" s="25"/>
      <c r="K54" s="25"/>
      <c r="L54" s="25"/>
      <c r="M54" s="247"/>
    </row>
    <row r="55" spans="1:13" ht="12.75" customHeight="1">
      <c r="A55" s="240"/>
      <c r="D55" s="830"/>
      <c r="F55" s="330"/>
      <c r="H55" s="25"/>
      <c r="I55" s="25"/>
      <c r="J55" s="25"/>
      <c r="K55" s="25"/>
      <c r="L55" s="25"/>
      <c r="M55" s="247"/>
    </row>
    <row r="56" spans="1:13" ht="12.75" customHeight="1">
      <c r="A56" s="240"/>
      <c r="D56" s="830"/>
      <c r="F56" s="330"/>
      <c r="H56" s="25"/>
      <c r="I56" s="25"/>
      <c r="J56" s="25"/>
      <c r="K56" s="25"/>
      <c r="L56" s="25"/>
      <c r="M56" s="247"/>
    </row>
    <row r="57" spans="1:13">
      <c r="A57" s="240"/>
      <c r="D57" s="831"/>
      <c r="F57" s="330"/>
      <c r="H57" s="25"/>
      <c r="I57" s="25"/>
      <c r="J57" s="25"/>
      <c r="K57" s="25"/>
      <c r="L57" s="25"/>
      <c r="M57" s="247"/>
    </row>
    <row r="58" spans="1:13" ht="5.25" customHeight="1">
      <c r="A58" s="240"/>
      <c r="D58" s="825"/>
      <c r="F58" s="330"/>
      <c r="H58" s="25"/>
      <c r="I58" s="25"/>
      <c r="J58" s="25"/>
      <c r="K58" s="25"/>
      <c r="L58" s="25"/>
      <c r="M58" s="247"/>
    </row>
    <row r="59" spans="1:13">
      <c r="A59" s="240"/>
      <c r="D59" s="825"/>
      <c r="F59" s="330"/>
      <c r="H59" s="25"/>
      <c r="I59" s="25"/>
      <c r="J59" s="25"/>
      <c r="K59" s="25"/>
      <c r="L59" s="25"/>
      <c r="M59" s="247"/>
    </row>
    <row r="60" spans="1:13">
      <c r="A60" s="350"/>
      <c r="B60" s="40"/>
      <c r="C60" s="832"/>
      <c r="D60" s="833"/>
      <c r="E60" s="833"/>
      <c r="F60" s="833"/>
      <c r="G60" s="833"/>
      <c r="H60" s="833"/>
      <c r="I60" s="833"/>
      <c r="J60" s="833"/>
      <c r="K60" s="833"/>
      <c r="L60" s="833"/>
      <c r="M60" s="321"/>
    </row>
    <row r="61" spans="1:13">
      <c r="D61" s="825"/>
      <c r="F61" s="330"/>
      <c r="H61" s="25"/>
      <c r="I61" s="25"/>
      <c r="J61" s="25"/>
      <c r="K61" s="25"/>
      <c r="L61" s="25"/>
    </row>
    <row r="62" spans="1:13">
      <c r="D62" s="825"/>
      <c r="F62" s="330"/>
      <c r="H62" s="25"/>
      <c r="I62" s="25"/>
      <c r="J62" s="25"/>
      <c r="K62" s="25"/>
      <c r="L62" s="25"/>
    </row>
    <row r="63" spans="1:13">
      <c r="D63" s="825"/>
      <c r="F63" s="330"/>
      <c r="H63" s="25"/>
      <c r="I63" s="25"/>
      <c r="J63" s="25"/>
      <c r="K63" s="25"/>
      <c r="L63" s="25"/>
    </row>
    <row r="64" spans="1:13">
      <c r="D64" s="834"/>
      <c r="F64" s="330"/>
      <c r="H64" s="25"/>
      <c r="I64" s="25"/>
      <c r="J64" s="25"/>
      <c r="K64" s="25"/>
      <c r="L64" s="25"/>
    </row>
    <row r="65" spans="2:12">
      <c r="D65" s="834"/>
      <c r="F65" s="330"/>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0"/>
    </row>
    <row r="70" spans="2:12">
      <c r="H70" s="271"/>
    </row>
    <row r="71" spans="2:12">
      <c r="H71" s="271"/>
    </row>
    <row r="73" spans="2:12">
      <c r="C73" s="835"/>
      <c r="D73" s="836"/>
      <c r="F73" s="836"/>
      <c r="H73" s="271"/>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15">
    <cfRule type="cellIs" dxfId="6" priority="30" stopIfTrue="1" operator="equal">
      <formula>"yes"</formula>
    </cfRule>
  </conditionalFormatting>
  <conditionalFormatting sqref="H17">
    <cfRule type="cellIs" dxfId="5" priority="17" stopIfTrue="1" operator="equal">
      <formula>"yes"</formula>
    </cfRule>
  </conditionalFormatting>
  <conditionalFormatting sqref="H19">
    <cfRule type="cellIs" dxfId="4" priority="16" stopIfTrue="1" operator="equal">
      <formula>"yes"</formula>
    </cfRule>
  </conditionalFormatting>
  <conditionalFormatting sqref="H23:H24">
    <cfRule type="cellIs" dxfId="3" priority="15" stopIfTrue="1" operator="equal">
      <formula>"yes"</formula>
    </cfRule>
  </conditionalFormatting>
  <conditionalFormatting sqref="H29:H42">
    <cfRule type="cellIs" dxfId="2" priority="6" stopIfTrue="1" operator="equal">
      <formula>"yes"</formula>
    </cfRule>
  </conditionalFormatting>
  <conditionalFormatting sqref="H44:H50">
    <cfRule type="cellIs" dxfId="1" priority="1" stopIfTrue="1" operator="equal">
      <formula>"yes"</formula>
    </cfRule>
  </conditionalFormatting>
  <conditionalFormatting sqref="H52">
    <cfRule type="cellIs" dxfId="0" priority="25"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Assets_20</vt:lpstr>
      <vt:lpstr>calc_data</vt:lpstr>
      <vt:lpstr>calcdata_20</vt:lpstr>
      <vt:lpstr>Counterparties</vt:lpstr>
      <vt:lpstr>daten</vt:lpstr>
      <vt:lpstr>default</vt:lpstr>
      <vt:lpstr>defaults_20</vt:lpstr>
      <vt:lpstr>delinquencies_20</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portfolio_p.p._20</vt:lpstr>
      <vt:lpstr>rating</vt:lpstr>
      <vt:lpstr>rating_c20</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2024-12-11T06:42:11Z</dcterms:created>
  <dcterms:modified xsi:type="dcterms:W3CDTF">2025-06-06T09:17:23Z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2025-01-07T08:36:27Z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fd79a52d-9970-4774-957a-d99e3f886c01</vt:lpwstr>
  </property>
  <property fmtid="{D5CDD505-2E9C-101B-9397-08002B2CF9AE}" pid="8" name="MSIP_Label_41b88ec2-a72b-4523-9e84-0458a1764731_ContentBits">
    <vt:lpwstr>0</vt:lpwstr>
  </property>
</Properties>
</file>