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10" documentId="13_ncr:1_{A58892E7-1925-42B9-B38D-F17FB87F3800}" xr6:coauthVersionLast="47" xr6:coauthVersionMax="47" xr10:uidLastSave="{489FF1EB-C808-4D3B-B3C2-C8416A8E9B3F}"/>
  <bookViews>
    <workbookView xWindow="-110" yWindow="-110" windowWidth="19420" windowHeight="1030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Daten!$A$1:$D$336</definedName>
    <definedName name="default">default!$A$1:$K$81</definedName>
    <definedName name="defaults_20">default!$B:$K</definedName>
    <definedName name="delinquencies_20">delinquency!$B:$K</definedName>
    <definedName name="delinquency">delinquency!$A$1:$K$81</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portfolio!$A$1:$G$60</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3" i="78"/>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5" i="83"/>
  <c r="D65" i="83"/>
  <c r="S64" i="83"/>
  <c r="Q64" i="83"/>
  <c r="O64" i="83"/>
  <c r="M64" i="83"/>
  <c r="K64" i="83"/>
  <c r="I64" i="83"/>
  <c r="G64" i="83"/>
  <c r="E64" i="83"/>
  <c r="D64" i="83" s="1"/>
  <c r="S63" i="83"/>
  <c r="Q63" i="83"/>
  <c r="O63" i="83"/>
  <c r="M63" i="83"/>
  <c r="K63" i="83"/>
  <c r="I63" i="83"/>
  <c r="G63" i="83"/>
  <c r="E63" i="83"/>
  <c r="D63" i="83" s="1"/>
  <c r="S62" i="83"/>
  <c r="Q62" i="83"/>
  <c r="O62" i="83"/>
  <c r="M62" i="83"/>
  <c r="K62" i="83"/>
  <c r="I62" i="83"/>
  <c r="G62" i="83"/>
  <c r="D62" i="83" s="1"/>
  <c r="E62" i="83"/>
  <c r="S61" i="83"/>
  <c r="Q61" i="83"/>
  <c r="O61" i="83"/>
  <c r="M61" i="83"/>
  <c r="K61" i="83"/>
  <c r="I61" i="83"/>
  <c r="G61" i="83"/>
  <c r="E61" i="83"/>
  <c r="D61" i="83" s="1"/>
  <c r="S60" i="83"/>
  <c r="Q60" i="83"/>
  <c r="O60" i="83"/>
  <c r="M60" i="83"/>
  <c r="K60" i="83"/>
  <c r="I60" i="83"/>
  <c r="G60" i="83"/>
  <c r="E60" i="83"/>
  <c r="D60" i="83" s="1"/>
  <c r="S59" i="83"/>
  <c r="Q59" i="83"/>
  <c r="O59" i="83"/>
  <c r="M59" i="83"/>
  <c r="K59" i="83"/>
  <c r="I59" i="83"/>
  <c r="G59" i="83"/>
  <c r="E59" i="83"/>
  <c r="D59" i="83" s="1"/>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E31" i="83"/>
  <c r="M30" i="83"/>
  <c r="E30" i="83"/>
  <c r="D58" i="83" s="1"/>
  <c r="M29" i="83"/>
  <c r="M31" i="83" s="1"/>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D21" i="69"/>
  <c r="H20" i="69"/>
  <c r="D20" i="69"/>
  <c r="E20" i="69" s="1"/>
  <c r="H19" i="69"/>
  <c r="D19" i="69"/>
  <c r="H18" i="69"/>
  <c r="F18" i="69" s="1"/>
  <c r="D18" i="69"/>
  <c r="H17" i="69"/>
  <c r="D17" i="69"/>
  <c r="E17" i="69" s="1"/>
  <c r="H16" i="69"/>
  <c r="F16" i="69" s="1"/>
  <c r="D16" i="69"/>
  <c r="E16" i="69" s="1"/>
  <c r="H15" i="69"/>
  <c r="D15" i="69"/>
  <c r="E15" i="69" s="1"/>
  <c r="H14" i="69"/>
  <c r="F14" i="69" s="1"/>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F23" i="50" s="1"/>
  <c r="G22" i="50"/>
  <c r="E22" i="50"/>
  <c r="G21" i="50"/>
  <c r="E21" i="50"/>
  <c r="G20" i="50"/>
  <c r="E20" i="50"/>
  <c r="F20" i="50" s="1"/>
  <c r="G19" i="50"/>
  <c r="E19" i="50"/>
  <c r="G18" i="50"/>
  <c r="E18" i="50"/>
  <c r="G17" i="50"/>
  <c r="E17" i="50"/>
  <c r="F17" i="50" s="1"/>
  <c r="G16" i="50"/>
  <c r="E16" i="50"/>
  <c r="G15" i="50"/>
  <c r="E15" i="50"/>
  <c r="F15" i="50" s="1"/>
  <c r="G14" i="50"/>
  <c r="E14" i="50"/>
  <c r="E30" i="50" s="1"/>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H25" i="48" s="1"/>
  <c r="E25" i="48"/>
  <c r="G24" i="48"/>
  <c r="E24" i="48"/>
  <c r="G23" i="48"/>
  <c r="E23" i="48"/>
  <c r="G22" i="48"/>
  <c r="H22" i="48" s="1"/>
  <c r="E22" i="48"/>
  <c r="G21" i="48"/>
  <c r="E21" i="48"/>
  <c r="G20" i="48"/>
  <c r="H20" i="48" s="1"/>
  <c r="E20" i="48"/>
  <c r="G19" i="48"/>
  <c r="E19" i="48"/>
  <c r="G18" i="48"/>
  <c r="E18" i="48"/>
  <c r="G17" i="48"/>
  <c r="H17" i="48" s="1"/>
  <c r="E17" i="48"/>
  <c r="G16" i="48"/>
  <c r="E16" i="48"/>
  <c r="G15" i="48"/>
  <c r="H15" i="48" s="1"/>
  <c r="E15" i="48"/>
  <c r="G14" i="48"/>
  <c r="G42" i="48" s="1"/>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F17" i="47"/>
  <c r="E17" i="47"/>
  <c r="G16" i="47"/>
  <c r="E16" i="47"/>
  <c r="G15" i="47"/>
  <c r="E15" i="47"/>
  <c r="G14" i="47"/>
  <c r="G28" i="47" s="1"/>
  <c r="E14" i="47"/>
  <c r="E28" i="47" s="1"/>
  <c r="F23" i="47" s="1"/>
  <c r="G7" i="47"/>
  <c r="E7" i="47"/>
  <c r="D7" i="47"/>
  <c r="I6" i="47"/>
  <c r="G6" i="47"/>
  <c r="E6" i="47"/>
  <c r="D6" i="47"/>
  <c r="D5" i="47"/>
  <c r="D4" i="47"/>
  <c r="D3" i="47"/>
  <c r="B3" i="47"/>
  <c r="D2" i="47"/>
  <c r="B2" i="47"/>
  <c r="G22" i="46"/>
  <c r="G23" i="46" s="1"/>
  <c r="E22" i="46"/>
  <c r="G21" i="46"/>
  <c r="E21" i="46"/>
  <c r="G15" i="46"/>
  <c r="G16" i="46" s="1"/>
  <c r="E15" i="46"/>
  <c r="G14" i="46"/>
  <c r="E14" i="46"/>
  <c r="G7" i="46"/>
  <c r="E7" i="46"/>
  <c r="D7" i="46"/>
  <c r="I6" i="46"/>
  <c r="G6" i="46"/>
  <c r="E6" i="46"/>
  <c r="D6" i="46"/>
  <c r="D5" i="46"/>
  <c r="D4" i="46"/>
  <c r="D3" i="46"/>
  <c r="B3" i="46"/>
  <c r="D2" i="46"/>
  <c r="B2" i="46"/>
  <c r="G15" i="44"/>
  <c r="E15" i="44"/>
  <c r="E16" i="44" s="1"/>
  <c r="G14" i="44"/>
  <c r="E14" i="44"/>
  <c r="G7" i="44"/>
  <c r="E7" i="44"/>
  <c r="D7" i="44"/>
  <c r="I6" i="44"/>
  <c r="G6" i="44"/>
  <c r="E6" i="44"/>
  <c r="D6" i="44"/>
  <c r="D5" i="44"/>
  <c r="D4" i="44"/>
  <c r="D3" i="44"/>
  <c r="B3" i="44"/>
  <c r="D2" i="44"/>
  <c r="B2" i="44"/>
  <c r="H15" i="43"/>
  <c r="G15" i="43"/>
  <c r="E15" i="43"/>
  <c r="G14" i="43"/>
  <c r="G16" i="43" s="1"/>
  <c r="H14" i="43" s="1"/>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H26" i="42"/>
  <c r="G26" i="42"/>
  <c r="E26" i="42"/>
  <c r="G25" i="42"/>
  <c r="E25" i="42"/>
  <c r="G24" i="42"/>
  <c r="E24" i="42"/>
  <c r="H23" i="42"/>
  <c r="G23" i="42"/>
  <c r="E23" i="42"/>
  <c r="G22" i="42"/>
  <c r="E22" i="42"/>
  <c r="G21" i="42"/>
  <c r="E21" i="42"/>
  <c r="G20" i="42"/>
  <c r="E20" i="42"/>
  <c r="G19" i="42"/>
  <c r="E19" i="42"/>
  <c r="G18" i="42"/>
  <c r="E18" i="42"/>
  <c r="H17" i="42"/>
  <c r="G17" i="42"/>
  <c r="E17" i="42"/>
  <c r="G16" i="42"/>
  <c r="E16" i="42"/>
  <c r="G15" i="42"/>
  <c r="E15" i="42"/>
  <c r="H14" i="42"/>
  <c r="G14" i="42"/>
  <c r="G31" i="42" s="1"/>
  <c r="E14" i="42"/>
  <c r="G7" i="42"/>
  <c r="E7" i="42"/>
  <c r="D7" i="42"/>
  <c r="I6" i="42"/>
  <c r="G6" i="42"/>
  <c r="E6" i="42"/>
  <c r="D6" i="42"/>
  <c r="D5" i="42"/>
  <c r="D4" i="42"/>
  <c r="D3" i="42"/>
  <c r="B3" i="42"/>
  <c r="D2" i="42"/>
  <c r="B2" i="42"/>
  <c r="E16" i="41"/>
  <c r="E15" i="41"/>
  <c r="F15" i="41" s="1"/>
  <c r="G15" i="41" s="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D47" i="84"/>
  <c r="P46" i="84"/>
  <c r="N46" i="84"/>
  <c r="L46" i="84"/>
  <c r="J46" i="84"/>
  <c r="H46" i="84"/>
  <c r="F46" i="84"/>
  <c r="D46" i="84"/>
  <c r="P45" i="84"/>
  <c r="N45" i="84"/>
  <c r="L45" i="84"/>
  <c r="J45" i="84"/>
  <c r="H45" i="84"/>
  <c r="F45" i="84"/>
  <c r="D45" i="84"/>
  <c r="P43" i="84"/>
  <c r="P42" i="84"/>
  <c r="D41" i="84"/>
  <c r="D44" i="84" s="1"/>
  <c r="C40" i="84"/>
  <c r="C38" i="84"/>
  <c r="D33" i="84"/>
  <c r="P31" i="84"/>
  <c r="P32" i="84" s="1"/>
  <c r="N31" i="84"/>
  <c r="L31" i="84"/>
  <c r="J31" i="84"/>
  <c r="H31" i="84"/>
  <c r="H32" i="84" s="1"/>
  <c r="H43" i="84" s="1"/>
  <c r="F31" i="84"/>
  <c r="D31" i="84"/>
  <c r="D32" i="84" s="1"/>
  <c r="D43" i="84" s="1"/>
  <c r="C30" i="84"/>
  <c r="C29" i="84"/>
  <c r="P27" i="84"/>
  <c r="N27" i="84"/>
  <c r="N41" i="84" s="1"/>
  <c r="L27" i="84"/>
  <c r="J27" i="84"/>
  <c r="J41" i="84" s="1"/>
  <c r="H27" i="84"/>
  <c r="F27" i="84"/>
  <c r="F41" i="84" s="1"/>
  <c r="F44" i="84" s="1"/>
  <c r="D27" i="84"/>
  <c r="C27" i="84" s="1"/>
  <c r="C19" i="57" s="1"/>
  <c r="P24" i="84"/>
  <c r="P47" i="84" s="1"/>
  <c r="L24" i="84"/>
  <c r="J24" i="84"/>
  <c r="J47" i="84" s="1"/>
  <c r="H24" i="84"/>
  <c r="H41" i="84" s="1"/>
  <c r="D24" i="84"/>
  <c r="N23" i="84"/>
  <c r="N24" i="84" s="1"/>
  <c r="L23" i="84"/>
  <c r="J23" i="84"/>
  <c r="H23" i="84"/>
  <c r="F23" i="84"/>
  <c r="F24" i="84" s="1"/>
  <c r="F32" i="84" s="1"/>
  <c r="F43" i="84" s="1"/>
  <c r="C22" i="84"/>
  <c r="L17" i="84" s="1"/>
  <c r="N21" i="84"/>
  <c r="L21" i="84"/>
  <c r="J21" i="84"/>
  <c r="H21" i="84"/>
  <c r="F21" i="84"/>
  <c r="D21" i="84"/>
  <c r="P17" i="84"/>
  <c r="N17" i="84"/>
  <c r="J17" i="84"/>
  <c r="H51" i="84" s="1"/>
  <c r="H17" i="84"/>
  <c r="F17" i="84"/>
  <c r="D17" i="84"/>
  <c r="G7" i="84"/>
  <c r="D7" i="84"/>
  <c r="I6" i="84"/>
  <c r="G6" i="84"/>
  <c r="D6" i="84"/>
  <c r="D5" i="84"/>
  <c r="D4" i="84"/>
  <c r="D3" i="84"/>
  <c r="B3" i="84"/>
  <c r="D2" i="84"/>
  <c r="B2" i="84"/>
  <c r="F39" i="85"/>
  <c r="G7" i="85"/>
  <c r="D7" i="85"/>
  <c r="I6" i="85"/>
  <c r="G6" i="85"/>
  <c r="D6" i="85"/>
  <c r="D5" i="85"/>
  <c r="D4" i="85"/>
  <c r="D3" i="85"/>
  <c r="B3" i="85"/>
  <c r="D2" i="85"/>
  <c r="B2" i="85"/>
  <c r="G7" i="91"/>
  <c r="D7" i="91"/>
  <c r="I6" i="91"/>
  <c r="G6" i="91"/>
  <c r="D6" i="91"/>
  <c r="D5" i="91"/>
  <c r="D4"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8" i="87"/>
  <c r="F27" i="87"/>
  <c r="F26" i="87"/>
  <c r="H23" i="87"/>
  <c r="F21" i="87"/>
  <c r="F20" i="87"/>
  <c r="F22" i="87" s="1"/>
  <c r="G7" i="87"/>
  <c r="D7" i="87"/>
  <c r="I6" i="87"/>
  <c r="G6" i="87"/>
  <c r="D6" i="87"/>
  <c r="D5" i="87"/>
  <c r="D4" i="87"/>
  <c r="F3" i="87"/>
  <c r="D3" i="87"/>
  <c r="B3" i="87"/>
  <c r="D2" i="87"/>
  <c r="B2" i="87"/>
  <c r="G7" i="86"/>
  <c r="D7" i="86"/>
  <c r="I6" i="86"/>
  <c r="G6" i="86"/>
  <c r="D6" i="86"/>
  <c r="D5" i="86"/>
  <c r="D4" i="86"/>
  <c r="D3" i="86"/>
  <c r="B3" i="86"/>
  <c r="D2" i="86"/>
  <c r="B2" i="86"/>
  <c r="D43" i="57"/>
  <c r="D42" i="57"/>
  <c r="D41" i="57"/>
  <c r="D38" i="57"/>
  <c r="D37" i="57"/>
  <c r="C37" i="57" s="1"/>
  <c r="F36" i="57"/>
  <c r="D34" i="57"/>
  <c r="D33" i="57"/>
  <c r="D32" i="57"/>
  <c r="D29" i="57"/>
  <c r="D28" i="57"/>
  <c r="C28" i="57" s="1"/>
  <c r="F27" i="57"/>
  <c r="D25" i="57"/>
  <c r="D24" i="57"/>
  <c r="D23" i="57"/>
  <c r="D21" i="57"/>
  <c r="D20" i="57"/>
  <c r="D19" i="57"/>
  <c r="G7" i="57"/>
  <c r="E7" i="57"/>
  <c r="D7" i="57"/>
  <c r="I6" i="57"/>
  <c r="G6" i="57"/>
  <c r="E6" i="57"/>
  <c r="D6" i="57"/>
  <c r="D5" i="57"/>
  <c r="D4" i="57"/>
  <c r="D3" i="57"/>
  <c r="B3" i="57"/>
  <c r="D2" i="57"/>
  <c r="B2" i="57"/>
  <c r="G93" i="92"/>
  <c r="F93" i="92"/>
  <c r="E93" i="92"/>
  <c r="D93" i="92"/>
  <c r="F90" i="92"/>
  <c r="E90" i="92"/>
  <c r="D90" i="92"/>
  <c r="C90" i="92"/>
  <c r="F86" i="92"/>
  <c r="E86" i="92"/>
  <c r="D86" i="92"/>
  <c r="C86" i="92"/>
  <c r="E83" i="92"/>
  <c r="D83" i="92"/>
  <c r="C83" i="92"/>
  <c r="G82" i="92"/>
  <c r="E79" i="92"/>
  <c r="D79" i="92"/>
  <c r="C79" i="92"/>
  <c r="G78" i="92"/>
  <c r="D76" i="92"/>
  <c r="C76" i="92"/>
  <c r="G75" i="92"/>
  <c r="F75" i="92"/>
  <c r="D72" i="92"/>
  <c r="C72" i="92"/>
  <c r="G71" i="92"/>
  <c r="F71" i="92"/>
  <c r="C69" i="92"/>
  <c r="G68" i="92"/>
  <c r="F68" i="92"/>
  <c r="E68" i="92"/>
  <c r="C66" i="92"/>
  <c r="C65" i="92"/>
  <c r="G64" i="92"/>
  <c r="F64" i="92"/>
  <c r="D62" i="92"/>
  <c r="C62" i="92"/>
  <c r="G61" i="92"/>
  <c r="F61" i="92"/>
  <c r="D59" i="92"/>
  <c r="C59" i="92"/>
  <c r="G58" i="92"/>
  <c r="C58" i="92"/>
  <c r="F55" i="92"/>
  <c r="E55" i="92"/>
  <c r="D55" i="92"/>
  <c r="C55" i="92"/>
  <c r="F52" i="92"/>
  <c r="E52" i="92"/>
  <c r="D52" i="92"/>
  <c r="C52" i="92"/>
  <c r="F49" i="92"/>
  <c r="E49" i="92"/>
  <c r="D49" i="92"/>
  <c r="E48" i="92"/>
  <c r="C46" i="92"/>
  <c r="G45" i="92"/>
  <c r="F45" i="92"/>
  <c r="E45" i="92"/>
  <c r="C43" i="92"/>
  <c r="G42" i="92"/>
  <c r="F42" i="92"/>
  <c r="E42" i="92"/>
  <c r="C40" i="92"/>
  <c r="G39" i="92"/>
  <c r="F39" i="92"/>
  <c r="G38" i="92"/>
  <c r="E36" i="92"/>
  <c r="D36" i="92"/>
  <c r="C36" i="92"/>
  <c r="G35" i="92"/>
  <c r="E33" i="92"/>
  <c r="D33" i="92"/>
  <c r="C33" i="92"/>
  <c r="G32" i="92"/>
  <c r="E30" i="92"/>
  <c r="D30" i="92"/>
  <c r="C30" i="92"/>
  <c r="D29" i="92"/>
  <c r="G26" i="92"/>
  <c r="F26" i="92"/>
  <c r="E26" i="92"/>
  <c r="D26" i="92"/>
  <c r="G23" i="92"/>
  <c r="F23" i="92"/>
  <c r="E23" i="92"/>
  <c r="D23" i="92"/>
  <c r="G20" i="92"/>
  <c r="F20" i="92"/>
  <c r="E20" i="92"/>
  <c r="F19" i="92"/>
  <c r="D17" i="92"/>
  <c r="C17" i="92"/>
  <c r="G16" i="92"/>
  <c r="F16" i="92"/>
  <c r="G7" i="92"/>
  <c r="E7" i="92"/>
  <c r="D7" i="92"/>
  <c r="I6" i="92"/>
  <c r="G6" i="92"/>
  <c r="E6" i="92"/>
  <c r="D6" i="92"/>
  <c r="D5" i="92"/>
  <c r="F4" i="92"/>
  <c r="G94" i="92" s="1"/>
  <c r="D4" i="92"/>
  <c r="F3" i="92"/>
  <c r="D3" i="92"/>
  <c r="B3" i="92"/>
  <c r="F2"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F4" i="70"/>
  <c r="H4" i="70" s="1"/>
  <c r="D4" i="70"/>
  <c r="F3" i="70"/>
  <c r="D3" i="70"/>
  <c r="B3" i="70"/>
  <c r="F2" i="70"/>
  <c r="D2" i="70"/>
  <c r="B2" i="70"/>
  <c r="H6" i="56"/>
  <c r="H6" i="86" s="1"/>
  <c r="F6" i="56"/>
  <c r="F6" i="57" s="1"/>
  <c r="F5" i="56"/>
  <c r="F5" i="92" s="1"/>
  <c r="F4" i="56"/>
  <c r="F3" i="56"/>
  <c r="F2" i="56"/>
  <c r="F2" i="57" s="1"/>
  <c r="C18" i="92" l="1"/>
  <c r="C21" i="92"/>
  <c r="C24" i="92"/>
  <c r="F27" i="92"/>
  <c r="F30" i="92"/>
  <c r="F33" i="92"/>
  <c r="D37" i="92"/>
  <c r="D40" i="92"/>
  <c r="D43" i="92"/>
  <c r="G46" i="92"/>
  <c r="G49" i="92"/>
  <c r="G52" i="92"/>
  <c r="E56" i="92"/>
  <c r="E59" i="92"/>
  <c r="E62" i="92"/>
  <c r="D66" i="92"/>
  <c r="D69" i="92"/>
  <c r="D73" i="92"/>
  <c r="E76" i="92"/>
  <c r="E80" i="92"/>
  <c r="F83" i="92"/>
  <c r="F87" i="92"/>
  <c r="G90" i="92"/>
  <c r="F94" i="92"/>
  <c r="D92" i="92"/>
  <c r="G89" i="92"/>
  <c r="E87" i="92"/>
  <c r="C85" i="92"/>
  <c r="F82" i="92"/>
  <c r="D80" i="92"/>
  <c r="G77" i="92"/>
  <c r="E75" i="92"/>
  <c r="C73" i="92"/>
  <c r="F70" i="92"/>
  <c r="D68" i="92"/>
  <c r="G65" i="92"/>
  <c r="E63" i="92"/>
  <c r="C61" i="92"/>
  <c r="F58" i="92"/>
  <c r="D56" i="92"/>
  <c r="G53" i="92"/>
  <c r="E51" i="92"/>
  <c r="C49" i="92"/>
  <c r="F46" i="92"/>
  <c r="D44" i="92"/>
  <c r="G41" i="92"/>
  <c r="E39" i="92"/>
  <c r="C37" i="92"/>
  <c r="F34" i="92"/>
  <c r="D32" i="92"/>
  <c r="G29" i="92"/>
  <c r="E27" i="92"/>
  <c r="C25" i="92"/>
  <c r="F22" i="92"/>
  <c r="D20" i="92"/>
  <c r="G17" i="92"/>
  <c r="E15" i="92"/>
  <c r="E94" i="92"/>
  <c r="F89" i="92"/>
  <c r="D87" i="92"/>
  <c r="G84" i="92"/>
  <c r="E82" i="92"/>
  <c r="C80" i="92"/>
  <c r="F77" i="92"/>
  <c r="D75" i="92"/>
  <c r="G72" i="92"/>
  <c r="E70" i="92"/>
  <c r="C68" i="92"/>
  <c r="F65" i="92"/>
  <c r="D63" i="92"/>
  <c r="G60" i="92"/>
  <c r="E58" i="92"/>
  <c r="C56" i="92"/>
  <c r="F53" i="92"/>
  <c r="D51" i="92"/>
  <c r="G48" i="92"/>
  <c r="E46" i="92"/>
  <c r="C44" i="92"/>
  <c r="D39" i="92"/>
  <c r="G36" i="92"/>
  <c r="E34" i="92"/>
  <c r="C32" i="92"/>
  <c r="F29" i="92"/>
  <c r="D27" i="92"/>
  <c r="G24" i="92"/>
  <c r="E22" i="92"/>
  <c r="F17" i="92"/>
  <c r="D15" i="92"/>
  <c r="C82" i="92"/>
  <c r="C92" i="92"/>
  <c r="F41" i="92"/>
  <c r="C20" i="92"/>
  <c r="F91" i="92"/>
  <c r="G86" i="92"/>
  <c r="F79" i="92"/>
  <c r="G74" i="92"/>
  <c r="E72" i="92"/>
  <c r="J18" i="70" s="1"/>
  <c r="J17" i="70" s="1"/>
  <c r="D65" i="92"/>
  <c r="D94" i="92"/>
  <c r="G91" i="92"/>
  <c r="E89" i="92"/>
  <c r="C87" i="92"/>
  <c r="F84" i="92"/>
  <c r="D82" i="92"/>
  <c r="G79" i="92"/>
  <c r="E77" i="92"/>
  <c r="C75" i="92"/>
  <c r="F72" i="92"/>
  <c r="D70" i="92"/>
  <c r="G67" i="92"/>
  <c r="E65" i="92"/>
  <c r="C63" i="92"/>
  <c r="F60" i="92"/>
  <c r="D58" i="92"/>
  <c r="G55" i="92"/>
  <c r="E53" i="92"/>
  <c r="C51" i="92"/>
  <c r="F48" i="92"/>
  <c r="D46" i="92"/>
  <c r="G43" i="92"/>
  <c r="E41" i="92"/>
  <c r="C39" i="92"/>
  <c r="F36" i="92"/>
  <c r="D34" i="92"/>
  <c r="G31" i="92"/>
  <c r="E29" i="92"/>
  <c r="C27" i="92"/>
  <c r="F24" i="92"/>
  <c r="D22" i="92"/>
  <c r="G19" i="92"/>
  <c r="E17" i="92"/>
  <c r="C15" i="92"/>
  <c r="C94" i="92"/>
  <c r="D89" i="92"/>
  <c r="E84" i="92"/>
  <c r="D77" i="92"/>
  <c r="C70" i="92"/>
  <c r="D21" i="92"/>
  <c r="D24" i="92"/>
  <c r="G27" i="92"/>
  <c r="G30" i="92"/>
  <c r="G33" i="92"/>
  <c r="E37" i="92"/>
  <c r="E40" i="92"/>
  <c r="E43" i="92"/>
  <c r="C47" i="92"/>
  <c r="C50" i="92"/>
  <c r="C53" i="92"/>
  <c r="F56" i="92"/>
  <c r="F59" i="92"/>
  <c r="F62" i="92"/>
  <c r="E66" i="92"/>
  <c r="E69" i="92"/>
  <c r="E73" i="92"/>
  <c r="F18" i="70" s="1"/>
  <c r="F76" i="92"/>
  <c r="F80" i="92"/>
  <c r="G83" i="92"/>
  <c r="G87" i="92"/>
  <c r="C91" i="92"/>
  <c r="H6" i="57"/>
  <c r="F15" i="92"/>
  <c r="F18" i="92"/>
  <c r="F21" i="92"/>
  <c r="D25" i="92"/>
  <c r="D28" i="92"/>
  <c r="D31" i="92"/>
  <c r="G34" i="92"/>
  <c r="G37" i="92"/>
  <c r="G40" i="92"/>
  <c r="E44" i="92"/>
  <c r="E47" i="92"/>
  <c r="E50" i="92"/>
  <c r="C54" i="92"/>
  <c r="C57" i="92"/>
  <c r="C60" i="92"/>
  <c r="F63" i="92"/>
  <c r="G66" i="92"/>
  <c r="G69" i="92"/>
  <c r="G73" i="92"/>
  <c r="C77" i="92"/>
  <c r="C81" i="92"/>
  <c r="D84" i="92"/>
  <c r="D88" i="92"/>
  <c r="E91" i="92"/>
  <c r="H6" i="71"/>
  <c r="H6" i="83"/>
  <c r="H6" i="43"/>
  <c r="H6" i="41"/>
  <c r="H6" i="90"/>
  <c r="H6" i="66"/>
  <c r="H6" i="65"/>
  <c r="H6" i="44"/>
  <c r="J6" i="82"/>
  <c r="J6" i="72"/>
  <c r="H6" i="79"/>
  <c r="I6" i="78"/>
  <c r="H6" i="50"/>
  <c r="H6" i="47"/>
  <c r="H6" i="64"/>
  <c r="H6" i="61"/>
  <c r="H6" i="67"/>
  <c r="H6" i="42"/>
  <c r="H6" i="89"/>
  <c r="H6" i="69"/>
  <c r="H6" i="63"/>
  <c r="H6" i="62"/>
  <c r="H6" i="46"/>
  <c r="H6" i="49"/>
  <c r="H6" i="40"/>
  <c r="H6" i="48"/>
  <c r="H6" i="85"/>
  <c r="H6" i="91"/>
  <c r="H6" i="37"/>
  <c r="H6" i="84"/>
  <c r="J6" i="56"/>
  <c r="H6" i="87"/>
  <c r="F43" i="92"/>
  <c r="D91" i="92"/>
  <c r="C22" i="92"/>
  <c r="F31" i="92"/>
  <c r="D38" i="92"/>
  <c r="G50" i="92"/>
  <c r="E57" i="92"/>
  <c r="C64" i="92"/>
  <c r="D74" i="92"/>
  <c r="E85" i="92"/>
  <c r="F92" i="92"/>
  <c r="F5" i="47"/>
  <c r="F5" i="64"/>
  <c r="F5" i="61"/>
  <c r="F5" i="89"/>
  <c r="F5" i="67"/>
  <c r="F5" i="42"/>
  <c r="F5" i="48"/>
  <c r="F5" i="40"/>
  <c r="F5" i="69"/>
  <c r="F5" i="63"/>
  <c r="F5" i="62"/>
  <c r="F5" i="83"/>
  <c r="F5" i="71"/>
  <c r="F5" i="43"/>
  <c r="F5" i="41"/>
  <c r="H5" i="82"/>
  <c r="H5" i="72"/>
  <c r="F5" i="79"/>
  <c r="G5" i="78"/>
  <c r="F5" i="90"/>
  <c r="F5" i="66"/>
  <c r="F5" i="65"/>
  <c r="F5" i="44"/>
  <c r="F5" i="50"/>
  <c r="F5" i="49"/>
  <c r="F5" i="37"/>
  <c r="F5" i="85"/>
  <c r="F5" i="91"/>
  <c r="F5" i="84"/>
  <c r="F5" i="46"/>
  <c r="F5" i="87"/>
  <c r="F5" i="57"/>
  <c r="F5" i="70"/>
  <c r="F5" i="86"/>
  <c r="F40" i="85"/>
  <c r="H6" i="70"/>
  <c r="E18" i="92"/>
  <c r="E24" i="92"/>
  <c r="C31" i="92"/>
  <c r="F37" i="92"/>
  <c r="D47" i="92"/>
  <c r="D53" i="92"/>
  <c r="G56" i="92"/>
  <c r="G62" i="92"/>
  <c r="F66" i="92"/>
  <c r="F69" i="92"/>
  <c r="F73" i="92"/>
  <c r="G76" i="92"/>
  <c r="G80" i="92"/>
  <c r="C88" i="92"/>
  <c r="G15" i="92"/>
  <c r="G21" i="92"/>
  <c r="E28" i="92"/>
  <c r="C38" i="92"/>
  <c r="F47" i="92"/>
  <c r="D60" i="92"/>
  <c r="E92" i="92"/>
  <c r="F2" i="83"/>
  <c r="F2" i="71"/>
  <c r="F2" i="43"/>
  <c r="F2" i="41"/>
  <c r="H2" i="82"/>
  <c r="H2" i="72"/>
  <c r="F2" i="79"/>
  <c r="G2" i="78"/>
  <c r="F2" i="90"/>
  <c r="F2" i="66"/>
  <c r="F2" i="65"/>
  <c r="F2" i="44"/>
  <c r="F2" i="50"/>
  <c r="F2" i="47"/>
  <c r="F2" i="64"/>
  <c r="F2" i="61"/>
  <c r="F2" i="89"/>
  <c r="F2" i="67"/>
  <c r="F2" i="42"/>
  <c r="F2" i="69"/>
  <c r="F2" i="63"/>
  <c r="F2" i="62"/>
  <c r="F2" i="49"/>
  <c r="F2" i="40"/>
  <c r="F2" i="37"/>
  <c r="F2" i="48"/>
  <c r="F2" i="84"/>
  <c r="F2" i="91"/>
  <c r="F2" i="46"/>
  <c r="F2" i="85"/>
  <c r="F2" i="87"/>
  <c r="C19" i="92"/>
  <c r="F28" i="92"/>
  <c r="G44" i="92"/>
  <c r="C71" i="92"/>
  <c r="F6" i="89"/>
  <c r="F6" i="48"/>
  <c r="F6" i="69"/>
  <c r="F6" i="63"/>
  <c r="F6" i="62"/>
  <c r="F6" i="37"/>
  <c r="F6" i="71"/>
  <c r="F6" i="83"/>
  <c r="F6" i="43"/>
  <c r="F6" i="41"/>
  <c r="F6" i="90"/>
  <c r="F6" i="66"/>
  <c r="H6" i="82"/>
  <c r="H6" i="72"/>
  <c r="F6" i="79"/>
  <c r="G6" i="78"/>
  <c r="F6" i="50"/>
  <c r="F6" i="49"/>
  <c r="F6" i="46"/>
  <c r="F6" i="85"/>
  <c r="F6" i="47"/>
  <c r="F6" i="67"/>
  <c r="F6" i="42"/>
  <c r="F6" i="64"/>
  <c r="F6" i="44"/>
  <c r="F6" i="65"/>
  <c r="F6" i="61"/>
  <c r="F6" i="40"/>
  <c r="F6" i="91"/>
  <c r="F6" i="87"/>
  <c r="F6" i="84"/>
  <c r="F6" i="86"/>
  <c r="F6" i="92"/>
  <c r="H7" i="56"/>
  <c r="F7" i="56"/>
  <c r="F6" i="70"/>
  <c r="D18" i="92"/>
  <c r="E21" i="92"/>
  <c r="C28" i="92"/>
  <c r="C34" i="92"/>
  <c r="F40" i="92"/>
  <c r="D50" i="92"/>
  <c r="G59" i="92"/>
  <c r="C84" i="92"/>
  <c r="G18" i="92"/>
  <c r="E25" i="92"/>
  <c r="E31" i="92"/>
  <c r="C35" i="92"/>
  <c r="C41" i="92"/>
  <c r="F44" i="92"/>
  <c r="F50" i="92"/>
  <c r="D54" i="92"/>
  <c r="D57" i="92"/>
  <c r="G63" i="92"/>
  <c r="C67" i="92"/>
  <c r="G70" i="92"/>
  <c r="C74" i="92"/>
  <c r="C78" i="92"/>
  <c r="D81" i="92"/>
  <c r="D85" i="92"/>
  <c r="E88" i="92"/>
  <c r="C16" i="92"/>
  <c r="F25" i="92"/>
  <c r="D35" i="92"/>
  <c r="D41" i="92"/>
  <c r="G47" i="92"/>
  <c r="E54" i="92"/>
  <c r="E60" i="92"/>
  <c r="D67" i="92"/>
  <c r="D78" i="92"/>
  <c r="E81" i="92"/>
  <c r="F88" i="92"/>
  <c r="F3" i="65"/>
  <c r="F3" i="44"/>
  <c r="F3" i="50"/>
  <c r="F3" i="49"/>
  <c r="F3" i="46"/>
  <c r="F3" i="47"/>
  <c r="F3" i="89"/>
  <c r="F3" i="67"/>
  <c r="F3" i="42"/>
  <c r="F3" i="48"/>
  <c r="F3" i="40"/>
  <c r="F3" i="69"/>
  <c r="F3" i="63"/>
  <c r="F3" i="62"/>
  <c r="F3" i="37"/>
  <c r="F3" i="83"/>
  <c r="F3" i="71"/>
  <c r="H3" i="82"/>
  <c r="H3" i="72"/>
  <c r="F3" i="79"/>
  <c r="G3" i="78"/>
  <c r="F3" i="90"/>
  <c r="F3" i="66"/>
  <c r="F3" i="43"/>
  <c r="F3" i="61"/>
  <c r="F3" i="41"/>
  <c r="F3" i="85"/>
  <c r="F3" i="64"/>
  <c r="F3" i="84"/>
  <c r="F3" i="91"/>
  <c r="F3" i="86"/>
  <c r="D16" i="92"/>
  <c r="D19" i="92"/>
  <c r="G22" i="92"/>
  <c r="G25" i="92"/>
  <c r="G28" i="92"/>
  <c r="E32" i="92"/>
  <c r="E35" i="92"/>
  <c r="E38" i="92"/>
  <c r="C42" i="92"/>
  <c r="C45" i="92"/>
  <c r="C48" i="92"/>
  <c r="F51" i="92"/>
  <c r="F54" i="92"/>
  <c r="F57" i="92"/>
  <c r="D61" i="92"/>
  <c r="D64" i="92"/>
  <c r="E67" i="92"/>
  <c r="D71" i="92"/>
  <c r="E74" i="92"/>
  <c r="E78" i="92"/>
  <c r="F81" i="92"/>
  <c r="F85" i="92"/>
  <c r="G88" i="92"/>
  <c r="G92" i="92"/>
  <c r="F3" i="57"/>
  <c r="F2" i="86"/>
  <c r="F4" i="49"/>
  <c r="F4" i="46"/>
  <c r="F4" i="47"/>
  <c r="F4" i="64"/>
  <c r="F4" i="61"/>
  <c r="F4" i="89"/>
  <c r="F4" i="67"/>
  <c r="F4" i="42"/>
  <c r="F4" i="69"/>
  <c r="F4" i="63"/>
  <c r="F4" i="62"/>
  <c r="F4" i="37"/>
  <c r="F4" i="83"/>
  <c r="F4" i="71"/>
  <c r="F4" i="43"/>
  <c r="F4" i="41"/>
  <c r="H4" i="82"/>
  <c r="H4" i="72"/>
  <c r="F4" i="79"/>
  <c r="G4" i="78"/>
  <c r="F4" i="90"/>
  <c r="F4" i="66"/>
  <c r="F4" i="50"/>
  <c r="F4" i="48"/>
  <c r="F4" i="65"/>
  <c r="F4" i="44"/>
  <c r="F4" i="40"/>
  <c r="F4" i="85"/>
  <c r="F4" i="87"/>
  <c r="F4" i="91"/>
  <c r="F4" i="84"/>
  <c r="F4" i="57"/>
  <c r="F4" i="86"/>
  <c r="H6" i="92"/>
  <c r="E16" i="92"/>
  <c r="E19" i="92"/>
  <c r="C23" i="92"/>
  <c r="C26" i="92"/>
  <c r="C29" i="92"/>
  <c r="F32" i="92"/>
  <c r="F35" i="92"/>
  <c r="F38" i="92"/>
  <c r="D42" i="92"/>
  <c r="D45" i="92"/>
  <c r="D48" i="92"/>
  <c r="G51" i="92"/>
  <c r="G54" i="92"/>
  <c r="G57" i="92"/>
  <c r="E61" i="92"/>
  <c r="E64" i="92"/>
  <c r="F67" i="92"/>
  <c r="E71" i="92"/>
  <c r="F74" i="92"/>
  <c r="F78" i="92"/>
  <c r="G81" i="92"/>
  <c r="G85" i="92"/>
  <c r="C89" i="92"/>
  <c r="C93" i="92"/>
  <c r="H49" i="40"/>
  <c r="L32" i="84"/>
  <c r="L43" i="84" s="1"/>
  <c r="L47" i="84"/>
  <c r="J44" i="84"/>
  <c r="D52" i="84"/>
  <c r="D35" i="84"/>
  <c r="N44" i="84"/>
  <c r="F32" i="37"/>
  <c r="N51" i="84"/>
  <c r="J51" i="84"/>
  <c r="N47" i="84"/>
  <c r="N32" i="84"/>
  <c r="N43" i="84" s="1"/>
  <c r="H44" i="84"/>
  <c r="H21" i="37"/>
  <c r="F21" i="37"/>
  <c r="H46" i="40"/>
  <c r="J33" i="84"/>
  <c r="F27" i="37"/>
  <c r="H41" i="40"/>
  <c r="N33" i="84"/>
  <c r="H27" i="37"/>
  <c r="D51" i="84"/>
  <c r="F17" i="37"/>
  <c r="F15" i="69"/>
  <c r="F51" i="84"/>
  <c r="H28" i="37"/>
  <c r="F21" i="49"/>
  <c r="L51" i="84"/>
  <c r="H33" i="84"/>
  <c r="H47" i="84"/>
  <c r="F24" i="37"/>
  <c r="F21" i="40"/>
  <c r="H25" i="47"/>
  <c r="H22" i="47"/>
  <c r="H19" i="47"/>
  <c r="H16" i="47"/>
  <c r="H26" i="47"/>
  <c r="H23" i="47"/>
  <c r="H20" i="47"/>
  <c r="H17" i="47"/>
  <c r="H14" i="47"/>
  <c r="F16" i="49"/>
  <c r="H24" i="37"/>
  <c r="F35" i="37"/>
  <c r="E31" i="42"/>
  <c r="F16" i="42" s="1"/>
  <c r="I17" i="69"/>
  <c r="F17" i="69"/>
  <c r="L41" i="84"/>
  <c r="E65" i="37"/>
  <c r="F23" i="37" s="1"/>
  <c r="F14" i="37"/>
  <c r="H19" i="37"/>
  <c r="F41" i="37"/>
  <c r="G65" i="37"/>
  <c r="H61" i="37" s="1"/>
  <c r="F20" i="37"/>
  <c r="P33" i="84"/>
  <c r="P52" i="84" s="1"/>
  <c r="P41" i="84"/>
  <c r="P44" i="84" s="1"/>
  <c r="J32" i="84"/>
  <c r="J43" i="84" s="1"/>
  <c r="H52" i="37"/>
  <c r="H18" i="40"/>
  <c r="H23" i="40"/>
  <c r="H28" i="40"/>
  <c r="H54" i="40"/>
  <c r="H22" i="46"/>
  <c r="H21" i="46"/>
  <c r="H27" i="47"/>
  <c r="H30" i="48"/>
  <c r="H35" i="48"/>
  <c r="H18" i="49"/>
  <c r="H22" i="50"/>
  <c r="L33" i="84"/>
  <c r="E55" i="40"/>
  <c r="F29" i="40" s="1"/>
  <c r="H29" i="40"/>
  <c r="H34" i="40"/>
  <c r="H28" i="42"/>
  <c r="H25" i="42"/>
  <c r="H22" i="42"/>
  <c r="H19" i="42"/>
  <c r="H16" i="42"/>
  <c r="H30" i="42"/>
  <c r="H27" i="42"/>
  <c r="H24" i="42"/>
  <c r="H21" i="42"/>
  <c r="H31" i="42" s="1"/>
  <c r="H18" i="42"/>
  <c r="H15" i="42"/>
  <c r="H29" i="42"/>
  <c r="F26" i="48"/>
  <c r="H36" i="48"/>
  <c r="H28" i="50"/>
  <c r="H39" i="37"/>
  <c r="G55" i="40"/>
  <c r="C32" i="70" s="1"/>
  <c r="H14" i="40"/>
  <c r="H19" i="40"/>
  <c r="H45" i="40"/>
  <c r="H50" i="40"/>
  <c r="H18" i="47"/>
  <c r="H21" i="48"/>
  <c r="H26" i="48"/>
  <c r="H31" i="48"/>
  <c r="E42" i="48"/>
  <c r="F27" i="48" s="1"/>
  <c r="F15" i="40"/>
  <c r="F20" i="40"/>
  <c r="H30" i="40"/>
  <c r="H35" i="40"/>
  <c r="H40" i="40"/>
  <c r="F15" i="42"/>
  <c r="E16" i="46"/>
  <c r="F14" i="46" s="1"/>
  <c r="F25" i="47"/>
  <c r="F22" i="47"/>
  <c r="F19" i="47"/>
  <c r="F16" i="47"/>
  <c r="F27" i="47"/>
  <c r="F24" i="47"/>
  <c r="F21" i="47"/>
  <c r="F18" i="47"/>
  <c r="F15" i="47"/>
  <c r="H16" i="48"/>
  <c r="F15" i="49"/>
  <c r="F20" i="49"/>
  <c r="F27" i="50"/>
  <c r="F24" i="50"/>
  <c r="F21" i="50"/>
  <c r="F18" i="50"/>
  <c r="F29" i="50"/>
  <c r="F26" i="50"/>
  <c r="F28" i="50"/>
  <c r="F25" i="50"/>
  <c r="F22" i="50"/>
  <c r="F19" i="50"/>
  <c r="F16" i="50"/>
  <c r="H15" i="40"/>
  <c r="H20" i="40"/>
  <c r="H25" i="40"/>
  <c r="H51" i="40"/>
  <c r="G14" i="41"/>
  <c r="H20" i="42"/>
  <c r="F14" i="47"/>
  <c r="H24" i="47"/>
  <c r="H27" i="48"/>
  <c r="H32" i="48"/>
  <c r="H37" i="48"/>
  <c r="G30" i="50"/>
  <c r="H19" i="50" s="1"/>
  <c r="H24" i="50"/>
  <c r="H21" i="40"/>
  <c r="H26" i="40"/>
  <c r="H31" i="40"/>
  <c r="G16" i="44"/>
  <c r="H15" i="44" s="1"/>
  <c r="H15" i="46"/>
  <c r="H14" i="46"/>
  <c r="F20" i="47"/>
  <c r="H33" i="48"/>
  <c r="H25" i="50"/>
  <c r="E18" i="69"/>
  <c r="F16" i="37"/>
  <c r="H16" i="40"/>
  <c r="F27" i="40"/>
  <c r="F32" i="40"/>
  <c r="H42" i="40"/>
  <c r="H47" i="40"/>
  <c r="H52" i="40"/>
  <c r="E17" i="41"/>
  <c r="H16" i="41"/>
  <c r="F16" i="41"/>
  <c r="G16" i="41" s="1"/>
  <c r="F22" i="42"/>
  <c r="F15" i="44"/>
  <c r="F14" i="44"/>
  <c r="H15" i="47"/>
  <c r="H18" i="48"/>
  <c r="H23" i="48"/>
  <c r="H28" i="48"/>
  <c r="H15" i="50"/>
  <c r="F47" i="84"/>
  <c r="H30" i="37"/>
  <c r="H27" i="40"/>
  <c r="H32" i="40"/>
  <c r="H37" i="40"/>
  <c r="E16" i="43"/>
  <c r="F15" i="43" s="1"/>
  <c r="E23" i="46"/>
  <c r="F21" i="46" s="1"/>
  <c r="F26" i="47"/>
  <c r="F24" i="48"/>
  <c r="H39" i="48"/>
  <c r="F17" i="49"/>
  <c r="H27" i="49"/>
  <c r="E14" i="69"/>
  <c r="E21" i="69" s="1"/>
  <c r="H17" i="40"/>
  <c r="H22" i="40"/>
  <c r="H48" i="40"/>
  <c r="H53" i="40"/>
  <c r="F28" i="42"/>
  <c r="H16" i="43"/>
  <c r="H21" i="47"/>
  <c r="H24" i="48"/>
  <c r="H29" i="48"/>
  <c r="H34" i="48"/>
  <c r="H16" i="50"/>
  <c r="H21" i="50"/>
  <c r="E19" i="69"/>
  <c r="F18" i="40"/>
  <c r="H33" i="40"/>
  <c r="H38" i="40"/>
  <c r="H43" i="40"/>
  <c r="F54" i="40"/>
  <c r="H40" i="48"/>
  <c r="H41" i="48"/>
  <c r="H38" i="48"/>
  <c r="H19" i="48"/>
  <c r="F30" i="48"/>
  <c r="F18" i="49"/>
  <c r="F23" i="49"/>
  <c r="F19" i="69"/>
  <c r="H15" i="41"/>
  <c r="H14" i="48"/>
  <c r="E29" i="49"/>
  <c r="F33" i="84"/>
  <c r="F52" i="84" s="1"/>
  <c r="G29" i="49"/>
  <c r="H24" i="49" s="1"/>
  <c r="F14" i="50"/>
  <c r="H21" i="69"/>
  <c r="I15" i="69" s="1"/>
  <c r="F17" i="70" l="1"/>
  <c r="F34" i="70"/>
  <c r="J35" i="84"/>
  <c r="I19" i="69"/>
  <c r="F21" i="48"/>
  <c r="F35" i="48"/>
  <c r="F23" i="40"/>
  <c r="F29" i="48"/>
  <c r="H48" i="37"/>
  <c r="F42" i="40"/>
  <c r="H18" i="37"/>
  <c r="H14" i="49"/>
  <c r="F15" i="48"/>
  <c r="H46" i="37"/>
  <c r="H33" i="37"/>
  <c r="F19" i="42"/>
  <c r="F28" i="47"/>
  <c r="H101" i="86"/>
  <c r="F100" i="86"/>
  <c r="D99" i="86"/>
  <c r="L97" i="86"/>
  <c r="J96" i="86"/>
  <c r="H95" i="86"/>
  <c r="F94" i="86"/>
  <c r="D93" i="86"/>
  <c r="L91" i="86"/>
  <c r="J90" i="86"/>
  <c r="H89" i="86"/>
  <c r="F88" i="86"/>
  <c r="D87" i="86"/>
  <c r="L85" i="86"/>
  <c r="J84" i="86"/>
  <c r="D101" i="86"/>
  <c r="L99" i="86"/>
  <c r="J98" i="86"/>
  <c r="H97" i="86"/>
  <c r="F96" i="86"/>
  <c r="D95" i="86"/>
  <c r="L93" i="86"/>
  <c r="J92" i="86"/>
  <c r="H91" i="86"/>
  <c r="F90" i="86"/>
  <c r="D89" i="86"/>
  <c r="L87" i="86"/>
  <c r="J86" i="86"/>
  <c r="H85" i="86"/>
  <c r="F84" i="86"/>
  <c r="D83" i="86"/>
  <c r="L81" i="86"/>
  <c r="F78" i="86"/>
  <c r="K78" i="86" s="1"/>
  <c r="D77" i="86"/>
  <c r="F72" i="86"/>
  <c r="K72" i="86" s="1"/>
  <c r="D71" i="86"/>
  <c r="F66" i="86"/>
  <c r="D65" i="86"/>
  <c r="L63" i="86"/>
  <c r="F60" i="86"/>
  <c r="K60" i="86" s="1"/>
  <c r="D59" i="86"/>
  <c r="F54" i="86"/>
  <c r="D53" i="86"/>
  <c r="I53" i="86" s="1"/>
  <c r="F48" i="86"/>
  <c r="D47" i="86"/>
  <c r="K101" i="86"/>
  <c r="G100" i="86"/>
  <c r="L98" i="86"/>
  <c r="G97" i="86"/>
  <c r="C96" i="86"/>
  <c r="I94" i="86"/>
  <c r="E93" i="86"/>
  <c r="J91" i="86"/>
  <c r="E90" i="86"/>
  <c r="K88" i="86"/>
  <c r="G87" i="86"/>
  <c r="C86" i="86"/>
  <c r="H84" i="86"/>
  <c r="E83" i="86"/>
  <c r="K81" i="86"/>
  <c r="E79" i="86"/>
  <c r="F75" i="86"/>
  <c r="C74" i="86"/>
  <c r="H74" i="86" s="1"/>
  <c r="G71" i="86"/>
  <c r="D70" i="86"/>
  <c r="G67" i="86"/>
  <c r="L67" i="86" s="1"/>
  <c r="D66" i="86"/>
  <c r="E62" i="86"/>
  <c r="J62" i="86" s="1"/>
  <c r="F58" i="86"/>
  <c r="K58" i="86" s="1"/>
  <c r="C57" i="86"/>
  <c r="G54" i="86"/>
  <c r="C53" i="86"/>
  <c r="J51" i="86"/>
  <c r="G50" i="86"/>
  <c r="D49" i="86"/>
  <c r="E45" i="86"/>
  <c r="C44" i="86"/>
  <c r="K42" i="86"/>
  <c r="G40" i="86"/>
  <c r="E39" i="86"/>
  <c r="C38" i="86"/>
  <c r="K36" i="86"/>
  <c r="G34" i="86"/>
  <c r="E33" i="86"/>
  <c r="C32" i="86"/>
  <c r="I32" i="86" s="1"/>
  <c r="G28" i="86"/>
  <c r="L28" i="86" s="1"/>
  <c r="E27" i="86"/>
  <c r="C26" i="86"/>
  <c r="J101" i="86"/>
  <c r="E100" i="86"/>
  <c r="K98" i="86"/>
  <c r="F97" i="86"/>
  <c r="L95" i="86"/>
  <c r="H94" i="86"/>
  <c r="C93" i="86"/>
  <c r="I91" i="86"/>
  <c r="D90" i="86"/>
  <c r="J88" i="86"/>
  <c r="F87" i="86"/>
  <c r="K85" i="86"/>
  <c r="G84" i="86"/>
  <c r="C83" i="86"/>
  <c r="J81" i="86"/>
  <c r="G80" i="86"/>
  <c r="D79" i="86"/>
  <c r="I79" i="86" s="1"/>
  <c r="E75" i="86"/>
  <c r="J75" i="86" s="1"/>
  <c r="F71" i="86"/>
  <c r="C70" i="86"/>
  <c r="F67" i="86"/>
  <c r="C66" i="86"/>
  <c r="G63" i="86"/>
  <c r="D62" i="86"/>
  <c r="H59" i="86"/>
  <c r="E58" i="86"/>
  <c r="E54" i="86"/>
  <c r="F50" i="86"/>
  <c r="C49" i="86"/>
  <c r="J47" i="86"/>
  <c r="G46" i="86"/>
  <c r="D45" i="86"/>
  <c r="L43" i="86"/>
  <c r="F40" i="86"/>
  <c r="D39" i="86"/>
  <c r="F34" i="86"/>
  <c r="D33" i="86"/>
  <c r="H33" i="86" s="1"/>
  <c r="F28" i="86"/>
  <c r="D27" i="86"/>
  <c r="F22" i="86"/>
  <c r="I101" i="86"/>
  <c r="D100" i="86"/>
  <c r="I98" i="86"/>
  <c r="E97" i="86"/>
  <c r="K95" i="86"/>
  <c r="G94" i="86"/>
  <c r="L92" i="86"/>
  <c r="G91" i="86"/>
  <c r="C90" i="86"/>
  <c r="I88" i="86"/>
  <c r="E87" i="86"/>
  <c r="J85" i="86"/>
  <c r="E84" i="86"/>
  <c r="L82" i="86"/>
  <c r="I81" i="86"/>
  <c r="F80" i="86"/>
  <c r="C79" i="86"/>
  <c r="H79" i="86" s="1"/>
  <c r="J77" i="86"/>
  <c r="G76" i="86"/>
  <c r="D75" i="86"/>
  <c r="E71" i="86"/>
  <c r="J71" i="86" s="1"/>
  <c r="E67" i="86"/>
  <c r="L65" i="86"/>
  <c r="F63" i="86"/>
  <c r="C62" i="86"/>
  <c r="I62" i="86" s="1"/>
  <c r="G59" i="86"/>
  <c r="D58" i="86"/>
  <c r="G55" i="86"/>
  <c r="L55" i="86" s="1"/>
  <c r="D54" i="86"/>
  <c r="E50" i="86"/>
  <c r="J50" i="86" s="1"/>
  <c r="F46" i="86"/>
  <c r="C45" i="86"/>
  <c r="G41" i="86"/>
  <c r="E40" i="86"/>
  <c r="J40" i="86" s="1"/>
  <c r="C39" i="86"/>
  <c r="G35" i="86"/>
  <c r="E34" i="86"/>
  <c r="C33" i="86"/>
  <c r="K31" i="86"/>
  <c r="G29" i="86"/>
  <c r="E28" i="86"/>
  <c r="J28" i="86" s="1"/>
  <c r="C27" i="86"/>
  <c r="K25" i="86"/>
  <c r="G23" i="86"/>
  <c r="E22" i="86"/>
  <c r="G101" i="86"/>
  <c r="C100" i="86"/>
  <c r="H98" i="86"/>
  <c r="D97" i="86"/>
  <c r="J95" i="86"/>
  <c r="E94" i="86"/>
  <c r="K92" i="86"/>
  <c r="F91" i="86"/>
  <c r="L89" i="86"/>
  <c r="H88" i="86"/>
  <c r="C87" i="86"/>
  <c r="I85" i="86"/>
  <c r="D84" i="86"/>
  <c r="K82" i="86"/>
  <c r="H81" i="86"/>
  <c r="E80" i="86"/>
  <c r="J80" i="86" s="1"/>
  <c r="F76" i="86"/>
  <c r="C75" i="86"/>
  <c r="J73" i="86"/>
  <c r="G72" i="86"/>
  <c r="C71" i="86"/>
  <c r="G68" i="86"/>
  <c r="L68" i="86" s="1"/>
  <c r="D67" i="86"/>
  <c r="F101" i="86"/>
  <c r="K99" i="86"/>
  <c r="G98" i="86"/>
  <c r="C97" i="86"/>
  <c r="I95" i="86"/>
  <c r="D94" i="86"/>
  <c r="I92" i="86"/>
  <c r="E91" i="86"/>
  <c r="K89" i="86"/>
  <c r="G88" i="86"/>
  <c r="L86" i="86"/>
  <c r="G85" i="86"/>
  <c r="C84" i="86"/>
  <c r="J82" i="86"/>
  <c r="G81" i="86"/>
  <c r="D80" i="86"/>
  <c r="E76" i="86"/>
  <c r="I73" i="86"/>
  <c r="E72" i="86"/>
  <c r="J72" i="86" s="1"/>
  <c r="I69" i="86"/>
  <c r="C101" i="86"/>
  <c r="I99" i="86"/>
  <c r="E98" i="86"/>
  <c r="K96" i="86"/>
  <c r="F95" i="86"/>
  <c r="K93" i="86"/>
  <c r="G92" i="86"/>
  <c r="C91" i="86"/>
  <c r="I89" i="86"/>
  <c r="D88" i="86"/>
  <c r="I86" i="86"/>
  <c r="E85" i="86"/>
  <c r="K83" i="86"/>
  <c r="H82" i="86"/>
  <c r="E81" i="86"/>
  <c r="F77" i="86"/>
  <c r="K77" i="86" s="1"/>
  <c r="C76" i="86"/>
  <c r="H76" i="86" s="1"/>
  <c r="F73" i="86"/>
  <c r="K73" i="86" s="1"/>
  <c r="C72" i="86"/>
  <c r="H72" i="86" s="1"/>
  <c r="J100" i="86"/>
  <c r="L101" i="86"/>
  <c r="H100" i="86"/>
  <c r="C99" i="86"/>
  <c r="I97" i="86"/>
  <c r="D96" i="86"/>
  <c r="J94" i="86"/>
  <c r="F93" i="86"/>
  <c r="K91" i="86"/>
  <c r="G90" i="86"/>
  <c r="L88" i="86"/>
  <c r="H87" i="86"/>
  <c r="D86" i="86"/>
  <c r="I84" i="86"/>
  <c r="F83" i="86"/>
  <c r="C82" i="86"/>
  <c r="F79" i="86"/>
  <c r="K79" i="86" s="1"/>
  <c r="C78" i="86"/>
  <c r="J76" i="86"/>
  <c r="G75" i="86"/>
  <c r="L75" i="86" s="1"/>
  <c r="D74" i="86"/>
  <c r="I74" i="86" s="1"/>
  <c r="F99" i="86"/>
  <c r="G95" i="86"/>
  <c r="E92" i="86"/>
  <c r="C89" i="86"/>
  <c r="D85" i="86"/>
  <c r="E82" i="86"/>
  <c r="L72" i="86"/>
  <c r="F70" i="86"/>
  <c r="C68" i="86"/>
  <c r="H68" i="86" s="1"/>
  <c r="E66" i="86"/>
  <c r="H66" i="86" s="1"/>
  <c r="D64" i="86"/>
  <c r="I64" i="86" s="1"/>
  <c r="G62" i="86"/>
  <c r="H60" i="86"/>
  <c r="E57" i="86"/>
  <c r="E55" i="86"/>
  <c r="J55" i="86" s="1"/>
  <c r="C52" i="86"/>
  <c r="H52" i="86" s="1"/>
  <c r="C50" i="86"/>
  <c r="G48" i="86"/>
  <c r="L48" i="86" s="1"/>
  <c r="K44" i="86"/>
  <c r="F43" i="86"/>
  <c r="K43" i="86" s="1"/>
  <c r="C40" i="86"/>
  <c r="H40" i="86" s="1"/>
  <c r="C37" i="86"/>
  <c r="E35" i="86"/>
  <c r="J33" i="86"/>
  <c r="E32" i="86"/>
  <c r="G30" i="86"/>
  <c r="L30" i="86" s="1"/>
  <c r="G27" i="86"/>
  <c r="I25" i="86"/>
  <c r="D24" i="86"/>
  <c r="I24" i="86" s="1"/>
  <c r="E99" i="86"/>
  <c r="E95" i="86"/>
  <c r="D92" i="86"/>
  <c r="E88" i="86"/>
  <c r="C85" i="86"/>
  <c r="D82" i="86"/>
  <c r="I75" i="86"/>
  <c r="E70" i="86"/>
  <c r="J70" i="86" s="1"/>
  <c r="C64" i="86"/>
  <c r="H64" i="86" s="1"/>
  <c r="F62" i="86"/>
  <c r="G60" i="86"/>
  <c r="L60" i="86" s="1"/>
  <c r="D57" i="86"/>
  <c r="D55" i="86"/>
  <c r="I55" i="86" s="1"/>
  <c r="E48" i="86"/>
  <c r="H48" i="86" s="1"/>
  <c r="I46" i="86"/>
  <c r="E43" i="86"/>
  <c r="H43" i="86" s="1"/>
  <c r="G38" i="86"/>
  <c r="D35" i="86"/>
  <c r="I35" i="86" s="1"/>
  <c r="I33" i="86"/>
  <c r="D32" i="86"/>
  <c r="F30" i="86"/>
  <c r="K30" i="86" s="1"/>
  <c r="K28" i="86"/>
  <c r="F27" i="86"/>
  <c r="C24" i="86"/>
  <c r="L24" i="86" s="1"/>
  <c r="F98" i="86"/>
  <c r="C95" i="86"/>
  <c r="C92" i="86"/>
  <c r="C88" i="86"/>
  <c r="L84" i="86"/>
  <c r="F81" i="86"/>
  <c r="G78" i="86"/>
  <c r="L78" i="86" s="1"/>
  <c r="H75" i="86"/>
  <c r="D72" i="86"/>
  <c r="I72" i="86" s="1"/>
  <c r="K67" i="86"/>
  <c r="E60" i="86"/>
  <c r="J60" i="86" s="1"/>
  <c r="I56" i="86"/>
  <c r="C55" i="86"/>
  <c r="H55" i="86" s="1"/>
  <c r="G53" i="86"/>
  <c r="G51" i="86"/>
  <c r="L51" i="86" s="1"/>
  <c r="D48" i="86"/>
  <c r="E46" i="86"/>
  <c r="J46" i="86" s="1"/>
  <c r="D43" i="86"/>
  <c r="F41" i="86"/>
  <c r="K41" i="86" s="1"/>
  <c r="F38" i="86"/>
  <c r="C35" i="86"/>
  <c r="H35" i="86" s="1"/>
  <c r="J31" i="86"/>
  <c r="E30" i="86"/>
  <c r="J30" i="86" s="1"/>
  <c r="L26" i="86"/>
  <c r="G25" i="86"/>
  <c r="G22" i="86"/>
  <c r="D98" i="86"/>
  <c r="L94" i="86"/>
  <c r="D91" i="86"/>
  <c r="K87" i="86"/>
  <c r="K84" i="86"/>
  <c r="D81" i="86"/>
  <c r="E78" i="86"/>
  <c r="J78" i="86" s="1"/>
  <c r="L71" i="86"/>
  <c r="G69" i="86"/>
  <c r="L69" i="86" s="1"/>
  <c r="K61" i="86"/>
  <c r="D60" i="86"/>
  <c r="L54" i="86"/>
  <c r="F53" i="86"/>
  <c r="F51" i="86"/>
  <c r="K51" i="86" s="1"/>
  <c r="C48" i="86"/>
  <c r="D46" i="86"/>
  <c r="C43" i="86"/>
  <c r="E41" i="86"/>
  <c r="J41" i="86" s="1"/>
  <c r="J39" i="86"/>
  <c r="E38" i="86"/>
  <c r="G36" i="86"/>
  <c r="L36" i="86" s="1"/>
  <c r="L34" i="86"/>
  <c r="G33" i="86"/>
  <c r="D30" i="86"/>
  <c r="I30" i="86" s="1"/>
  <c r="F25" i="86"/>
  <c r="D22" i="86"/>
  <c r="I22" i="86" s="1"/>
  <c r="C98" i="86"/>
  <c r="K94" i="86"/>
  <c r="L90" i="86"/>
  <c r="J87" i="86"/>
  <c r="L83" i="86"/>
  <c r="C81" i="86"/>
  <c r="D78" i="86"/>
  <c r="I78" i="86" s="1"/>
  <c r="K71" i="86"/>
  <c r="F69" i="86"/>
  <c r="K69" i="86" s="1"/>
  <c r="G65" i="86"/>
  <c r="C60" i="86"/>
  <c r="G58" i="86"/>
  <c r="L58" i="86" s="1"/>
  <c r="G56" i="86"/>
  <c r="L56" i="86" s="1"/>
  <c r="E53" i="86"/>
  <c r="J53" i="86" s="1"/>
  <c r="E51" i="86"/>
  <c r="I49" i="86"/>
  <c r="C46" i="86"/>
  <c r="G44" i="86"/>
  <c r="L44" i="86" s="1"/>
  <c r="D41" i="86"/>
  <c r="I41" i="86" s="1"/>
  <c r="I39" i="86"/>
  <c r="D38" i="86"/>
  <c r="H38" i="86" s="1"/>
  <c r="F36" i="86"/>
  <c r="F33" i="86"/>
  <c r="C30" i="86"/>
  <c r="E25" i="86"/>
  <c r="J25" i="86" s="1"/>
  <c r="C22" i="86"/>
  <c r="H22" i="86" s="1"/>
  <c r="L100" i="86"/>
  <c r="J97" i="86"/>
  <c r="J93" i="86"/>
  <c r="I90" i="86"/>
  <c r="K86" i="86"/>
  <c r="I83" i="86"/>
  <c r="E77" i="86"/>
  <c r="F74" i="86"/>
  <c r="K74" i="86" s="1"/>
  <c r="I71" i="86"/>
  <c r="D69" i="86"/>
  <c r="E65" i="86"/>
  <c r="J65" i="86" s="1"/>
  <c r="D63" i="86"/>
  <c r="I63" i="86" s="1"/>
  <c r="G61" i="86"/>
  <c r="L61" i="86" s="1"/>
  <c r="K57" i="86"/>
  <c r="E56" i="86"/>
  <c r="J56" i="86" s="1"/>
  <c r="C51" i="86"/>
  <c r="H51" i="86" s="1"/>
  <c r="F49" i="86"/>
  <c r="K49" i="86" s="1"/>
  <c r="G47" i="86"/>
  <c r="L47" i="86" s="1"/>
  <c r="J45" i="86"/>
  <c r="E44" i="86"/>
  <c r="J44" i="86" s="1"/>
  <c r="G42" i="86"/>
  <c r="L42" i="86" s="1"/>
  <c r="G39" i="86"/>
  <c r="L39" i="86" s="1"/>
  <c r="I37" i="86"/>
  <c r="D36" i="86"/>
  <c r="I36" i="86" s="1"/>
  <c r="F31" i="86"/>
  <c r="K29" i="86"/>
  <c r="C28" i="86"/>
  <c r="H28" i="86" s="1"/>
  <c r="C25" i="86"/>
  <c r="H25" i="86" s="1"/>
  <c r="E23" i="86"/>
  <c r="J23" i="86" s="1"/>
  <c r="E101" i="86"/>
  <c r="C94" i="86"/>
  <c r="I87" i="86"/>
  <c r="G74" i="86"/>
  <c r="L74" i="86" s="1"/>
  <c r="E69" i="86"/>
  <c r="J69" i="86" s="1"/>
  <c r="F65" i="86"/>
  <c r="K65" i="86" s="1"/>
  <c r="I61" i="86"/>
  <c r="C58" i="86"/>
  <c r="H58" i="86" s="1"/>
  <c r="D51" i="86"/>
  <c r="I51" i="86" s="1"/>
  <c r="H47" i="86"/>
  <c r="F44" i="86"/>
  <c r="C41" i="86"/>
  <c r="H41" i="86" s="1"/>
  <c r="J37" i="86"/>
  <c r="G31" i="86"/>
  <c r="L31" i="86" s="1"/>
  <c r="D28" i="86"/>
  <c r="I28" i="86" s="1"/>
  <c r="D25" i="86"/>
  <c r="J57" i="86"/>
  <c r="L27" i="86"/>
  <c r="H93" i="86"/>
  <c r="E61" i="86"/>
  <c r="J61" i="86" s="1"/>
  <c r="K50" i="86"/>
  <c r="D34" i="86"/>
  <c r="I34" i="86" s="1"/>
  <c r="D31" i="86"/>
  <c r="I31" i="86" s="1"/>
  <c r="E64" i="86"/>
  <c r="J64" i="86" s="1"/>
  <c r="F57" i="86"/>
  <c r="D50" i="86"/>
  <c r="I50" i="86" s="1"/>
  <c r="K46" i="86"/>
  <c r="D40" i="86"/>
  <c r="I40" i="86" s="1"/>
  <c r="D37" i="86"/>
  <c r="K33" i="86"/>
  <c r="H27" i="86"/>
  <c r="E24" i="86"/>
  <c r="J24" i="86" s="1"/>
  <c r="K70" i="86"/>
  <c r="G52" i="86"/>
  <c r="H45" i="86"/>
  <c r="L38" i="86"/>
  <c r="C23" i="86"/>
  <c r="L23" i="86" s="1"/>
  <c r="G96" i="86"/>
  <c r="G82" i="86"/>
  <c r="D76" i="86"/>
  <c r="I76" i="86" s="1"/>
  <c r="H70" i="86"/>
  <c r="C59" i="86"/>
  <c r="I59" i="86" s="1"/>
  <c r="K55" i="86"/>
  <c r="I48" i="86"/>
  <c r="C42" i="86"/>
  <c r="H42" i="86" s="1"/>
  <c r="J35" i="86"/>
  <c r="D29" i="86"/>
  <c r="I29" i="86" s="1"/>
  <c r="K22" i="86"/>
  <c r="K100" i="86"/>
  <c r="I93" i="86"/>
  <c r="H86" i="86"/>
  <c r="C80" i="86"/>
  <c r="H80" i="86" s="1"/>
  <c r="E74" i="86"/>
  <c r="J74" i="86" s="1"/>
  <c r="C69" i="86"/>
  <c r="H69" i="86" s="1"/>
  <c r="C65" i="86"/>
  <c r="I65" i="86" s="1"/>
  <c r="F61" i="86"/>
  <c r="H54" i="86"/>
  <c r="L50" i="86"/>
  <c r="F47" i="86"/>
  <c r="K47" i="86" s="1"/>
  <c r="D44" i="86"/>
  <c r="I44" i="86" s="1"/>
  <c r="E31" i="86"/>
  <c r="F85" i="86"/>
  <c r="I100" i="86"/>
  <c r="G86" i="86"/>
  <c r="G73" i="86"/>
  <c r="L73" i="86" s="1"/>
  <c r="I57" i="86"/>
  <c r="C54" i="86"/>
  <c r="J54" i="86" s="1"/>
  <c r="E47" i="86"/>
  <c r="G37" i="86"/>
  <c r="L37" i="86" s="1"/>
  <c r="K27" i="86"/>
  <c r="F92" i="86"/>
  <c r="J99" i="86"/>
  <c r="G93" i="86"/>
  <c r="F86" i="86"/>
  <c r="J79" i="86"/>
  <c r="E73" i="86"/>
  <c r="F68" i="86"/>
  <c r="K68" i="86" s="1"/>
  <c r="G64" i="86"/>
  <c r="L64" i="86" s="1"/>
  <c r="D61" i="86"/>
  <c r="L53" i="86"/>
  <c r="C47" i="86"/>
  <c r="I47" i="86" s="1"/>
  <c r="I43" i="86"/>
  <c r="F37" i="86"/>
  <c r="K37" i="86" s="1"/>
  <c r="C34" i="86"/>
  <c r="H34" i="86" s="1"/>
  <c r="C31" i="86"/>
  <c r="H31" i="86" s="1"/>
  <c r="J27" i="86"/>
  <c r="G24" i="86"/>
  <c r="H99" i="86"/>
  <c r="H92" i="86"/>
  <c r="E86" i="86"/>
  <c r="D73" i="86"/>
  <c r="E68" i="86"/>
  <c r="J68" i="86" s="1"/>
  <c r="F64" i="86"/>
  <c r="K64" i="86" s="1"/>
  <c r="C61" i="86"/>
  <c r="H61" i="86" s="1"/>
  <c r="G57" i="86"/>
  <c r="H57" i="86" s="1"/>
  <c r="K53" i="86"/>
  <c r="H50" i="86"/>
  <c r="L46" i="86"/>
  <c r="E37" i="86"/>
  <c r="H37" i="86" s="1"/>
  <c r="L33" i="86"/>
  <c r="I27" i="86"/>
  <c r="F24" i="86"/>
  <c r="K24" i="86" s="1"/>
  <c r="G99" i="86"/>
  <c r="G79" i="86"/>
  <c r="L79" i="86" s="1"/>
  <c r="C73" i="86"/>
  <c r="H73" i="86" s="1"/>
  <c r="D68" i="86"/>
  <c r="I68" i="86" s="1"/>
  <c r="I60" i="86"/>
  <c r="G43" i="86"/>
  <c r="H30" i="86"/>
  <c r="K97" i="86"/>
  <c r="K90" i="86"/>
  <c r="J83" i="86"/>
  <c r="G77" i="86"/>
  <c r="C67" i="86"/>
  <c r="H67" i="86" s="1"/>
  <c r="E63" i="86"/>
  <c r="J63" i="86" s="1"/>
  <c r="L59" i="86"/>
  <c r="F56" i="86"/>
  <c r="K56" i="86" s="1"/>
  <c r="G49" i="86"/>
  <c r="L49" i="86" s="1"/>
  <c r="K45" i="86"/>
  <c r="E36" i="86"/>
  <c r="J36" i="86" s="1"/>
  <c r="I26" i="86"/>
  <c r="F23" i="86"/>
  <c r="K23" i="86" s="1"/>
  <c r="F26" i="86"/>
  <c r="K26" i="86" s="1"/>
  <c r="F89" i="86"/>
  <c r="E52" i="86"/>
  <c r="J52" i="86" s="1"/>
  <c r="F45" i="86"/>
  <c r="J38" i="86"/>
  <c r="G32" i="86"/>
  <c r="L32" i="86" s="1"/>
  <c r="D26" i="86"/>
  <c r="H26" i="86" s="1"/>
  <c r="L96" i="86"/>
  <c r="H90" i="86"/>
  <c r="H83" i="86"/>
  <c r="C77" i="86"/>
  <c r="L77" i="86" s="1"/>
  <c r="H71" i="86"/>
  <c r="K66" i="86"/>
  <c r="C63" i="86"/>
  <c r="H63" i="86" s="1"/>
  <c r="J59" i="86"/>
  <c r="D56" i="86"/>
  <c r="E49" i="86"/>
  <c r="H49" i="86" s="1"/>
  <c r="I45" i="86"/>
  <c r="F42" i="86"/>
  <c r="F39" i="86"/>
  <c r="H39" i="86" s="1"/>
  <c r="C36" i="86"/>
  <c r="J32" i="86"/>
  <c r="G26" i="86"/>
  <c r="D23" i="86"/>
  <c r="I23" i="86" s="1"/>
  <c r="I96" i="86"/>
  <c r="J89" i="86"/>
  <c r="G83" i="86"/>
  <c r="L76" i="86"/>
  <c r="F59" i="86"/>
  <c r="K59" i="86" s="1"/>
  <c r="C56" i="86"/>
  <c r="H56" i="86" s="1"/>
  <c r="K48" i="86"/>
  <c r="E42" i="86"/>
  <c r="J42" i="86" s="1"/>
  <c r="L35" i="86"/>
  <c r="F29" i="86"/>
  <c r="H96" i="86"/>
  <c r="G89" i="86"/>
  <c r="I82" i="86"/>
  <c r="K76" i="86"/>
  <c r="I70" i="86"/>
  <c r="I66" i="86"/>
  <c r="E59" i="86"/>
  <c r="F52" i="86"/>
  <c r="K52" i="86" s="1"/>
  <c r="J48" i="86"/>
  <c r="G45" i="86"/>
  <c r="L45" i="86" s="1"/>
  <c r="D42" i="86"/>
  <c r="I42" i="86" s="1"/>
  <c r="K38" i="86"/>
  <c r="E29" i="86"/>
  <c r="H29" i="86" s="1"/>
  <c r="E26" i="86"/>
  <c r="J26" i="86" s="1"/>
  <c r="L22" i="86"/>
  <c r="E96" i="86"/>
  <c r="E89" i="86"/>
  <c r="F82" i="86"/>
  <c r="K75" i="86"/>
  <c r="G70" i="86"/>
  <c r="L70" i="86" s="1"/>
  <c r="G66" i="86"/>
  <c r="L66" i="86" s="1"/>
  <c r="H62" i="86"/>
  <c r="F55" i="86"/>
  <c r="D52" i="86"/>
  <c r="I52" i="86" s="1"/>
  <c r="L41" i="86"/>
  <c r="F35" i="86"/>
  <c r="K35" i="86" s="1"/>
  <c r="F32" i="86"/>
  <c r="K32" i="86" s="1"/>
  <c r="C29" i="86"/>
  <c r="L29" i="86" s="1"/>
  <c r="J22" i="86"/>
  <c r="F30" i="50"/>
  <c r="H21" i="49"/>
  <c r="F32" i="48"/>
  <c r="H24" i="40"/>
  <c r="H23" i="46"/>
  <c r="F30" i="37"/>
  <c r="F19" i="37"/>
  <c r="H45" i="37"/>
  <c r="H16" i="37"/>
  <c r="H15" i="37"/>
  <c r="C33" i="84"/>
  <c r="J34" i="84" s="1"/>
  <c r="J52" i="84"/>
  <c r="H34" i="37"/>
  <c r="N35" i="84"/>
  <c r="H28" i="47"/>
  <c r="F40" i="48"/>
  <c r="F19" i="48"/>
  <c r="F34" i="48"/>
  <c r="F28" i="48"/>
  <c r="F22" i="48"/>
  <c r="F37" i="48"/>
  <c r="F16" i="48"/>
  <c r="F31" i="48"/>
  <c r="F25" i="48"/>
  <c r="E59" i="40"/>
  <c r="F28" i="40"/>
  <c r="F43" i="40"/>
  <c r="F22" i="40"/>
  <c r="F37" i="40"/>
  <c r="F52" i="40"/>
  <c r="F16" i="40"/>
  <c r="F46" i="40"/>
  <c r="F25" i="40"/>
  <c r="F40" i="40"/>
  <c r="F19" i="40"/>
  <c r="F49" i="40"/>
  <c r="F34" i="40"/>
  <c r="F31" i="40"/>
  <c r="E18" i="41"/>
  <c r="H17" i="41"/>
  <c r="F17" i="41"/>
  <c r="F51" i="40"/>
  <c r="P35" i="84"/>
  <c r="K99" i="91"/>
  <c r="H98" i="91"/>
  <c r="E97" i="91"/>
  <c r="K95" i="91"/>
  <c r="E99" i="91"/>
  <c r="J97" i="91"/>
  <c r="F96" i="91"/>
  <c r="K94" i="91"/>
  <c r="H93" i="91"/>
  <c r="E92" i="91"/>
  <c r="K90" i="91"/>
  <c r="G98" i="91"/>
  <c r="C97" i="91"/>
  <c r="H95" i="91"/>
  <c r="E94" i="91"/>
  <c r="K92" i="91"/>
  <c r="H91" i="91"/>
  <c r="E90" i="91"/>
  <c r="K88" i="91"/>
  <c r="H87" i="91"/>
  <c r="E86" i="91"/>
  <c r="K84" i="91"/>
  <c r="H83" i="91"/>
  <c r="E82" i="91"/>
  <c r="K80" i="91"/>
  <c r="H79" i="91"/>
  <c r="E78" i="91"/>
  <c r="K76" i="91"/>
  <c r="H75" i="91"/>
  <c r="E74" i="91"/>
  <c r="K72" i="91"/>
  <c r="H71" i="91"/>
  <c r="E70" i="91"/>
  <c r="K68" i="91"/>
  <c r="H67" i="91"/>
  <c r="E66" i="91"/>
  <c r="K64" i="91"/>
  <c r="H63" i="91"/>
  <c r="E62" i="91"/>
  <c r="K60" i="91"/>
  <c r="H59" i="91"/>
  <c r="E58" i="91"/>
  <c r="K56" i="91"/>
  <c r="H55" i="91"/>
  <c r="E54" i="91"/>
  <c r="K52" i="91"/>
  <c r="H51" i="91"/>
  <c r="E50" i="91"/>
  <c r="K48" i="91"/>
  <c r="H47" i="91"/>
  <c r="E46" i="91"/>
  <c r="K44" i="91"/>
  <c r="H43" i="91"/>
  <c r="E42" i="91"/>
  <c r="K40" i="91"/>
  <c r="I99" i="91"/>
  <c r="E98" i="91"/>
  <c r="J96" i="91"/>
  <c r="F95" i="91"/>
  <c r="C94" i="91"/>
  <c r="I92" i="91"/>
  <c r="F91" i="91"/>
  <c r="C90" i="91"/>
  <c r="I88" i="91"/>
  <c r="F87" i="91"/>
  <c r="C86" i="91"/>
  <c r="I84" i="91"/>
  <c r="H99" i="91"/>
  <c r="I97" i="91"/>
  <c r="J95" i="91"/>
  <c r="K93" i="91"/>
  <c r="D92" i="91"/>
  <c r="G90" i="91"/>
  <c r="J88" i="91"/>
  <c r="D87" i="91"/>
  <c r="H85" i="91"/>
  <c r="C84" i="91"/>
  <c r="H82" i="91"/>
  <c r="D81" i="91"/>
  <c r="I79" i="91"/>
  <c r="D78" i="91"/>
  <c r="I76" i="91"/>
  <c r="E75" i="91"/>
  <c r="J73" i="91"/>
  <c r="F72" i="91"/>
  <c r="K70" i="91"/>
  <c r="G69" i="91"/>
  <c r="C68" i="91"/>
  <c r="H66" i="91"/>
  <c r="D65" i="91"/>
  <c r="I63" i="91"/>
  <c r="D62" i="91"/>
  <c r="I60" i="91"/>
  <c r="E59" i="91"/>
  <c r="J57" i="91"/>
  <c r="F56" i="91"/>
  <c r="K54" i="91"/>
  <c r="G53" i="91"/>
  <c r="C52" i="91"/>
  <c r="H50" i="91"/>
  <c r="D49" i="91"/>
  <c r="I47" i="91"/>
  <c r="D46" i="91"/>
  <c r="I44" i="91"/>
  <c r="E43" i="91"/>
  <c r="J41" i="91"/>
  <c r="F40" i="91"/>
  <c r="C39" i="91"/>
  <c r="I37" i="91"/>
  <c r="F36" i="91"/>
  <c r="C35" i="91"/>
  <c r="I33" i="91"/>
  <c r="F32" i="91"/>
  <c r="C31" i="91"/>
  <c r="I29" i="91"/>
  <c r="F28" i="91"/>
  <c r="C27" i="91"/>
  <c r="I25" i="91"/>
  <c r="F24" i="91"/>
  <c r="C23" i="91"/>
  <c r="I21" i="91"/>
  <c r="G99" i="91"/>
  <c r="H97" i="91"/>
  <c r="I95" i="91"/>
  <c r="J93" i="91"/>
  <c r="C92" i="91"/>
  <c r="F90" i="91"/>
  <c r="H88" i="91"/>
  <c r="C87" i="91"/>
  <c r="G85" i="91"/>
  <c r="K83" i="91"/>
  <c r="G82" i="91"/>
  <c r="C81" i="91"/>
  <c r="G79" i="91"/>
  <c r="C78" i="91"/>
  <c r="H29" i="87" s="1"/>
  <c r="H76" i="91"/>
  <c r="D75" i="91"/>
  <c r="I73" i="91"/>
  <c r="E72" i="91"/>
  <c r="J70" i="91"/>
  <c r="F69" i="91"/>
  <c r="K67" i="91"/>
  <c r="G66" i="91"/>
  <c r="C65" i="91"/>
  <c r="G63" i="91"/>
  <c r="C62" i="91"/>
  <c r="H60" i="91"/>
  <c r="D59" i="91"/>
  <c r="I57" i="91"/>
  <c r="E56" i="91"/>
  <c r="J54" i="91"/>
  <c r="F53" i="91"/>
  <c r="K51" i="91"/>
  <c r="G50" i="91"/>
  <c r="C49" i="91"/>
  <c r="G47" i="91"/>
  <c r="C46" i="91"/>
  <c r="H44" i="91"/>
  <c r="D43" i="91"/>
  <c r="I41" i="91"/>
  <c r="E40" i="91"/>
  <c r="K38" i="91"/>
  <c r="H37" i="91"/>
  <c r="E36" i="91"/>
  <c r="K34" i="91"/>
  <c r="H33" i="91"/>
  <c r="E32" i="91"/>
  <c r="K30" i="91"/>
  <c r="H29" i="91"/>
  <c r="E28" i="91"/>
  <c r="K26" i="91"/>
  <c r="H25" i="91"/>
  <c r="E24" i="91"/>
  <c r="K22" i="91"/>
  <c r="H21" i="91"/>
  <c r="D99" i="91"/>
  <c r="F97" i="91"/>
  <c r="E95" i="91"/>
  <c r="G93" i="91"/>
  <c r="J91" i="91"/>
  <c r="K89" i="91"/>
  <c r="F88" i="91"/>
  <c r="J86" i="91"/>
  <c r="E85" i="91"/>
  <c r="I83" i="91"/>
  <c r="D82" i="91"/>
  <c r="I80" i="91"/>
  <c r="E79" i="91"/>
  <c r="J77" i="91"/>
  <c r="F76" i="91"/>
  <c r="K74" i="91"/>
  <c r="G73" i="91"/>
  <c r="C72" i="91"/>
  <c r="H70" i="91"/>
  <c r="D69" i="91"/>
  <c r="I67" i="91"/>
  <c r="D66" i="91"/>
  <c r="I64" i="91"/>
  <c r="E63" i="91"/>
  <c r="J61" i="91"/>
  <c r="F60" i="91"/>
  <c r="K58" i="91"/>
  <c r="G57" i="91"/>
  <c r="C56" i="91"/>
  <c r="H54" i="91"/>
  <c r="D53" i="91"/>
  <c r="I51" i="91"/>
  <c r="D50" i="91"/>
  <c r="I48" i="91"/>
  <c r="E47" i="91"/>
  <c r="J45" i="91"/>
  <c r="F44" i="91"/>
  <c r="K42" i="91"/>
  <c r="G41" i="91"/>
  <c r="C40" i="91"/>
  <c r="I38" i="91"/>
  <c r="F37" i="91"/>
  <c r="C36" i="91"/>
  <c r="I34" i="91"/>
  <c r="F33" i="91"/>
  <c r="C32" i="91"/>
  <c r="I30" i="91"/>
  <c r="F29" i="91"/>
  <c r="C28" i="91"/>
  <c r="I26" i="91"/>
  <c r="F25" i="91"/>
  <c r="C24" i="91"/>
  <c r="I22" i="91"/>
  <c r="F21" i="91"/>
  <c r="K98" i="91"/>
  <c r="K96" i="91"/>
  <c r="C95" i="91"/>
  <c r="E93" i="91"/>
  <c r="G91" i="91"/>
  <c r="I89" i="91"/>
  <c r="D88" i="91"/>
  <c r="H86" i="91"/>
  <c r="C85" i="91"/>
  <c r="F83" i="91"/>
  <c r="K81" i="91"/>
  <c r="G80" i="91"/>
  <c r="C79" i="91"/>
  <c r="H77" i="91"/>
  <c r="D76" i="91"/>
  <c r="I74" i="91"/>
  <c r="E73" i="91"/>
  <c r="J71" i="91"/>
  <c r="F70" i="91"/>
  <c r="J68" i="91"/>
  <c r="F67" i="91"/>
  <c r="K65" i="91"/>
  <c r="G64" i="91"/>
  <c r="C63" i="91"/>
  <c r="H61" i="91"/>
  <c r="D60" i="91"/>
  <c r="I58" i="91"/>
  <c r="E57" i="91"/>
  <c r="J55" i="91"/>
  <c r="F54" i="91"/>
  <c r="J52" i="91"/>
  <c r="F51" i="91"/>
  <c r="K49" i="91"/>
  <c r="G48" i="91"/>
  <c r="C47" i="91"/>
  <c r="H45" i="91"/>
  <c r="D44" i="91"/>
  <c r="I42" i="91"/>
  <c r="E41" i="91"/>
  <c r="J39" i="91"/>
  <c r="G38" i="91"/>
  <c r="D37" i="91"/>
  <c r="J35" i="91"/>
  <c r="G34" i="91"/>
  <c r="D33" i="91"/>
  <c r="J31" i="91"/>
  <c r="G30" i="91"/>
  <c r="D29" i="91"/>
  <c r="J27" i="91"/>
  <c r="G26" i="91"/>
  <c r="D25" i="91"/>
  <c r="J23" i="91"/>
  <c r="G22" i="91"/>
  <c r="D21" i="91"/>
  <c r="J98" i="91"/>
  <c r="I96" i="91"/>
  <c r="J94" i="91"/>
  <c r="D93" i="91"/>
  <c r="E91" i="91"/>
  <c r="H89" i="91"/>
  <c r="C88" i="91"/>
  <c r="G86" i="91"/>
  <c r="J84" i="91"/>
  <c r="E83" i="91"/>
  <c r="J81" i="91"/>
  <c r="F80" i="91"/>
  <c r="K78" i="91"/>
  <c r="G77" i="91"/>
  <c r="C76" i="91"/>
  <c r="H74" i="91"/>
  <c r="D73" i="91"/>
  <c r="I71" i="91"/>
  <c r="D70" i="91"/>
  <c r="I68" i="91"/>
  <c r="E67" i="91"/>
  <c r="J65" i="91"/>
  <c r="F64" i="91"/>
  <c r="K62" i="91"/>
  <c r="G61" i="91"/>
  <c r="C60" i="91"/>
  <c r="H58" i="91"/>
  <c r="D57" i="91"/>
  <c r="I55" i="91"/>
  <c r="D54" i="91"/>
  <c r="I52" i="91"/>
  <c r="E51" i="91"/>
  <c r="J49" i="91"/>
  <c r="F48" i="91"/>
  <c r="K46" i="91"/>
  <c r="G45" i="91"/>
  <c r="C44" i="91"/>
  <c r="H42" i="91"/>
  <c r="D41" i="91"/>
  <c r="I39" i="91"/>
  <c r="F38" i="91"/>
  <c r="C37" i="91"/>
  <c r="I35" i="91"/>
  <c r="F34" i="91"/>
  <c r="C33" i="91"/>
  <c r="I31" i="91"/>
  <c r="F30" i="91"/>
  <c r="C29" i="91"/>
  <c r="I27" i="91"/>
  <c r="F26" i="91"/>
  <c r="C25" i="91"/>
  <c r="I23" i="91"/>
  <c r="F22" i="91"/>
  <c r="C21" i="91"/>
  <c r="I98" i="91"/>
  <c r="H96" i="91"/>
  <c r="I94" i="91"/>
  <c r="C93" i="91"/>
  <c r="D91" i="91"/>
  <c r="G89" i="91"/>
  <c r="K87" i="91"/>
  <c r="F86" i="91"/>
  <c r="H84" i="91"/>
  <c r="D83" i="91"/>
  <c r="I81" i="91"/>
  <c r="E80" i="91"/>
  <c r="J78" i="91"/>
  <c r="F77" i="91"/>
  <c r="K75" i="91"/>
  <c r="G74" i="91"/>
  <c r="C73" i="91"/>
  <c r="G71" i="91"/>
  <c r="C70" i="91"/>
  <c r="H68" i="91"/>
  <c r="D67" i="91"/>
  <c r="I65" i="91"/>
  <c r="E64" i="91"/>
  <c r="J62" i="91"/>
  <c r="F61" i="91"/>
  <c r="K59" i="91"/>
  <c r="G58" i="91"/>
  <c r="C57" i="91"/>
  <c r="G55" i="91"/>
  <c r="C54" i="91"/>
  <c r="H52" i="91"/>
  <c r="D51" i="91"/>
  <c r="I49" i="91"/>
  <c r="E48" i="91"/>
  <c r="J46" i="91"/>
  <c r="F45" i="91"/>
  <c r="K43" i="91"/>
  <c r="G42" i="91"/>
  <c r="C41" i="91"/>
  <c r="H39" i="91"/>
  <c r="E38" i="91"/>
  <c r="K36" i="91"/>
  <c r="H35" i="91"/>
  <c r="E34" i="91"/>
  <c r="K32" i="91"/>
  <c r="H31" i="91"/>
  <c r="E30" i="91"/>
  <c r="K28" i="91"/>
  <c r="H27" i="91"/>
  <c r="E26" i="91"/>
  <c r="K24" i="91"/>
  <c r="H23" i="91"/>
  <c r="E22" i="91"/>
  <c r="F98" i="91"/>
  <c r="G96" i="91"/>
  <c r="H94" i="91"/>
  <c r="J92" i="91"/>
  <c r="C91" i="91"/>
  <c r="F89" i="91"/>
  <c r="J87" i="91"/>
  <c r="D86" i="91"/>
  <c r="G84" i="91"/>
  <c r="C83" i="91"/>
  <c r="H81" i="91"/>
  <c r="D80" i="91"/>
  <c r="I78" i="91"/>
  <c r="E77" i="91"/>
  <c r="J75" i="91"/>
  <c r="F74" i="91"/>
  <c r="J72" i="91"/>
  <c r="F71" i="91"/>
  <c r="K69" i="91"/>
  <c r="G68" i="91"/>
  <c r="C67" i="91"/>
  <c r="H65" i="91"/>
  <c r="D64" i="91"/>
  <c r="I62" i="91"/>
  <c r="E61" i="91"/>
  <c r="J59" i="91"/>
  <c r="F58" i="91"/>
  <c r="J56" i="91"/>
  <c r="F55" i="91"/>
  <c r="K53" i="91"/>
  <c r="G52" i="91"/>
  <c r="C51" i="91"/>
  <c r="H49" i="91"/>
  <c r="D48" i="91"/>
  <c r="I46" i="91"/>
  <c r="E45" i="91"/>
  <c r="J43" i="91"/>
  <c r="F42" i="91"/>
  <c r="J40" i="91"/>
  <c r="G39" i="91"/>
  <c r="D38" i="91"/>
  <c r="J36" i="91"/>
  <c r="G35" i="91"/>
  <c r="D34" i="91"/>
  <c r="J32" i="91"/>
  <c r="G31" i="91"/>
  <c r="D30" i="91"/>
  <c r="J28" i="91"/>
  <c r="G27" i="91"/>
  <c r="D26" i="91"/>
  <c r="J24" i="91"/>
  <c r="G23" i="91"/>
  <c r="D22" i="91"/>
  <c r="C98" i="91"/>
  <c r="D96" i="91"/>
  <c r="F94" i="91"/>
  <c r="G92" i="91"/>
  <c r="I90" i="91"/>
  <c r="D89" i="91"/>
  <c r="G87" i="91"/>
  <c r="J85" i="91"/>
  <c r="E84" i="91"/>
  <c r="J82" i="91"/>
  <c r="F81" i="91"/>
  <c r="K79" i="91"/>
  <c r="F35" i="85" s="1"/>
  <c r="G78" i="91"/>
  <c r="C77" i="91"/>
  <c r="G75" i="91"/>
  <c r="C74" i="91"/>
  <c r="H72" i="91"/>
  <c r="D71" i="91"/>
  <c r="I69" i="91"/>
  <c r="E68" i="91"/>
  <c r="J66" i="91"/>
  <c r="F65" i="91"/>
  <c r="K63" i="91"/>
  <c r="G62" i="91"/>
  <c r="C61" i="91"/>
  <c r="G59" i="91"/>
  <c r="C58" i="91"/>
  <c r="H56" i="91"/>
  <c r="D55" i="91"/>
  <c r="I53" i="91"/>
  <c r="E52" i="91"/>
  <c r="J50" i="91"/>
  <c r="F49" i="91"/>
  <c r="K47" i="91"/>
  <c r="G46" i="91"/>
  <c r="C45" i="91"/>
  <c r="G43" i="91"/>
  <c r="C42" i="91"/>
  <c r="H40" i="91"/>
  <c r="E39" i="91"/>
  <c r="K37" i="91"/>
  <c r="H36" i="91"/>
  <c r="E35" i="91"/>
  <c r="K33" i="91"/>
  <c r="H32" i="91"/>
  <c r="C99" i="91"/>
  <c r="F93" i="91"/>
  <c r="E88" i="91"/>
  <c r="G83" i="91"/>
  <c r="D79" i="91"/>
  <c r="J74" i="91"/>
  <c r="G70" i="91"/>
  <c r="C66" i="91"/>
  <c r="I61" i="91"/>
  <c r="F57" i="91"/>
  <c r="C53" i="91"/>
  <c r="H48" i="91"/>
  <c r="E44" i="91"/>
  <c r="K39" i="91"/>
  <c r="K35" i="91"/>
  <c r="K31" i="91"/>
  <c r="H28" i="91"/>
  <c r="G25" i="91"/>
  <c r="C22" i="91"/>
  <c r="D98" i="91"/>
  <c r="H92" i="91"/>
  <c r="I87" i="91"/>
  <c r="K82" i="91"/>
  <c r="H78" i="91"/>
  <c r="D74" i="91"/>
  <c r="J69" i="91"/>
  <c r="G65" i="91"/>
  <c r="D61" i="91"/>
  <c r="I56" i="91"/>
  <c r="F52" i="91"/>
  <c r="C48" i="91"/>
  <c r="I43" i="91"/>
  <c r="F39" i="91"/>
  <c r="F35" i="91"/>
  <c r="F31" i="91"/>
  <c r="G28" i="91"/>
  <c r="E25" i="91"/>
  <c r="K21" i="91"/>
  <c r="K97" i="91"/>
  <c r="F92" i="91"/>
  <c r="E87" i="91"/>
  <c r="I82" i="91"/>
  <c r="F78" i="91"/>
  <c r="K73" i="91"/>
  <c r="H69" i="91"/>
  <c r="E65" i="91"/>
  <c r="J60" i="91"/>
  <c r="G56" i="91"/>
  <c r="D52" i="91"/>
  <c r="J47" i="91"/>
  <c r="F43" i="91"/>
  <c r="D39" i="91"/>
  <c r="D35" i="91"/>
  <c r="E31" i="91"/>
  <c r="D28" i="91"/>
  <c r="I24" i="91"/>
  <c r="J21" i="91"/>
  <c r="G97" i="91"/>
  <c r="K91" i="91"/>
  <c r="K86" i="91"/>
  <c r="F82" i="91"/>
  <c r="K77" i="91"/>
  <c r="H73" i="91"/>
  <c r="E69" i="91"/>
  <c r="J64" i="91"/>
  <c r="G60" i="91"/>
  <c r="D56" i="91"/>
  <c r="J51" i="91"/>
  <c r="F47" i="91"/>
  <c r="C43" i="91"/>
  <c r="J38" i="91"/>
  <c r="J34" i="91"/>
  <c r="D31" i="91"/>
  <c r="K27" i="91"/>
  <c r="H24" i="91"/>
  <c r="G21" i="91"/>
  <c r="D97" i="91"/>
  <c r="I91" i="91"/>
  <c r="I86" i="91"/>
  <c r="C82" i="91"/>
  <c r="I77" i="91"/>
  <c r="F73" i="91"/>
  <c r="C69" i="91"/>
  <c r="H64" i="91"/>
  <c r="E60" i="91"/>
  <c r="K55" i="91"/>
  <c r="G51" i="91"/>
  <c r="D47" i="91"/>
  <c r="J42" i="91"/>
  <c r="H38" i="91"/>
  <c r="H34" i="91"/>
  <c r="J30" i="91"/>
  <c r="F27" i="91"/>
  <c r="G24" i="91"/>
  <c r="E21" i="91"/>
  <c r="C96" i="91"/>
  <c r="H90" i="91"/>
  <c r="I85" i="91"/>
  <c r="E81" i="91"/>
  <c r="J76" i="91"/>
  <c r="G72" i="91"/>
  <c r="D68" i="91"/>
  <c r="J63" i="91"/>
  <c r="F59" i="91"/>
  <c r="C55" i="91"/>
  <c r="I50" i="91"/>
  <c r="F46" i="91"/>
  <c r="K41" i="91"/>
  <c r="J37" i="91"/>
  <c r="J33" i="91"/>
  <c r="C30" i="91"/>
  <c r="D27" i="91"/>
  <c r="K23" i="91"/>
  <c r="G94" i="91"/>
  <c r="E89" i="91"/>
  <c r="F84" i="91"/>
  <c r="C80" i="91"/>
  <c r="I75" i="91"/>
  <c r="E71" i="91"/>
  <c r="K66" i="91"/>
  <c r="H62" i="91"/>
  <c r="D58" i="91"/>
  <c r="J53" i="91"/>
  <c r="G49" i="91"/>
  <c r="D45" i="91"/>
  <c r="I40" i="91"/>
  <c r="I36" i="91"/>
  <c r="I32" i="91"/>
  <c r="G29" i="91"/>
  <c r="C26" i="91"/>
  <c r="D23" i="91"/>
  <c r="F99" i="91"/>
  <c r="I93" i="91"/>
  <c r="G88" i="91"/>
  <c r="J83" i="91"/>
  <c r="F79" i="91"/>
  <c r="C75" i="91"/>
  <c r="I70" i="91"/>
  <c r="F66" i="91"/>
  <c r="K61" i="91"/>
  <c r="H57" i="91"/>
  <c r="E53" i="91"/>
  <c r="J48" i="91"/>
  <c r="G44" i="91"/>
  <c r="D40" i="91"/>
  <c r="D36" i="91"/>
  <c r="D32" i="91"/>
  <c r="I28" i="91"/>
  <c r="J25" i="91"/>
  <c r="H22" i="91"/>
  <c r="K85" i="91"/>
  <c r="I72" i="91"/>
  <c r="I59" i="91"/>
  <c r="H46" i="91"/>
  <c r="C34" i="91"/>
  <c r="D24" i="91"/>
  <c r="F85" i="91"/>
  <c r="D72" i="91"/>
  <c r="C59" i="91"/>
  <c r="K45" i="91"/>
  <c r="G33" i="91"/>
  <c r="F23" i="91"/>
  <c r="D85" i="91"/>
  <c r="K71" i="91"/>
  <c r="J58" i="91"/>
  <c r="I45" i="91"/>
  <c r="E33" i="91"/>
  <c r="E23" i="91"/>
  <c r="J99" i="91"/>
  <c r="D84" i="91"/>
  <c r="C71" i="91"/>
  <c r="K57" i="91"/>
  <c r="J44" i="91"/>
  <c r="G32" i="91"/>
  <c r="J22" i="91"/>
  <c r="E96" i="91"/>
  <c r="G81" i="91"/>
  <c r="F68" i="91"/>
  <c r="E55" i="91"/>
  <c r="D42" i="91"/>
  <c r="H30" i="91"/>
  <c r="G95" i="91"/>
  <c r="J80" i="91"/>
  <c r="J67" i="91"/>
  <c r="I54" i="91"/>
  <c r="H41" i="91"/>
  <c r="K29" i="91"/>
  <c r="D95" i="91"/>
  <c r="H80" i="91"/>
  <c r="G67" i="91"/>
  <c r="G54" i="91"/>
  <c r="F41" i="91"/>
  <c r="J29" i="91"/>
  <c r="D94" i="91"/>
  <c r="J79" i="91"/>
  <c r="I66" i="91"/>
  <c r="H53" i="91"/>
  <c r="G40" i="91"/>
  <c r="E29" i="91"/>
  <c r="F63" i="91"/>
  <c r="J26" i="91"/>
  <c r="F75" i="91"/>
  <c r="D63" i="91"/>
  <c r="H26" i="91"/>
  <c r="F62" i="91"/>
  <c r="K25" i="91"/>
  <c r="J90" i="91"/>
  <c r="K50" i="91"/>
  <c r="D90" i="91"/>
  <c r="F50" i="91"/>
  <c r="J89" i="91"/>
  <c r="C50" i="91"/>
  <c r="C89" i="91"/>
  <c r="E49" i="91"/>
  <c r="G36" i="91"/>
  <c r="D77" i="91"/>
  <c r="C38" i="91"/>
  <c r="G76" i="91"/>
  <c r="G37" i="91"/>
  <c r="E76" i="91"/>
  <c r="E37" i="91"/>
  <c r="C64" i="91"/>
  <c r="E27" i="91"/>
  <c r="F28" i="49"/>
  <c r="F25" i="49"/>
  <c r="F22" i="49"/>
  <c r="F33" i="40"/>
  <c r="F14" i="43"/>
  <c r="F16" i="43" s="1"/>
  <c r="F27" i="49"/>
  <c r="F18" i="48"/>
  <c r="L35" i="84"/>
  <c r="L34" i="84"/>
  <c r="F44" i="40"/>
  <c r="F15" i="46"/>
  <c r="F16" i="46" s="1"/>
  <c r="F64" i="37"/>
  <c r="F61" i="37"/>
  <c r="F58" i="37"/>
  <c r="F55" i="37"/>
  <c r="F52" i="37"/>
  <c r="F49" i="37"/>
  <c r="F46" i="37"/>
  <c r="F43" i="37"/>
  <c r="F40" i="37"/>
  <c r="F37" i="37"/>
  <c r="F34" i="37"/>
  <c r="F31" i="37"/>
  <c r="F28" i="37"/>
  <c r="F25" i="37"/>
  <c r="F22" i="37"/>
  <c r="E69" i="37"/>
  <c r="F63" i="37"/>
  <c r="F56" i="37"/>
  <c r="F45" i="37"/>
  <c r="F59" i="37"/>
  <c r="F48" i="37"/>
  <c r="F54" i="37"/>
  <c r="F47" i="37"/>
  <c r="F36" i="37"/>
  <c r="F57" i="37"/>
  <c r="F50" i="37"/>
  <c r="F39" i="37"/>
  <c r="F60" i="37"/>
  <c r="F53" i="37"/>
  <c r="F42" i="37"/>
  <c r="F62" i="37"/>
  <c r="F51" i="37"/>
  <c r="F44" i="37"/>
  <c r="F33" i="37"/>
  <c r="F26" i="37"/>
  <c r="F15" i="37"/>
  <c r="H43" i="37"/>
  <c r="F18" i="37"/>
  <c r="N52" i="84"/>
  <c r="I20" i="69"/>
  <c r="I14" i="69"/>
  <c r="I18" i="69"/>
  <c r="I16" i="69"/>
  <c r="F38" i="40"/>
  <c r="F65" i="37"/>
  <c r="L52" i="84"/>
  <c r="H42" i="48"/>
  <c r="F22" i="46"/>
  <c r="F53" i="40"/>
  <c r="F39" i="48"/>
  <c r="H26" i="50"/>
  <c r="H20" i="50"/>
  <c r="H29" i="50"/>
  <c r="H23" i="50"/>
  <c r="H17" i="50"/>
  <c r="H14" i="50"/>
  <c r="H30" i="50" s="1"/>
  <c r="F41" i="40"/>
  <c r="F25" i="42"/>
  <c r="F14" i="49"/>
  <c r="F29" i="49" s="1"/>
  <c r="H27" i="50"/>
  <c r="F39" i="40"/>
  <c r="H39" i="40"/>
  <c r="L44" i="84"/>
  <c r="H35" i="84"/>
  <c r="H34" i="84"/>
  <c r="H36" i="40"/>
  <c r="F38" i="37"/>
  <c r="F29" i="37"/>
  <c r="H52" i="84"/>
  <c r="H55" i="40"/>
  <c r="H26" i="49"/>
  <c r="H23" i="49"/>
  <c r="H20" i="49"/>
  <c r="H17" i="49"/>
  <c r="H22" i="49"/>
  <c r="H16" i="49"/>
  <c r="H25" i="49"/>
  <c r="H19" i="49"/>
  <c r="H28" i="49"/>
  <c r="F21" i="69"/>
  <c r="G19" i="69" s="1"/>
  <c r="F23" i="46"/>
  <c r="F34" i="84"/>
  <c r="F35" i="84"/>
  <c r="F23" i="48"/>
  <c r="F14" i="40"/>
  <c r="F18" i="42"/>
  <c r="F48" i="40"/>
  <c r="H16" i="46"/>
  <c r="H15" i="49"/>
  <c r="F36" i="40"/>
  <c r="H25" i="37"/>
  <c r="G17" i="69"/>
  <c r="H49" i="37"/>
  <c r="F24" i="40"/>
  <c r="F7" i="49"/>
  <c r="F7" i="46"/>
  <c r="H7" i="82"/>
  <c r="H7" i="72"/>
  <c r="F7" i="79"/>
  <c r="G7" i="78"/>
  <c r="F7" i="47"/>
  <c r="F7" i="64"/>
  <c r="F7" i="61"/>
  <c r="F7" i="67"/>
  <c r="F7" i="42"/>
  <c r="F7" i="69"/>
  <c r="F7" i="63"/>
  <c r="F7" i="62"/>
  <c r="F7" i="37"/>
  <c r="F7" i="89"/>
  <c r="F7" i="71"/>
  <c r="F7" i="43"/>
  <c r="F7" i="41"/>
  <c r="F7" i="83"/>
  <c r="F7" i="90"/>
  <c r="F7" i="66"/>
  <c r="F7" i="50"/>
  <c r="F7" i="48"/>
  <c r="F7" i="65"/>
  <c r="F7" i="44"/>
  <c r="F7" i="40"/>
  <c r="F7" i="85"/>
  <c r="F7" i="84"/>
  <c r="F7" i="91"/>
  <c r="F7" i="87"/>
  <c r="F7" i="57"/>
  <c r="F7" i="70"/>
  <c r="F7" i="86"/>
  <c r="F7" i="92"/>
  <c r="J6" i="90"/>
  <c r="J6" i="66"/>
  <c r="J6" i="65"/>
  <c r="J6" i="44"/>
  <c r="J6" i="50"/>
  <c r="L6" i="82"/>
  <c r="L6" i="72"/>
  <c r="J6" i="79"/>
  <c r="K6" i="78"/>
  <c r="J6" i="49"/>
  <c r="J6" i="46"/>
  <c r="J6" i="64"/>
  <c r="J6" i="61"/>
  <c r="J6" i="67"/>
  <c r="J6" i="42"/>
  <c r="J6" i="48"/>
  <c r="J6" i="40"/>
  <c r="J6" i="69"/>
  <c r="J6" i="63"/>
  <c r="J6" i="62"/>
  <c r="J6" i="89"/>
  <c r="J6" i="71"/>
  <c r="J6" i="83"/>
  <c r="J6" i="43"/>
  <c r="J6" i="41"/>
  <c r="J6" i="37"/>
  <c r="J6" i="47"/>
  <c r="J6" i="84"/>
  <c r="J6" i="87"/>
  <c r="J6" i="85"/>
  <c r="J6" i="91"/>
  <c r="J6" i="70"/>
  <c r="J6" i="86"/>
  <c r="J6" i="57"/>
  <c r="J6" i="92"/>
  <c r="F19" i="49"/>
  <c r="J7" i="82"/>
  <c r="J7" i="72"/>
  <c r="H7" i="79"/>
  <c r="I7" i="78"/>
  <c r="H7" i="47"/>
  <c r="H7" i="64"/>
  <c r="H7" i="61"/>
  <c r="H7" i="67"/>
  <c r="H7" i="42"/>
  <c r="H7" i="48"/>
  <c r="H7" i="40"/>
  <c r="H7" i="69"/>
  <c r="H7" i="63"/>
  <c r="H7" i="62"/>
  <c r="H7" i="71"/>
  <c r="H7" i="43"/>
  <c r="H7" i="41"/>
  <c r="H7" i="89"/>
  <c r="H7" i="83"/>
  <c r="H7" i="90"/>
  <c r="H7" i="66"/>
  <c r="H7" i="65"/>
  <c r="H7" i="44"/>
  <c r="H7" i="50"/>
  <c r="H7" i="85"/>
  <c r="H7" i="46"/>
  <c r="H7" i="37"/>
  <c r="H7" i="87"/>
  <c r="H7" i="91"/>
  <c r="H7" i="49"/>
  <c r="H7" i="84"/>
  <c r="H7" i="57"/>
  <c r="H7" i="70"/>
  <c r="H7" i="86"/>
  <c r="H7" i="92"/>
  <c r="F14" i="48"/>
  <c r="H14" i="44"/>
  <c r="H16" i="44" s="1"/>
  <c r="F35" i="40"/>
  <c r="F50" i="40"/>
  <c r="F24" i="49"/>
  <c r="F41" i="48"/>
  <c r="F26" i="40"/>
  <c r="F26" i="49"/>
  <c r="H42" i="37"/>
  <c r="H63" i="37"/>
  <c r="H60" i="37"/>
  <c r="H57" i="37"/>
  <c r="H54" i="37"/>
  <c r="H51" i="37"/>
  <c r="H59" i="37"/>
  <c r="H41" i="37"/>
  <c r="H23" i="37"/>
  <c r="H62" i="37"/>
  <c r="H44" i="37"/>
  <c r="H26" i="37"/>
  <c r="H50" i="37"/>
  <c r="H32" i="37"/>
  <c r="H14" i="37"/>
  <c r="H53" i="37"/>
  <c r="H35" i="37"/>
  <c r="H17" i="37"/>
  <c r="H56" i="37"/>
  <c r="H38" i="37"/>
  <c r="H20" i="37"/>
  <c r="H40" i="37"/>
  <c r="H29" i="37"/>
  <c r="H22" i="37"/>
  <c r="H58" i="37"/>
  <c r="H47" i="37"/>
  <c r="F29" i="42"/>
  <c r="F26" i="42"/>
  <c r="F23" i="42"/>
  <c r="F20" i="42"/>
  <c r="F17" i="42"/>
  <c r="F14" i="42"/>
  <c r="F30" i="42"/>
  <c r="F27" i="42"/>
  <c r="F24" i="42"/>
  <c r="F21" i="42"/>
  <c r="F33" i="48"/>
  <c r="F17" i="40"/>
  <c r="F16" i="44"/>
  <c r="F47" i="40"/>
  <c r="F17" i="48"/>
  <c r="H36" i="37"/>
  <c r="H18" i="50"/>
  <c r="F30" i="40"/>
  <c r="F45" i="40"/>
  <c r="F20" i="48"/>
  <c r="F36" i="48"/>
  <c r="H44" i="40"/>
  <c r="H55" i="37"/>
  <c r="F38" i="48"/>
  <c r="H31" i="37"/>
  <c r="H37" i="37"/>
  <c r="H64" i="37"/>
  <c r="G17" i="41" l="1"/>
  <c r="J29" i="86"/>
  <c r="K40" i="86"/>
  <c r="H36" i="86"/>
  <c r="H53" i="86"/>
  <c r="H78" i="86"/>
  <c r="H77" i="86"/>
  <c r="L62" i="86"/>
  <c r="H24" i="86"/>
  <c r="I58" i="86"/>
  <c r="H23" i="86"/>
  <c r="L52" i="86"/>
  <c r="L57" i="86"/>
  <c r="I21" i="69"/>
  <c r="F18" i="41"/>
  <c r="G18" i="41" s="1"/>
  <c r="H18" i="41"/>
  <c r="E19" i="41"/>
  <c r="I38" i="86"/>
  <c r="I67" i="86"/>
  <c r="K39" i="86"/>
  <c r="I80" i="86"/>
  <c r="H44" i="86"/>
  <c r="H65" i="86"/>
  <c r="J58" i="86"/>
  <c r="L25" i="86"/>
  <c r="F31" i="42"/>
  <c r="K62" i="86"/>
  <c r="I54" i="86"/>
  <c r="K80" i="86"/>
  <c r="J67" i="86"/>
  <c r="K63" i="86"/>
  <c r="I77" i="86"/>
  <c r="F55" i="40"/>
  <c r="N34" i="84"/>
  <c r="J66" i="86"/>
  <c r="J43" i="86"/>
  <c r="J34" i="86"/>
  <c r="L80" i="86"/>
  <c r="J49" i="86"/>
  <c r="F42" i="48"/>
  <c r="H32" i="86"/>
  <c r="K34" i="86"/>
  <c r="K54" i="86"/>
  <c r="G20" i="69"/>
  <c r="G16" i="69"/>
  <c r="G14" i="69"/>
  <c r="G21" i="69" s="1"/>
  <c r="G18" i="69"/>
  <c r="G15" i="69"/>
  <c r="L40" i="86"/>
  <c r="C35" i="84"/>
  <c r="F36" i="70" s="1"/>
  <c r="C42" i="57"/>
  <c r="C33" i="57"/>
  <c r="C24" i="57"/>
  <c r="C25" i="57"/>
  <c r="D34" i="84"/>
  <c r="H46" i="86"/>
  <c r="P34" i="84"/>
  <c r="H29" i="49"/>
  <c r="H65" i="37"/>
  <c r="E20" i="41" l="1"/>
  <c r="H19" i="41"/>
  <c r="F19" i="41"/>
  <c r="G19" i="41" s="1"/>
  <c r="E21" i="41" l="1"/>
  <c r="H20" i="41"/>
  <c r="F20" i="41"/>
  <c r="G20" i="41" s="1"/>
  <c r="F21" i="41" l="1"/>
  <c r="G21" i="41" s="1"/>
  <c r="H21" i="41"/>
  <c r="E22" i="41"/>
  <c r="E23" i="41" l="1"/>
  <c r="H22" i="41"/>
  <c r="F22" i="41"/>
  <c r="G22" i="41" s="1"/>
  <c r="E24" i="41" l="1"/>
  <c r="H23" i="41"/>
  <c r="F23" i="41"/>
  <c r="G23" i="41" s="1"/>
  <c r="F24" i="41" l="1"/>
  <c r="G24" i="41" s="1"/>
  <c r="H24" i="41"/>
  <c r="E25" i="41"/>
  <c r="E26" i="41" l="1"/>
  <c r="H25" i="41"/>
  <c r="F25" i="41"/>
  <c r="G25" i="41" s="1"/>
  <c r="E27" i="41" l="1"/>
  <c r="H26" i="41"/>
  <c r="F26" i="41"/>
  <c r="G26" i="41" s="1"/>
  <c r="F27" i="41" l="1"/>
  <c r="G27" i="41" s="1"/>
  <c r="H27" i="41"/>
  <c r="E28" i="41"/>
  <c r="E29" i="41" l="1"/>
  <c r="H28" i="41"/>
  <c r="F28" i="41"/>
  <c r="G28" i="41" s="1"/>
  <c r="E30" i="41" l="1"/>
  <c r="H29" i="41"/>
  <c r="F29" i="41"/>
  <c r="G29" i="41" s="1"/>
  <c r="F30" i="41" l="1"/>
  <c r="G30" i="41" s="1"/>
  <c r="H30" i="41"/>
  <c r="E31" i="41"/>
  <c r="E32" i="41" l="1"/>
  <c r="H31" i="41"/>
  <c r="F31" i="41"/>
  <c r="G31" i="41" s="1"/>
  <c r="E33" i="41" l="1"/>
  <c r="H32" i="41"/>
  <c r="F32" i="41"/>
  <c r="G32" i="41" s="1"/>
  <c r="F33" i="41" l="1"/>
  <c r="G33" i="41" s="1"/>
  <c r="H33" i="41"/>
  <c r="E34" i="41"/>
  <c r="E35" i="41" l="1"/>
  <c r="H34" i="41"/>
  <c r="F34" i="41"/>
  <c r="G34" i="41" s="1"/>
  <c r="E36" i="41" l="1"/>
  <c r="H35" i="41"/>
  <c r="F35" i="41"/>
  <c r="G35" i="41" s="1"/>
  <c r="F36" i="41" l="1"/>
  <c r="G36" i="41" s="1"/>
  <c r="H36" i="41"/>
  <c r="E37" i="41"/>
  <c r="E38" i="41" l="1"/>
  <c r="H37" i="41"/>
  <c r="F37" i="41"/>
  <c r="G37" i="41" s="1"/>
  <c r="H38" i="41" l="1"/>
  <c r="H39" i="41" s="1"/>
  <c r="F38" i="41"/>
  <c r="G38" i="41" l="1"/>
  <c r="G39" i="41" s="1"/>
  <c r="F39" i="41"/>
</calcChain>
</file>

<file path=xl/sharedStrings.xml><?xml version="1.0" encoding="utf-8"?>
<sst xmlns="http://schemas.openxmlformats.org/spreadsheetml/2006/main" count="2814" uniqueCount="1592">
  <si>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</si>
  <si>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</si>
  <si>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</si>
  <si>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</si>
  <si>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</si>
  <si>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</si>
  <si>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</si>
  <si>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</si>
  <si>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</si>
  <si>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</si>
  <si>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</si>
  <si>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</si>
  <si>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</si>
  <si>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</si>
  <si>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</si>
  <si>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</si>
  <si>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</si>
  <si>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</si>
  <si>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</si>
  <si>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</si>
  <si>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</si>
  <si>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</si>
  <si>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</si>
  <si>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</si>
  <si>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</si>
  <si>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</si>
  <si>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</si>
  <si>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</si>
  <si>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</si>
  <si>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</si>
  <si>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</si>
  <si>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</si>
  <si>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</si>
  <si>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</si>
  <si>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</si>
  <si>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</si>
  <si>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</si>
  <si>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</si>
  <si>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</si>
  <si>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</si>
  <si>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</si>
  <si>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</si>
  <si>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</si>
  <si>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</si>
  <si>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</si>
  <si>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</si>
  <si>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</si>
  <si>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</si>
  <si>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</si>
  <si>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</si>
  <si>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</si>
  <si>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</si>
  <si>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</si>
  <si>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</si>
  <si>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</si>
  <si>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</si>
  <si>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</si>
  <si>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</si>
  <si>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</si>
  <si>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</si>
  <si>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</si>
  <si>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</si>
  <si>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</si>
  <si>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</si>
  <si>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</si>
  <si>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</si>
  <si>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</si>
  <si>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</si>
  <si>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</si>
  <si>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</si>
  <si>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</si>
  <si>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</si>
  <si>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</si>
  <si>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</si>
  <si>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</si>
  <si>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</si>
  <si>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</si>
  <si>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</si>
  <si>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</si>
  <si>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</si>
  <si>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</si>
  <si>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</si>
  <si>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</si>
  <si>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</si>
  <si>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</si>
  <si>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</si>
  <si>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</si>
  <si>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</si>
  <si>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</si>
  <si>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</si>
  <si>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</si>
  <si>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</si>
  <si>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</si>
  <si>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</si>
  <si>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</si>
  <si>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</si>
  <si>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</si>
  <si>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</si>
  <si>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</si>
  <si>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</si>
  <si>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</si>
  <si>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</si>
  <si>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</si>
  <si>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</si>
  <si>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</si>
  <si>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</si>
  <si>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</si>
  <si>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</si>
  <si>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</si>
  <si>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</si>
  <si>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</si>
  <si>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</si>
  <si>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</si>
  <si>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</si>
  <si>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</si>
  <si>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</si>
  <si>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</si>
  <si>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</si>
  <si>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</si>
  <si>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</si>
  <si>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</si>
  <si>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</si>
  <si>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</si>
  <si>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</si>
  <si>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</si>
  <si>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</si>
  <si>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</si>
  <si>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</si>
  <si>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</si>
  <si>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</si>
  <si>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</si>
  <si>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</si>
  <si>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</si>
  <si>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</si>
  <si>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</si>
  <si>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</si>
  <si>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</si>
  <si>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</si>
  <si>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</si>
  <si>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</si>
  <si>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</si>
  <si>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</si>
  <si>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</si>
  <si>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</si>
  <si>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</si>
  <si>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</si>
  <si>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</si>
  <si>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</si>
  <si>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</si>
  <si>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</si>
  <si>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</si>
  <si>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</si>
  <si>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</si>
  <si>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</si>
  <si>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</si>
  <si>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</si>
  <si>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</si>
  <si>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</si>
  <si>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</si>
  <si>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</si>
  <si>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</si>
  <si>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</si>
  <si>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</si>
  <si>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</si>
  <si>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</si>
  <si>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</si>
  <si>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</si>
  <si>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</si>
  <si>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</si>
  <si>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</si>
  <si>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</si>
  <si>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</si>
  <si>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</si>
  <si>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</si>
  <si>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</si>
  <si>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</si>
  <si>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</si>
  <si>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</si>
  <si>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</si>
  <si>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</si>
  <si>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</si>
  <si>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</si>
  <si>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</si>
  <si>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</si>
  <si>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</si>
  <si>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</si>
  <si>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</si>
  <si>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</si>
  <si>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</si>
  <si>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</si>
  <si>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</si>
  <si>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</si>
  <si>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</si>
  <si>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</si>
  <si>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</si>
  <si>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</si>
  <si>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</si>
  <si>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</si>
  <si>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</si>
  <si>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</si>
  <si>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</si>
  <si>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</si>
  <si>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</si>
  <si>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</si>
  <si>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</si>
  <si>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</si>
  <si>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</si>
  <si>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</si>
  <si>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</si>
  <si>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</si>
  <si>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</si>
  <si>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</si>
  <si>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</si>
  <si>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</si>
  <si>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</si>
  <si>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</si>
  <si>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</si>
  <si>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</si>
  <si>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</si>
  <si>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</si>
  <si>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</si>
  <si>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</si>
  <si>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</si>
  <si>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</si>
  <si>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</si>
  <si>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</si>
  <si>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</si>
  <si>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</si>
  <si>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</si>
  <si>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</si>
  <si>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</si>
  <si>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</si>
  <si>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</si>
  <si>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</si>
  <si>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</si>
  <si>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</si>
  <si>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</si>
  <si>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</si>
  <si>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</si>
  <si>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</si>
  <si>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</si>
  <si>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</si>
  <si>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</si>
  <si>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</si>
  <si>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</si>
  <si>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</si>
  <si>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</si>
  <si>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</si>
  <si>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</si>
  <si>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</si>
  <si>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</si>
  <si>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</si>
  <si>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</si>
  <si>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</si>
  <si>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</si>
  <si>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</si>
  <si>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</si>
  <si>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</si>
  <si>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</si>
  <si>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</si>
  <si>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</si>
  <si>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</si>
  <si>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</si>
  <si>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</si>
  <si>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</si>
  <si>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</si>
  <si>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</si>
  <si>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</si>
  <si>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</si>
  <si>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</si>
  <si>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</si>
  <si>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</si>
  <si>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</si>
  <si>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</si>
  <si>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</si>
  <si>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</si>
  <si>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</si>
  <si>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</si>
  <si>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</si>
  <si>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</si>
  <si>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</si>
  <si>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</si>
  <si>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</si>
  <si>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</si>
  <si>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</si>
  <si>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</si>
  <si>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</si>
  <si>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</si>
  <si>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</si>
  <si>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</si>
  <si>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</si>
  <si>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</si>
  <si>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</si>
  <si>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</si>
  <si>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</si>
  <si>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</si>
  <si>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</si>
  <si>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</si>
  <si>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</si>
  <si>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</si>
  <si>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</si>
  <si>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</si>
  <si>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</si>
  <si>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</si>
  <si>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</si>
  <si>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</si>
  <si>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</si>
  <si>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</si>
  <si>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</si>
  <si>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</si>
  <si>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</si>
  <si>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</si>
  <si>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</si>
  <si>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</si>
  <si>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</si>
  <si>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</si>
  <si>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</si>
  <si>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</si>
  <si>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</si>
  <si>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</si>
  <si>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</si>
  <si>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</si>
  <si>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</si>
  <si>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</si>
  <si>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</si>
  <si>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</si>
  <si>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</si>
  <si>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</si>
  <si>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</si>
  <si>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</si>
  <si>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</si>
  <si>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</si>
  <si>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</si>
  <si>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</si>
  <si>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</si>
  <si>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</si>
  <si>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</si>
  <si>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</si>
  <si>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</si>
  <si>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</si>
  <si>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</si>
  <si>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</si>
  <si>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</si>
  <si>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</si>
  <si>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</si>
  <si>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</si>
  <si>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</si>
  <si>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</si>
  <si>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</si>
  <si>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</si>
  <si>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</si>
  <si>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</si>
  <si>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</si>
  <si>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</si>
  <si>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</si>
  <si>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</si>
  <si>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</si>
  <si>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</si>
  <si>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</si>
  <si>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</si>
  <si>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</si>
  <si>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</si>
  <si>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</si>
  <si>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</si>
  <si>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</si>
  <si>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</si>
  <si>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</si>
  <si>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</si>
  <si>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</si>
  <si>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</si>
  <si>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</si>
  <si>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</si>
  <si>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</si>
  <si>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</si>
  <si>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</si>
  <si>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</si>
  <si>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</si>
  <si>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</si>
  <si>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</si>
  <si>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</si>
  <si>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</si>
  <si>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</si>
  <si>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</si>
  <si>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</si>
  <si>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</si>
  <si>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</si>
  <si>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</si>
  <si>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</si>
  <si>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</si>
  <si>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</si>
  <si>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</si>
  <si>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</si>
  <si>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</si>
  <si>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</si>
  <si>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</si>
  <si>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</si>
  <si>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</si>
  <si>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</si>
  <si>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</si>
  <si>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</si>
  <si>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</si>
  <si>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</si>
  <si>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</si>
  <si>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</si>
  <si>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</si>
  <si>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</si>
  <si>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</si>
  <si>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</si>
  <si>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</si>
  <si>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</si>
  <si>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</si>
  <si>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</si>
  <si>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</si>
  <si>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</si>
  <si>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</si>
  <si>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</si>
  <si>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</si>
  <si>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</si>
  <si>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</si>
  <si>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</si>
  <si>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</si>
  <si>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</si>
  <si>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</si>
  <si>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</si>
  <si>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</si>
  <si>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</si>
  <si>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</si>
  <si>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</si>
  <si>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</si>
  <si>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</si>
  <si>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</si>
  <si>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</si>
  <si>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</si>
  <si>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</si>
  <si>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</si>
  <si>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</si>
  <si>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</si>
  <si>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</si>
  <si>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</si>
  <si>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</si>
  <si>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</si>
  <si>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</si>
  <si>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</si>
  <si>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</si>
  <si>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</si>
  <si>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</si>
  <si>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</si>
  <si>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</si>
  <si>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</si>
  <si>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</si>
  <si>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</si>
  <si>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</si>
  <si>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</si>
  <si>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</si>
  <si>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</si>
  <si>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</si>
  <si>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</si>
  <si>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</si>
  <si>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</si>
  <si>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</si>
  <si>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</si>
  <si>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</si>
  <si>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</si>
  <si>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</si>
  <si>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</si>
  <si>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</si>
  <si>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</si>
  <si>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</si>
  <si>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</si>
  <si>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</si>
  <si>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</si>
  <si>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</si>
  <si>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</si>
  <si>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</si>
  <si>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</si>
  <si>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</si>
  <si>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</si>
  <si>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</si>
  <si>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</si>
  <si>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</si>
  <si>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</si>
  <si>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</si>
  <si>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</si>
  <si>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</si>
  <si>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</si>
  <si>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</si>
  <si>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</si>
  <si>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</si>
  <si>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</si>
  <si>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</si>
  <si>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</si>
  <si>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</si>
  <si>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</si>
  <si>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</si>
  <si>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</si>
  <si>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</si>
  <si>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</si>
  <si>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</si>
  <si>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</si>
  <si>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</si>
  <si>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</si>
  <si>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</si>
  <si>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</si>
  <si>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</si>
  <si>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</si>
  <si>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</si>
  <si>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</si>
  <si>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</si>
  <si>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</si>
  <si>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</si>
  <si>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</si>
  <si>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</si>
  <si>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</si>
  <si>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</si>
  <si>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</si>
  <si>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</si>
  <si>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</si>
  <si>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</si>
  <si>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</si>
  <si>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</si>
  <si>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</si>
  <si>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</si>
  <si>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</si>
  <si>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</si>
  <si>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</si>
  <si>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</si>
  <si>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</si>
  <si>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</si>
  <si>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</si>
  <si>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</si>
  <si>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</si>
  <si>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</si>
  <si>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</si>
  <si>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</si>
  <si>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</si>
  <si>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</si>
  <si>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</si>
  <si>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</si>
  <si>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</si>
  <si>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</si>
  <si>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</si>
  <si>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</si>
  <si>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</si>
  <si>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</si>
  <si>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</si>
  <si>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</si>
  <si>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</si>
  <si>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</si>
  <si>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</si>
  <si>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</si>
  <si>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</si>
  <si>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</si>
  <si>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</si>
  <si>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</si>
  <si>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</si>
  <si>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</si>
  <si>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</si>
  <si>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</si>
  <si>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</si>
  <si>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</si>
  <si>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</si>
  <si>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</si>
  <si>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</si>
  <si>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</si>
  <si>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</si>
  <si>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</si>
  <si>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</si>
  <si>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</si>
  <si>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</si>
  <si>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</si>
  <si>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</si>
  <si>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</si>
  <si>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</si>
  <si>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</si>
  <si>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</si>
  <si>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</si>
  <si>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</si>
  <si>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</si>
  <si>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</si>
  <si>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</si>
  <si>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</si>
  <si>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</si>
  <si>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</si>
  <si>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</si>
  <si>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</si>
  <si>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</si>
  <si>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</si>
  <si>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</si>
  <si>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</si>
  <si>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</si>
  <si>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</si>
  <si>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</si>
  <si>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</si>
  <si>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</si>
  <si>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</si>
  <si>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</si>
  <si>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</si>
  <si>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</si>
  <si>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</si>
  <si>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</si>
  <si>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</si>
  <si>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</si>
  <si>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</si>
  <si>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</si>
  <si>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</si>
  <si>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</si>
  <si>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</si>
  <si>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</si>
  <si>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</si>
  <si>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</si>
  <si>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</si>
  <si>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</si>
  <si>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</si>
  <si>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</si>
  <si>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</si>
  <si>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</si>
  <si>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</si>
  <si>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</si>
  <si>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</si>
  <si>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</si>
  <si>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</si>
  <si>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</si>
  <si>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</si>
  <si>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</si>
  <si>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</si>
  <si>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</si>
  <si>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</si>
  <si>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</si>
  <si>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</si>
  <si>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</si>
  <si>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</si>
  <si>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</si>
  <si>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</si>
  <si>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</si>
  <si>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</si>
  <si>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</si>
  <si>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</si>
  <si>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</si>
  <si>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</si>
  <si>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</si>
  <si>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</si>
  <si>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</si>
  <si>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</si>
  <si>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</si>
  <si>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</si>
  <si>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</si>
  <si>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</si>
  <si>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</si>
  <si>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</si>
  <si>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</si>
  <si>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</si>
  <si>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</si>
  <si>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</si>
  <si>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</si>
  <si>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</si>
  <si>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</si>
  <si>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</si>
  <si>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</si>
  <si>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</si>
  <si>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</si>
  <si>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</si>
  <si>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</si>
  <si>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</si>
  <si>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</si>
  <si>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</si>
  <si>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</si>
  <si>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</si>
  <si>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</si>
  <si>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</si>
  <si>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</si>
  <si>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</si>
  <si>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</si>
  <si>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</si>
  <si>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</si>
  <si>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</si>
  <si>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</si>
  <si>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</si>
  <si>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</si>
  <si>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</si>
  <si>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</si>
  <si>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</si>
  <si>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</si>
  <si>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</si>
  <si>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</si>
  <si>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</si>
  <si>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</si>
  <si>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</si>
  <si>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</si>
  <si>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</si>
  <si>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</si>
  <si>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</si>
  <si>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</si>
  <si>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</si>
  <si>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</si>
  <si>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</si>
  <si>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</si>
  <si>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</si>
  <si>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</si>
  <si>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</si>
  <si>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</si>
  <si>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</si>
  <si>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</si>
  <si>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</si>
  <si>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</si>
  <si>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</si>
  <si>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</si>
  <si>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</si>
  <si>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</si>
  <si>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</si>
  <si>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</si>
  <si>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</si>
  <si>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</si>
  <si>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</si>
  <si>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</si>
  <si>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</si>
  <si>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</si>
  <si>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</si>
  <si>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</si>
  <si>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</si>
  <si>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</si>
  <si>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</si>
  <si>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</si>
  <si>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</si>
  <si>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</si>
  <si>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</si>
  <si>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</si>
  <si>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</si>
  <si>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</si>
  <si>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</si>
  <si>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</si>
  <si>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</si>
  <si>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</si>
  <si>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</si>
  <si>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</si>
  <si>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</si>
  <si>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</si>
  <si>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</si>
  <si>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</si>
  <si>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</si>
  <si>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</si>
  <si>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</si>
  <si>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</si>
  <si>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</si>
  <si>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</si>
  <si>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</si>
  <si>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</si>
  <si>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</si>
  <si>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</si>
  <si>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</si>
  <si>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</si>
  <si>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</si>
  <si>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</si>
  <si>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</si>
  <si>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</si>
  <si>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</si>
  <si>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</si>
  <si>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</si>
  <si>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</si>
  <si>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</si>
  <si>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</si>
  <si>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</si>
  <si>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</si>
  <si>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</si>
  <si>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</si>
  <si>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</si>
  <si>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</si>
  <si>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</si>
  <si>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</si>
  <si>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</si>
  <si>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</si>
  <si>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</si>
  <si>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</si>
  <si>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</si>
  <si>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</si>
  <si>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</si>
  <si>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</si>
  <si>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</si>
  <si>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</si>
  <si>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</si>
  <si>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</si>
  <si>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</si>
  <si>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</si>
  <si>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</si>
  <si>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</si>
  <si>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</si>
  <si>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</si>
  <si>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</si>
  <si>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</si>
  <si>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</si>
  <si>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</si>
  <si>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</si>
  <si>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</si>
  <si>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</si>
  <si>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</si>
  <si>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</si>
  <si>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</si>
  <si>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</si>
  <si>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</si>
  <si>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</si>
  <si>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</si>
  <si>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</si>
  <si>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</si>
  <si>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</si>
  <si>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</si>
  <si>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</si>
  <si>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</si>
  <si>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</si>
  <si>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</si>
  <si>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</si>
  <si>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</si>
  <si>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</si>
  <si>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</si>
  <si>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</si>
  <si>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</si>
  <si>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</si>
  <si>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</si>
  <si>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</si>
  <si>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</si>
  <si>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</si>
  <si>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</si>
  <si>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</si>
  <si>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</si>
  <si>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</si>
  <si>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</si>
  <si>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</si>
  <si>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</si>
  <si>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</si>
  <si>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</si>
  <si>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</si>
  <si>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</si>
  <si>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</si>
  <si>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</si>
  <si>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</si>
  <si>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</si>
  <si>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</si>
  <si>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</si>
  <si>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</si>
  <si>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</si>
  <si>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</si>
  <si>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</si>
  <si>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</si>
  <si>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</si>
  <si>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</si>
  <si>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</si>
  <si>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</si>
  <si>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</si>
  <si>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</si>
  <si>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</si>
  <si>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</si>
  <si>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</si>
  <si>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</si>
  <si>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</si>
  <si>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</si>
  <si>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</si>
  <si>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</si>
  <si>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</si>
  <si>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</si>
  <si>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</si>
  <si>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</si>
  <si>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</si>
  <si>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</si>
  <si>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</si>
  <si>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</si>
  <si>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</si>
  <si>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</si>
  <si>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</si>
  <si>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</si>
  <si>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</si>
  <si>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</si>
  <si>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</si>
  <si>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</si>
  <si>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</si>
  <si>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</si>
  <si>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</si>
  <si>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</si>
  <si>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</si>
  <si>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</si>
  <si>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</si>
  <si>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</si>
  <si>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</si>
  <si>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</si>
  <si>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</si>
  <si>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</si>
  <si>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</si>
  <si>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</si>
  <si>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</si>
  <si>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</si>
  <si>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</si>
  <si>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</si>
  <si>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</si>
  <si>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</si>
  <si>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</si>
  <si>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</si>
  <si>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</si>
  <si>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</si>
  <si>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</si>
  <si>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</si>
  <si>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</si>
  <si>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</si>
  <si>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</si>
  <si>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</si>
  <si>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</si>
  <si>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</si>
  <si>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</si>
  <si>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</si>
  <si>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</si>
  <si>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</si>
  <si>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</si>
  <si>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</si>
  <si>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</si>
  <si>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</si>
  <si>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</si>
  <si>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</si>
  <si>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</si>
  <si>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</si>
  <si>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</si>
  <si>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</si>
  <si>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</si>
  <si>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</si>
  <si>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</si>
  <si>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</si>
  <si>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</si>
  <si>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</si>
  <si>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</si>
  <si>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</si>
  <si>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</si>
  <si>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</si>
  <si>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</si>
  <si>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</si>
  <si>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</si>
  <si>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</si>
  <si>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</si>
  <si>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</si>
  <si>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</si>
  <si>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</si>
  <si>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</si>
  <si>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</si>
  <si>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</si>
  <si>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</si>
  <si>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</si>
  <si>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</si>
  <si>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</si>
  <si>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</si>
  <si>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</si>
  <si>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</si>
  <si>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</si>
  <si>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</si>
  <si>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</si>
  <si>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</si>
  <si>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</si>
  <si>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</si>
  <si>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</si>
  <si>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</si>
  <si>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</si>
  <si>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</si>
  <si>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</si>
  <si>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</si>
  <si>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</si>
  <si>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</si>
  <si>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</si>
  <si>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</si>
  <si>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</si>
  <si>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</si>
  <si>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</si>
  <si>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</si>
  <si>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</si>
  <si>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</si>
  <si>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</si>
  <si>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</si>
  <si>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</si>
  <si>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</si>
  <si>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</si>
  <si>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</si>
  <si>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</si>
  <si>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</si>
  <si>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</si>
  <si>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</si>
  <si>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</si>
  <si>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</si>
  <si>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</si>
  <si>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</si>
  <si>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</si>
  <si>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</si>
  <si>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</si>
  <si>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</si>
  <si>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</si>
  <si>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</si>
  <si>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</si>
  <si>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</si>
  <si>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</si>
  <si>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</si>
  <si>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</si>
  <si>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</si>
  <si>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</si>
  <si>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</si>
  <si>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</si>
  <si>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</si>
  <si>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</si>
  <si>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</si>
  <si>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</si>
  <si>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</si>
  <si>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</si>
  <si>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</si>
  <si>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</si>
  <si>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</si>
  <si>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</si>
  <si>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</si>
  <si>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</si>
  <si>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</si>
  <si>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</si>
  <si>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</si>
  <si>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</si>
  <si>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</si>
  <si>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</si>
  <si>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</si>
  <si>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</si>
  <si>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</si>
  <si>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</si>
  <si>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</si>
  <si>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</si>
  <si>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</si>
  <si>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</si>
  <si>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</si>
  <si>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</si>
  <si>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</si>
  <si>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</si>
  <si>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</si>
  <si>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</si>
  <si>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</si>
  <si>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</si>
  <si>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</si>
  <si>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</si>
  <si>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</si>
  <si>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</si>
  <si>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</si>
  <si>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</si>
  <si>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</si>
  <si>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</si>
  <si>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</si>
  <si>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</si>
  <si>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</si>
  <si>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</si>
  <si>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</si>
  <si>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</si>
  <si>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</si>
  <si>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</si>
  <si>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</si>
  <si>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</si>
  <si>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</si>
  <si>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</si>
  <si>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</si>
  <si>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</si>
  <si>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</si>
  <si>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</si>
  <si>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</si>
  <si>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</si>
  <si>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</si>
  <si>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</si>
  <si>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</si>
  <si>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</si>
  <si>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</si>
  <si>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</si>
  <si>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</si>
  <si>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</si>
  <si>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</si>
  <si>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</si>
  <si>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</si>
  <si>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</si>
  <si>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</si>
  <si>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</si>
  <si>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</si>
  <si>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</si>
  <si>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</si>
  <si>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</si>
  <si>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</si>
  <si>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</si>
  <si>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</si>
  <si>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</si>
  <si>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</si>
  <si>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</si>
  <si>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</si>
  <si>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</si>
  <si>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</si>
  <si>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</si>
  <si>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</si>
  <si>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</si>
  <si>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</si>
  <si>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</si>
  <si>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</si>
  <si>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</si>
  <si>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</si>
  <si>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</si>
  <si>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</si>
  <si>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</si>
  <si>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</si>
  <si>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</si>
  <si>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</si>
  <si>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</si>
  <si>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</si>
  <si>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</si>
  <si>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</si>
  <si>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</si>
  <si>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</si>
  <si>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</si>
  <si>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</si>
  <si>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</si>
  <si>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</si>
  <si>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</si>
  <si>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</si>
  <si>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</si>
  <si>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</si>
  <si>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</si>
  <si>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</si>
  <si>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</si>
  <si>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</si>
  <si>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</si>
  <si>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</si>
  <si>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</si>
  <si>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</si>
  <si>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</si>
  <si>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</si>
  <si>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</si>
  <si>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</si>
  <si>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</si>
  <si>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</si>
  <si>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</si>
  <si>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</si>
  <si>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</si>
  <si>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</si>
  <si>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</si>
  <si>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</si>
  <si>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</si>
  <si>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</si>
  <si>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</si>
  <si>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</si>
  <si>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</si>
  <si>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</si>
  <si>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</si>
  <si>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</si>
  <si>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</si>
  <si>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</si>
  <si>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</si>
  <si>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</si>
  <si>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</si>
  <si>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</si>
  <si>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</si>
  <si>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</si>
  <si>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</si>
  <si>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</si>
  <si>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</si>
  <si>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</si>
  <si>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</si>
  <si>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</si>
  <si>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</si>
  <si>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</si>
  <si>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</si>
  <si>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</si>
  <si>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</si>
  <si>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</si>
  <si>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</si>
  <si>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</si>
  <si>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</si>
  <si>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</si>
  <si>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</si>
  <si>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</si>
  <si>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</si>
  <si>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</si>
  <si>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</si>
  <si>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</si>
  <si>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</si>
  <si>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</si>
  <si>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</si>
  <si>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</si>
  <si>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</si>
  <si>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</si>
  <si>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</si>
  <si>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</si>
  <si>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</si>
  <si>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</si>
  <si>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</si>
  <si>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</si>
  <si>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</si>
  <si>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</si>
  <si>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</si>
  <si>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</si>
  <si>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</si>
  <si>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</si>
  <si>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</si>
  <si>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</si>
  <si>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</si>
  <si>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</si>
  <si>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</si>
  <si>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</si>
  <si>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</si>
  <si>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</si>
  <si>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</si>
  <si>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</si>
  <si>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</si>
  <si>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</si>
  <si>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</si>
  <si>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</si>
  <si>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</si>
  <si>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</si>
  <si>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</si>
  <si>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</si>
  <si>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</si>
  <si>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</si>
  <si>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</si>
  <si>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</si>
  <si>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</si>
  <si>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</si>
  <si>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</si>
  <si>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</si>
  <si>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</si>
  <si>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</si>
  <si>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</si>
  <si>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</si>
  <si>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</si>
  <si>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</si>
  <si>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</si>
  <si>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</si>
  <si>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</si>
  <si>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</si>
  <si>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</si>
  <si>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</si>
  <si>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</si>
  <si>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</si>
  <si>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</si>
  <si>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</si>
  <si>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</si>
  <si>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</si>
  <si>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</si>
  <si>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</si>
  <si>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</si>
  <si>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</si>
  <si>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</si>
  <si>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</si>
  <si>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</si>
  <si>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</si>
  <si>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</si>
  <si>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</si>
  <si>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</si>
  <si>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</si>
  <si>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</si>
  <si>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</si>
  <si>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</si>
  <si>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</si>
  <si>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</si>
  <si>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</si>
  <si>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</si>
  <si>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</si>
  <si>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</si>
  <si>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</si>
  <si>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</si>
  <si>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</si>
  <si>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</si>
  <si>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</si>
  <si>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</si>
  <si>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</si>
  <si>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</si>
  <si>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</si>
  <si>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</si>
  <si>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</si>
  <si>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</si>
  <si>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</si>
  <si>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</si>
  <si>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</si>
  <si>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</si>
  <si>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</si>
  <si>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</si>
  <si>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</si>
  <si>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</si>
  <si>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</si>
  <si>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</si>
  <si>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</si>
  <si>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</si>
  <si>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</si>
  <si>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</si>
  <si>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</si>
  <si>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</si>
  <si>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</si>
  <si>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</si>
  <si>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</si>
  <si>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</si>
  <si>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</si>
  <si>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</si>
  <si>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</si>
  <si>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</si>
  <si>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</si>
  <si>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</si>
  <si>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</si>
  <si>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</si>
  <si>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</si>
  <si>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</si>
  <si>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</si>
  <si>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</si>
  <si>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</si>
  <si>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</si>
  <si>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</si>
  <si>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</si>
  <si>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</si>
  <si>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</si>
  <si>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portfolio_51</t>
  </si>
  <si>
    <t>portfolio_52</t>
  </si>
  <si>
    <t>portfolio_53</t>
  </si>
  <si>
    <t>portfolio_54</t>
  </si>
  <si>
    <t>portfolio_55</t>
  </si>
  <si>
    <t>portfolio_56</t>
  </si>
  <si>
    <t>portfolio_57</t>
  </si>
  <si>
    <t>portfolio_58</t>
  </si>
  <si>
    <t>A3(cr)</t>
  </si>
  <si>
    <t>A2</t>
  </si>
  <si>
    <t>P-2(cr)</t>
  </si>
  <si>
    <t>P-1</t>
  </si>
  <si>
    <t>POS</t>
  </si>
  <si>
    <t>A+</t>
  </si>
  <si>
    <t>STABLE</t>
  </si>
  <si>
    <t>A+(dcr)</t>
  </si>
  <si>
    <t>AH</t>
  </si>
  <si>
    <t>R-1M</t>
  </si>
  <si>
    <t>A1(cr)</t>
  </si>
  <si>
    <t>P-1(cr)</t>
  </si>
  <si>
    <t>Aa2(cr)</t>
  </si>
  <si>
    <t>Aa2</t>
  </si>
  <si>
    <t>AA-</t>
  </si>
  <si>
    <t>F1+</t>
  </si>
  <si>
    <t>AA(dcr)</t>
  </si>
  <si>
    <t>AAL</t>
  </si>
  <si>
    <t>NEG</t>
  </si>
  <si>
    <t>AA</t>
  </si>
  <si>
    <t>A1</t>
  </si>
  <si>
    <t>A-</t>
  </si>
  <si>
    <t>A(dcr)</t>
  </si>
  <si>
    <t>AAA (sf)/Aaa (sf)</t>
  </si>
  <si>
    <t>AA+ (sf)/Aaa (sf)</t>
  </si>
  <si>
    <t>AA (sf)/Aa1 (sf)</t>
  </si>
  <si>
    <t>AA- (sf)/Aa2 (sf)</t>
  </si>
  <si>
    <t>A+ (sf)/Aa3 (sf)</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</si>
  <si>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</si>
  <si>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</si>
  <si>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</si>
  <si>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</si>
  <si>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</si>
  <si>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</si>
  <si>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</si>
  <si>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</si>
  <si>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</si>
  <si>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</si>
  <si>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</si>
  <si>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</si>
  <si>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</si>
  <si>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</si>
  <si>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</si>
  <si>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</si>
  <si>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</si>
  <si>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</si>
  <si>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</si>
  <si>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</si>
  <si>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</si>
  <si>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</si>
  <si>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</si>
  <si>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</si>
  <si>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</si>
  <si>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</si>
  <si>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</si>
  <si>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</si>
  <si>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</si>
  <si>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</si>
  <si>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</si>
  <si>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</si>
  <si>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</si>
  <si>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</si>
  <si>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</si>
  <si>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</si>
  <si>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</si>
  <si>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</si>
  <si>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</si>
  <si>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</si>
  <si>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</si>
  <si>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</si>
  <si>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</si>
  <si>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</si>
  <si>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</si>
  <si>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</si>
  <si>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</si>
  <si>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</si>
  <si>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</si>
  <si>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</si>
  <si>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</si>
  <si>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</si>
  <si>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</si>
  <si>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</si>
  <si>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</si>
  <si>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</si>
  <si>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</si>
  <si>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</si>
  <si>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</si>
  <si>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</si>
  <si>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</si>
  <si>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</si>
  <si>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</si>
  <si>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</si>
  <si>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</si>
  <si>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</si>
  <si>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</si>
  <si>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</si>
  <si>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</si>
  <si>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</si>
  <si>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</si>
  <si>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</si>
  <si>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</si>
  <si>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</si>
  <si>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</si>
  <si>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</si>
  <si>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</si>
  <si>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</si>
  <si>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</si>
  <si>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</si>
  <si>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</si>
  <si>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</si>
  <si>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</si>
  <si>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</si>
  <si>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</si>
  <si>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</si>
  <si>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</si>
  <si>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</si>
  <si>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</si>
  <si>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</si>
  <si>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</si>
  <si>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</si>
  <si>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</si>
  <si>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</si>
  <si>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</si>
  <si>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</si>
  <si>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</si>
  <si>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</si>
  <si>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</si>
  <si>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</si>
  <si>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</si>
  <si>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</si>
  <si>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</si>
  <si>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</si>
  <si>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</si>
  <si>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</si>
  <si>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</si>
  <si>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</si>
  <si>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</si>
  <si>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</si>
  <si>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</si>
  <si>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</si>
  <si>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</si>
  <si>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</si>
  <si>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</si>
  <si>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</si>
  <si>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</si>
  <si>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</si>
  <si>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</si>
  <si>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</si>
  <si>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</si>
  <si>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</si>
  <si>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</si>
  <si>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</si>
  <si>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</si>
  <si>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</si>
  <si>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</si>
  <si>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</si>
  <si>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</si>
  <si>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</si>
  <si>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</si>
  <si>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</si>
  <si>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</si>
  <si>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</si>
  <si>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</si>
  <si>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</si>
  <si>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</si>
  <si>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</si>
  <si>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</si>
  <si>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</si>
  <si>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</si>
  <si>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</si>
  <si>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</si>
  <si>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</si>
  <si>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</si>
  <si>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</si>
  <si>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</si>
  <si>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</si>
  <si>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</si>
  <si>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</si>
  <si>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</si>
  <si>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</si>
  <si>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</si>
  <si>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</si>
  <si>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</si>
  <si>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</si>
  <si>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</si>
  <si>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</si>
  <si>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</si>
  <si>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</si>
  <si>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</si>
  <si>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</si>
  <si>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</si>
  <si>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</si>
  <si>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</si>
  <si>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</si>
  <si>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</si>
  <si>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</si>
  <si>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</si>
  <si>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</si>
  <si>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</si>
  <si>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</si>
  <si>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</si>
  <si>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</si>
  <si>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</si>
  <si>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</si>
  <si>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</si>
  <si>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</si>
  <si>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</si>
  <si>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</si>
  <si>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</si>
  <si>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</si>
  <si>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</si>
  <si>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</si>
  <si>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</si>
  <si>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</si>
  <si>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</si>
  <si>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</si>
  <si>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</si>
  <si>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</si>
  <si>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</si>
  <si>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</si>
  <si>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</si>
  <si>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</si>
  <si>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</si>
  <si>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</si>
  <si>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</si>
  <si>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</si>
  <si>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</si>
  <si>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</si>
  <si>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</si>
  <si>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</si>
  <si>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</si>
  <si>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</si>
  <si>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</si>
  <si>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</si>
  <si>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</si>
  <si>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</si>
  <si>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</si>
  <si>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</si>
  <si>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</si>
  <si>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</si>
  <si>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</si>
  <si>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</si>
  <si>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</si>
  <si>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</si>
  <si>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</si>
  <si>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</si>
  <si>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</si>
  <si>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</si>
  <si>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</si>
  <si>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</si>
  <si>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</si>
  <si>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</si>
  <si>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</si>
  <si>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</si>
  <si>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</si>
  <si>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</si>
  <si>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</si>
  <si>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</si>
  <si>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</si>
  <si>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</si>
  <si>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</si>
  <si>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</si>
  <si>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</si>
  <si>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</si>
  <si>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portfolio_59</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</si>
  <si>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</si>
  <si>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</si>
  <si>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</si>
  <si>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</si>
  <si>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</si>
  <si>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</si>
  <si>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</si>
  <si>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</si>
  <si>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</si>
  <si>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</si>
  <si>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</si>
  <si>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</si>
  <si>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</si>
  <si>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</si>
  <si>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</si>
  <si>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</si>
  <si>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30.09.2025,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</si>
</sst>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9">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44" fontId="7" fillId="0" borderId="0" xfId="0"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0" fontId="2" fillId="0" borderId="0" xfId="0" applyFont="1"/>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952852.64999999944</c:v>
                </c:pt>
                <c:pt idx="1">
                  <c:v>8247504.4199999524</c:v>
                </c:pt>
                <c:pt idx="2">
                  <c:v>17805992.919999957</c:v>
                </c:pt>
                <c:pt idx="3">
                  <c:v>19631116.470000062</c:v>
                </c:pt>
                <c:pt idx="4">
                  <c:v>20186007.040000036</c:v>
                </c:pt>
                <c:pt idx="5">
                  <c:v>34427927.70000004</c:v>
                </c:pt>
                <c:pt idx="6">
                  <c:v>27022575.300000019</c:v>
                </c:pt>
                <c:pt idx="7">
                  <c:v>32966087.930000015</c:v>
                </c:pt>
                <c:pt idx="8">
                  <c:v>30222096.490000028</c:v>
                </c:pt>
                <c:pt idx="9">
                  <c:v>29451798.059999995</c:v>
                </c:pt>
                <c:pt idx="10">
                  <c:v>45002369.539999947</c:v>
                </c:pt>
                <c:pt idx="11">
                  <c:v>31707478.260000017</c:v>
                </c:pt>
                <c:pt idx="12">
                  <c:v>41545263.060000099</c:v>
                </c:pt>
                <c:pt idx="13">
                  <c:v>29603432.610000022</c:v>
                </c:pt>
                <c:pt idx="14">
                  <c:v>28267254.740000013</c:v>
                </c:pt>
                <c:pt idx="15">
                  <c:v>32179989.679999985</c:v>
                </c:pt>
                <c:pt idx="16">
                  <c:v>21630177.03999998</c:v>
                </c:pt>
                <c:pt idx="17">
                  <c:v>25199834.650000013</c:v>
                </c:pt>
                <c:pt idx="18">
                  <c:v>19215923.600000009</c:v>
                </c:pt>
                <c:pt idx="19">
                  <c:v>18498760.20999999</c:v>
                </c:pt>
                <c:pt idx="20">
                  <c:v>21768806.159999989</c:v>
                </c:pt>
                <c:pt idx="21">
                  <c:v>14841463.750000013</c:v>
                </c:pt>
                <c:pt idx="22">
                  <c:v>16231144.959999988</c:v>
                </c:pt>
                <c:pt idx="23">
                  <c:v>11778794.030000003</c:v>
                </c:pt>
                <c:pt idx="24">
                  <c:v>11607101.229999995</c:v>
                </c:pt>
                <c:pt idx="25">
                  <c:v>20533352.419999998</c:v>
                </c:pt>
                <c:pt idx="26">
                  <c:v>11729422.570000006</c:v>
                </c:pt>
                <c:pt idx="27">
                  <c:v>11310796.489999993</c:v>
                </c:pt>
                <c:pt idx="28">
                  <c:v>8311659.7999999989</c:v>
                </c:pt>
                <c:pt idx="29">
                  <c:v>7601229.879999999</c:v>
                </c:pt>
                <c:pt idx="30">
                  <c:v>14430799.329999998</c:v>
                </c:pt>
                <c:pt idx="31">
                  <c:v>5859131.3399999989</c:v>
                </c:pt>
                <c:pt idx="32">
                  <c:v>6413630.4400000004</c:v>
                </c:pt>
                <c:pt idx="33">
                  <c:v>4074039.1199999996</c:v>
                </c:pt>
                <c:pt idx="34">
                  <c:v>5309868.1399999987</c:v>
                </c:pt>
                <c:pt idx="35">
                  <c:v>4750455.5199999996</c:v>
                </c:pt>
                <c:pt idx="36">
                  <c:v>3797802.08</c:v>
                </c:pt>
                <c:pt idx="37">
                  <c:v>4420948.9800000004</c:v>
                </c:pt>
                <c:pt idx="38">
                  <c:v>1311573.05</c:v>
                </c:pt>
                <c:pt idx="39">
                  <c:v>1815656.0600000003</c:v>
                </c:pt>
                <c:pt idx="40">
                  <c:v>2188099.34</c:v>
                </c:pt>
                <c:pt idx="41">
                  <c:v>1742563.56</c:v>
                </c:pt>
                <c:pt idx="42">
                  <c:v>2714683.8600000003</c:v>
                </c:pt>
                <c:pt idx="43">
                  <c:v>1044437.9500000001</c:v>
                </c:pt>
                <c:pt idx="44">
                  <c:v>800259.36</c:v>
                </c:pt>
                <c:pt idx="45">
                  <c:v>181070.93</c:v>
                </c:pt>
                <c:pt idx="46">
                  <c:v>556845.49</c:v>
                </c:pt>
                <c:pt idx="47">
                  <c:v>285313.62</c:v>
                </c:pt>
                <c:pt idx="48">
                  <c:v>581644.27</c:v>
                </c:pt>
                <c:pt idx="49">
                  <c:v>496306.37</c:v>
                </c:pt>
                <c:pt idx="50">
                  <c:v>1087535.8800000001</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10258146.680000035</c:v>
                </c:pt>
                <c:pt idx="1">
                  <c:v>20732391.399999943</c:v>
                </c:pt>
                <c:pt idx="2">
                  <c:v>24056597.710000001</c:v>
                </c:pt>
                <c:pt idx="3">
                  <c:v>26408710.629999954</c:v>
                </c:pt>
                <c:pt idx="4">
                  <c:v>25629557.790000081</c:v>
                </c:pt>
                <c:pt idx="5">
                  <c:v>22792193.809999943</c:v>
                </c:pt>
                <c:pt idx="6">
                  <c:v>19032853.020000011</c:v>
                </c:pt>
                <c:pt idx="7">
                  <c:v>16464230.339999992</c:v>
                </c:pt>
                <c:pt idx="8">
                  <c:v>14002744.149999995</c:v>
                </c:pt>
                <c:pt idx="9">
                  <c:v>11319842.159999998</c:v>
                </c:pt>
                <c:pt idx="10">
                  <c:v>9430599.6300000045</c:v>
                </c:pt>
                <c:pt idx="11">
                  <c:v>9243095.9399999958</c:v>
                </c:pt>
                <c:pt idx="12">
                  <c:v>7113699.1999999974</c:v>
                </c:pt>
                <c:pt idx="13">
                  <c:v>6096260.0300000012</c:v>
                </c:pt>
                <c:pt idx="14">
                  <c:v>4479471.2</c:v>
                </c:pt>
                <c:pt idx="15">
                  <c:v>3867809.7499999991</c:v>
                </c:pt>
                <c:pt idx="16">
                  <c:v>2999422.0100000012</c:v>
                </c:pt>
                <c:pt idx="17">
                  <c:v>2649698.7999999989</c:v>
                </c:pt>
                <c:pt idx="18">
                  <c:v>1766834.6300000001</c:v>
                </c:pt>
                <c:pt idx="19">
                  <c:v>1284933.6900000002</c:v>
                </c:pt>
                <c:pt idx="20">
                  <c:v>983935.3400000002</c:v>
                </c:pt>
                <c:pt idx="21">
                  <c:v>604172.46</c:v>
                </c:pt>
                <c:pt idx="22">
                  <c:v>492759.44000000006</c:v>
                </c:pt>
                <c:pt idx="23">
                  <c:v>469583.05</c:v>
                </c:pt>
                <c:pt idx="24">
                  <c:v>390480.15</c:v>
                </c:pt>
                <c:pt idx="25">
                  <c:v>358576.31</c:v>
                </c:pt>
                <c:pt idx="26">
                  <c:v>213348.15</c:v>
                </c:pt>
                <c:pt idx="27">
                  <c:v>109500.45999999999</c:v>
                </c:pt>
                <c:pt idx="28">
                  <c:v>113053.35</c:v>
                </c:pt>
                <c:pt idx="29">
                  <c:v>119076.45999999999</c:v>
                </c:pt>
                <c:pt idx="30">
                  <c:v>0</c:v>
                </c:pt>
                <c:pt idx="31">
                  <c:v>0</c:v>
                </c:pt>
                <c:pt idx="32">
                  <c:v>0</c:v>
                </c:pt>
                <c:pt idx="33">
                  <c:v>134135.94</c:v>
                </c:pt>
                <c:pt idx="34">
                  <c:v>138365.32999999999</c:v>
                </c:pt>
                <c:pt idx="35">
                  <c:v>70061.62</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972346.68999999959</c:v>
                </c:pt>
                <c:pt idx="1">
                  <c:v>29040298.970000021</c:v>
                </c:pt>
                <c:pt idx="2">
                  <c:v>30940142.680000018</c:v>
                </c:pt>
                <c:pt idx="3">
                  <c:v>10087948.230000008</c:v>
                </c:pt>
                <c:pt idx="4">
                  <c:v>10042708.449999999</c:v>
                </c:pt>
                <c:pt idx="5">
                  <c:v>2140753.5600000005</c:v>
                </c:pt>
                <c:pt idx="6">
                  <c:v>4523280.0700000012</c:v>
                </c:pt>
                <c:pt idx="7">
                  <c:v>17739293.910000011</c:v>
                </c:pt>
                <c:pt idx="8">
                  <c:v>9202518.6199999899</c:v>
                </c:pt>
                <c:pt idx="9">
                  <c:v>24415655.720000044</c:v>
                </c:pt>
                <c:pt idx="10">
                  <c:v>52572440.73999998</c:v>
                </c:pt>
                <c:pt idx="11">
                  <c:v>12195679.959999999</c:v>
                </c:pt>
                <c:pt idx="12">
                  <c:v>3056440.8100000019</c:v>
                </c:pt>
                <c:pt idx="13">
                  <c:v>11298647.269999981</c:v>
                </c:pt>
                <c:pt idx="14">
                  <c:v>9869245.2300000116</c:v>
                </c:pt>
                <c:pt idx="15">
                  <c:v>8177334.7400000207</c:v>
                </c:pt>
                <c:pt idx="16">
                  <c:v>7551404.980000007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701787.38999999955</c:v>
                </c:pt>
                <c:pt idx="1">
                  <c:v>2002240.71</c:v>
                </c:pt>
                <c:pt idx="2">
                  <c:v>17227263.019999992</c:v>
                </c:pt>
                <c:pt idx="3">
                  <c:v>29891687.07999989</c:v>
                </c:pt>
                <c:pt idx="4">
                  <c:v>50653444.360000059</c:v>
                </c:pt>
                <c:pt idx="5">
                  <c:v>50784754.559999838</c:v>
                </c:pt>
                <c:pt idx="6">
                  <c:v>50299722.019999981</c:v>
                </c:pt>
                <c:pt idx="7">
                  <c:v>29151739.750000037</c:v>
                </c:pt>
                <c:pt idx="8">
                  <c:v>9171117.9100000057</c:v>
                </c:pt>
                <c:pt idx="9">
                  <c:v>3069131.8299999982</c:v>
                </c:pt>
                <c:pt idx="10">
                  <c:v>665131.36000000022</c:v>
                </c:pt>
                <c:pt idx="11">
                  <c:v>160305.83000000005</c:v>
                </c:pt>
                <c:pt idx="12">
                  <c:v>43920.930000000008</c:v>
                </c:pt>
                <c:pt idx="13">
                  <c:v>3893.88</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6575338.7199999988</c:v>
                </c:pt>
                <c:pt idx="17">
                  <c:v>21614495.719999991</c:v>
                </c:pt>
                <c:pt idx="18">
                  <c:v>28586507.869999971</c:v>
                </c:pt>
                <c:pt idx="19">
                  <c:v>33780121.530000024</c:v>
                </c:pt>
                <c:pt idx="20">
                  <c:v>49171554.909999952</c:v>
                </c:pt>
                <c:pt idx="21">
                  <c:v>34560300.220000021</c:v>
                </c:pt>
                <c:pt idx="22">
                  <c:v>33861574.43</c:v>
                </c:pt>
                <c:pt idx="23">
                  <c:v>22066723.140000064</c:v>
                </c:pt>
                <c:pt idx="24">
                  <c:v>5854121.2299999949</c:v>
                </c:pt>
                <c:pt idx="25">
                  <c:v>2480675.7999999993</c:v>
                </c:pt>
                <c:pt idx="26">
                  <c:v>3153599.4899999998</c:v>
                </c:pt>
                <c:pt idx="27">
                  <c:v>2121127.5699999975</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3314578.16</c:v>
                </c:pt>
                <c:pt idx="1">
                  <c:v>9210751.2500000186</c:v>
                </c:pt>
                <c:pt idx="2">
                  <c:v>21744169.819999911</c:v>
                </c:pt>
                <c:pt idx="3">
                  <c:v>35767149.879999869</c:v>
                </c:pt>
                <c:pt idx="4">
                  <c:v>59503626.349999957</c:v>
                </c:pt>
                <c:pt idx="5">
                  <c:v>63423162.379999951</c:v>
                </c:pt>
                <c:pt idx="6">
                  <c:v>39406787.480000086</c:v>
                </c:pt>
                <c:pt idx="7">
                  <c:v>7940299.6300000036</c:v>
                </c:pt>
                <c:pt idx="8">
                  <c:v>1974637.2000000004</c:v>
                </c:pt>
                <c:pt idx="9">
                  <c:v>583753.13000000012</c:v>
                </c:pt>
                <c:pt idx="10">
                  <c:v>406892.90999999992</c:v>
                </c:pt>
                <c:pt idx="11">
                  <c:v>311454.94</c:v>
                </c:pt>
                <c:pt idx="12">
                  <c:v>17511.68</c:v>
                </c:pt>
                <c:pt idx="13">
                  <c:v>168310.52000000002</c:v>
                </c:pt>
                <c:pt idx="14">
                  <c:v>53055.3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-16642.010000000002</c:v>
                </c:pt>
                <c:pt idx="1">
                  <c:v>-32552.489999999998</c:v>
                </c:pt>
                <c:pt idx="2">
                  <c:v>-2291.510000000002</c:v>
                </c:pt>
                <c:pt idx="3">
                  <c:v>-13916.42</c:v>
                </c:pt>
                <c:pt idx="4">
                  <c:v>11868.210000000008</c:v>
                </c:pt>
                <c:pt idx="5">
                  <c:v>11307.23</c:v>
                </c:pt>
                <c:pt idx="6">
                  <c:v>172598.34000000003</c:v>
                </c:pt>
                <c:pt idx="7">
                  <c:v>1977444.0900000003</c:v>
                </c:pt>
                <c:pt idx="8">
                  <c:v>1467632.0799999982</c:v>
                </c:pt>
                <c:pt idx="9">
                  <c:v>11385136.550000027</c:v>
                </c:pt>
                <c:pt idx="10">
                  <c:v>5612649.3400000026</c:v>
                </c:pt>
                <c:pt idx="11">
                  <c:v>45486209.279999897</c:v>
                </c:pt>
                <c:pt idx="12">
                  <c:v>78199125.760000125</c:v>
                </c:pt>
                <c:pt idx="13">
                  <c:v>82351064.740000129</c:v>
                </c:pt>
                <c:pt idx="14">
                  <c:v>11885694.389999999</c:v>
                </c:pt>
                <c:pt idx="15">
                  <c:v>5330813.0500000017</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D21" sqref="D21"/>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45940</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45944</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59</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45944</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45915</v>
      </c>
      <c r="G6" s="261" t="str">
        <f>'Cover Sheet'!G6</f>
        <v>to</v>
      </c>
      <c r="H6" s="251">
        <f>'Cover Sheet'!H6</f>
        <v>45944</v>
      </c>
      <c r="I6" s="261" t="str">
        <f>'Cover Sheet'!I6</f>
        <v>=</v>
      </c>
      <c r="J6" s="711" t="str">
        <f>'Cover Sheet'!J6</f>
        <v>29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01.09.2025</v>
      </c>
      <c r="G7" s="714" t="str">
        <f>'Cover Sheet'!G7</f>
        <v>to</v>
      </c>
      <c r="H7" s="265">
        <f>'Cover Sheet'!H7</f>
        <v>45930</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(sf)/Aaa (sf)</v>
      </c>
      <c r="I21" s="725"/>
      <c r="J21" s="725" t="str">
        <f>VLOOKUP(J15,rating_c20,18,0)</f>
        <v>AA (sf)/Aa1 (sf)</v>
      </c>
      <c r="K21" s="725"/>
      <c r="L21" s="725" t="str">
        <f>VLOOKUP(L15,rating_c20,18,0)</f>
        <v>AA- (sf)/Aa2 (sf)</v>
      </c>
      <c r="M21" s="725"/>
      <c r="N21" s="725" t="str">
        <f>VLOOKUP(N15,rating_c20,18,0)</f>
        <v>A+ (sf)/Aa3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215930238.75000021</v>
      </c>
      <c r="D27" s="747">
        <f>VLOOKUP("A_Notes_bop",calcdata_20,2,0)</f>
        <v>168988882.50000021</v>
      </c>
      <c r="E27" s="747"/>
      <c r="F27" s="747">
        <f>VLOOKUP("B_Notes_bop",calcdata_20,2,0)</f>
        <v>11597276.250000009</v>
      </c>
      <c r="G27" s="747"/>
      <c r="H27" s="747">
        <f>VLOOKUP("C_Notes_bop",calcdata_20,2,0)</f>
        <v>13254029.999999994</v>
      </c>
      <c r="I27" s="747"/>
      <c r="J27" s="747">
        <f>VLOOKUP("D_Notes_bop",calcdata_20,2,0)</f>
        <v>9940522.5</v>
      </c>
      <c r="K27" s="747"/>
      <c r="L27" s="747">
        <f>VLOOKUP("E_Notes_bop",calcdata_20,2,0)</f>
        <v>6627014.9999999972</v>
      </c>
      <c r="M27" s="747"/>
      <c r="N27" s="747">
        <f>VLOOKUP("F_Notes_bop",calcdata_20,2,0)</f>
        <v>5522512.5</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12604002.300000001</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9864001.8000000007</v>
      </c>
      <c r="E31" s="747"/>
      <c r="F31" s="747">
        <f>VLOOKUP("B_Redemption",calcdata_20,2,0)</f>
        <v>676941.3</v>
      </c>
      <c r="G31" s="747"/>
      <c r="H31" s="747">
        <f>VLOOKUP("C_Redemption",calcdata_20,2,0)</f>
        <v>773647.20000000007</v>
      </c>
      <c r="I31" s="747"/>
      <c r="J31" s="747">
        <f>VLOOKUP("D_Redemption",calcdata_20,2,0)</f>
        <v>580235.4</v>
      </c>
      <c r="K31" s="747"/>
      <c r="L31" s="747">
        <f>VLOOKUP("E_Redemption",calcdata_20,2,0)</f>
        <v>386823.60000000003</v>
      </c>
      <c r="M31" s="747"/>
      <c r="N31" s="747">
        <f>VLOOKUP("F_Redemption",calcdata_20,2,0)</f>
        <v>322353</v>
      </c>
      <c r="O31" s="717"/>
      <c r="P31" s="941">
        <f>VLOOKUP("G_Redemption",calcdata_20,2,0)</f>
        <v>0</v>
      </c>
      <c r="Q31" s="717"/>
      <c r="R31" s="738"/>
      <c r="S31" s="316"/>
    </row>
    <row r="32" spans="1:21">
      <c r="A32" s="285"/>
      <c r="B32" s="285" t="s">
        <v>22</v>
      </c>
      <c r="C32" s="747"/>
      <c r="D32" s="747">
        <f>IF(ISNUMBER(D31),D31/D24,"")</f>
        <v>716.34</v>
      </c>
      <c r="E32" s="747"/>
      <c r="F32" s="747">
        <f>IF(ISNUMBER(F31),F31/F24,"")</f>
        <v>716.34</v>
      </c>
      <c r="G32" s="747"/>
      <c r="H32" s="747">
        <f>IF(ISNUMBER(H31),H31/H24,"")</f>
        <v>716.34</v>
      </c>
      <c r="I32" s="747"/>
      <c r="J32" s="747">
        <f>IF(ISNUMBER(J31),J31/J24,"")</f>
        <v>716.34</v>
      </c>
      <c r="K32" s="747"/>
      <c r="L32" s="747">
        <f>IF(ISNUMBER(L31),L31/L24,"")</f>
        <v>716.34</v>
      </c>
      <c r="M32" s="747"/>
      <c r="N32" s="747">
        <f>IF(ISNUMBER(N31),N31/N24,"")</f>
        <v>716.34</v>
      </c>
      <c r="O32" s="717"/>
      <c r="P32" s="941">
        <f>IF(ISNUMBER(P31),P31/P24,"")</f>
        <v>0</v>
      </c>
      <c r="Q32" s="717"/>
      <c r="R32" s="738"/>
      <c r="S32" s="316"/>
    </row>
    <row r="33" spans="1:19">
      <c r="A33" s="285"/>
      <c r="B33" s="285" t="s">
        <v>47</v>
      </c>
      <c r="C33" s="747">
        <f>SUM(D33,F33,H33,J33,L33,N33,P33)</f>
        <v>203326236.4500002</v>
      </c>
      <c r="D33" s="747">
        <f>D27-D31</f>
        <v>159124880.7000002</v>
      </c>
      <c r="E33" s="747"/>
      <c r="F33" s="747">
        <f>F27-F31</f>
        <v>10920334.950000009</v>
      </c>
      <c r="G33" s="747"/>
      <c r="H33" s="747">
        <f>H27-H31</f>
        <v>12480382.799999995</v>
      </c>
      <c r="I33" s="747"/>
      <c r="J33" s="747">
        <f>J27-J31</f>
        <v>9360287.0999999996</v>
      </c>
      <c r="K33" s="747"/>
      <c r="L33" s="747">
        <f>L27-L31</f>
        <v>6240191.3999999976</v>
      </c>
      <c r="M33" s="747"/>
      <c r="N33" s="747">
        <f>N27-N31</f>
        <v>5200159.5</v>
      </c>
      <c r="O33" s="25"/>
      <c r="P33" s="747">
        <f>P27-P31</f>
        <v>0</v>
      </c>
      <c r="Q33" s="25"/>
      <c r="R33" s="738"/>
      <c r="S33" s="316"/>
    </row>
    <row r="34" spans="1:19">
      <c r="A34" s="285"/>
      <c r="B34" s="285" t="s">
        <v>24</v>
      </c>
      <c r="C34" s="25"/>
      <c r="D34" s="748">
        <f>+D33/$C$33</f>
        <v>0.78260869565217417</v>
      </c>
      <c r="E34" s="25"/>
      <c r="F34" s="748">
        <f>+F33/$C$33</f>
        <v>5.3708439897698197E-2</v>
      </c>
      <c r="G34" s="25"/>
      <c r="H34" s="748">
        <f>+H33/$C$33</f>
        <v>6.1381074168797872E-2</v>
      </c>
      <c r="I34" s="25"/>
      <c r="J34" s="748">
        <f>+J33/$C$33</f>
        <v>4.6035805626598418E-2</v>
      </c>
      <c r="K34" s="25"/>
      <c r="L34" s="748">
        <f>+L33/$C$33</f>
        <v>3.0690537084398936E-2</v>
      </c>
      <c r="M34" s="748"/>
      <c r="N34" s="748">
        <f>+N33/$C$33</f>
        <v>2.5575447570332456E-2</v>
      </c>
      <c r="O34" s="25"/>
      <c r="P34" s="748">
        <f>+P33/$C$33</f>
        <v>0</v>
      </c>
      <c r="Q34" s="25"/>
      <c r="R34" s="749"/>
      <c r="S34" s="316"/>
    </row>
    <row r="35" spans="1:19">
      <c r="A35" s="285"/>
      <c r="B35" s="350" t="s">
        <v>27</v>
      </c>
      <c r="C35" s="750">
        <f>C33/C22</f>
        <v>0.11295902025000011</v>
      </c>
      <c r="D35" s="750">
        <f>D33/D22</f>
        <v>0.11555910000000014</v>
      </c>
      <c r="E35" s="40"/>
      <c r="F35" s="750">
        <f>F33/F22</f>
        <v>0.1155591000000001</v>
      </c>
      <c r="G35" s="40"/>
      <c r="H35" s="750">
        <f>H33/H22</f>
        <v>0.11555909999999996</v>
      </c>
      <c r="I35" s="40"/>
      <c r="J35" s="750">
        <f>J33/J22</f>
        <v>0.1155591</v>
      </c>
      <c r="K35" s="40"/>
      <c r="L35" s="750">
        <f>L33/L22</f>
        <v>0.11555909999999996</v>
      </c>
      <c r="M35" s="750"/>
      <c r="N35" s="750">
        <f>N33/N22</f>
        <v>0.1155591</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1.8769999999999998E-2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29</v>
      </c>
      <c r="D40" s="761"/>
      <c r="E40" s="25"/>
      <c r="F40" s="761"/>
      <c r="G40" s="25"/>
      <c r="H40" s="25"/>
      <c r="I40" s="25"/>
      <c r="J40" s="25"/>
      <c r="K40" s="25"/>
      <c r="L40" s="762"/>
      <c r="M40" s="762"/>
      <c r="N40" s="762"/>
      <c r="O40" s="25"/>
      <c r="P40" s="762"/>
      <c r="Q40" s="25"/>
      <c r="R40" s="760"/>
      <c r="S40" s="316"/>
    </row>
    <row r="41" spans="1:19">
      <c r="A41" s="285"/>
      <c r="B41" s="285" t="s">
        <v>28</v>
      </c>
      <c r="C41" s="717"/>
      <c r="D41" s="747">
        <f>D27/D24</f>
        <v>12272.250000000015</v>
      </c>
      <c r="E41" s="747"/>
      <c r="F41" s="747">
        <f>F27/F24</f>
        <v>12272.250000000009</v>
      </c>
      <c r="G41" s="747"/>
      <c r="H41" s="747">
        <f>H27/H24</f>
        <v>12272.249999999995</v>
      </c>
      <c r="I41" s="747"/>
      <c r="J41" s="747">
        <f>J27/J24</f>
        <v>12272.25</v>
      </c>
      <c r="K41" s="747"/>
      <c r="L41" s="747">
        <f>L27/L24</f>
        <v>12272.249999999995</v>
      </c>
      <c r="M41" s="747"/>
      <c r="N41" s="747">
        <f>N27/N24</f>
        <v>12272.25</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716.34</v>
      </c>
      <c r="E43" s="764"/>
      <c r="F43" s="764">
        <f>+F32</f>
        <v>716.34</v>
      </c>
      <c r="G43" s="764"/>
      <c r="H43" s="764">
        <f>+H32</f>
        <v>716.34</v>
      </c>
      <c r="I43" s="764"/>
      <c r="J43" s="764">
        <f>+J32</f>
        <v>716.34</v>
      </c>
      <c r="K43" s="764"/>
      <c r="L43" s="764">
        <f>+L32</f>
        <v>716.34</v>
      </c>
      <c r="M43" s="764"/>
      <c r="N43" s="764">
        <f>+N32</f>
        <v>716.34</v>
      </c>
      <c r="O43" s="24"/>
      <c r="P43" s="764">
        <f>+P32</f>
        <v>0</v>
      </c>
      <c r="Q43" s="24"/>
      <c r="R43" s="765"/>
      <c r="S43" s="316"/>
    </row>
    <row r="44" spans="1:19">
      <c r="A44" s="285"/>
      <c r="B44" s="285" t="s">
        <v>29</v>
      </c>
      <c r="C44" s="763"/>
      <c r="D44" s="747">
        <f>D41-D43</f>
        <v>11555.910000000014</v>
      </c>
      <c r="E44" s="747"/>
      <c r="F44" s="747">
        <f>F41-F43</f>
        <v>11555.910000000009</v>
      </c>
      <c r="G44" s="747"/>
      <c r="H44" s="747">
        <f>H41-H43</f>
        <v>11555.909999999994</v>
      </c>
      <c r="I44" s="747"/>
      <c r="J44" s="747">
        <f>J41-J43</f>
        <v>11555.91</v>
      </c>
      <c r="K44" s="747"/>
      <c r="L44" s="747">
        <f>L41-L43</f>
        <v>11555.909999999994</v>
      </c>
      <c r="M44" s="747"/>
      <c r="N44" s="747">
        <f>N41-N43</f>
        <v>11555.91</v>
      </c>
      <c r="O44" s="25"/>
      <c r="P44" s="747">
        <f>P41-P43</f>
        <v>0</v>
      </c>
      <c r="Q44" s="25"/>
      <c r="R44" s="738"/>
      <c r="S44" s="316"/>
    </row>
    <row r="45" spans="1:19" ht="13">
      <c r="A45" s="285"/>
      <c r="B45" s="285" t="s">
        <v>88</v>
      </c>
      <c r="C45" s="766"/>
      <c r="D45" s="764">
        <f>-'19. PoP + Transaction Costs'!E59</f>
        <v>-350859.60000000003</v>
      </c>
      <c r="E45" s="764"/>
      <c r="F45" s="764">
        <f>-'19. PoP + Transaction Costs'!G59</f>
        <v>-28274.400000000001</v>
      </c>
      <c r="G45" s="747"/>
      <c r="H45" s="764">
        <f>-'19. PoP + Transaction Costs'!I59</f>
        <v>-38728.800000000003</v>
      </c>
      <c r="I45" s="747"/>
      <c r="J45" s="764">
        <f>-'19. PoP + Transaction Costs'!K59</f>
        <v>-35048.700000000004</v>
      </c>
      <c r="K45" s="747"/>
      <c r="L45" s="764">
        <f>-'19. PoP + Transaction Costs'!M59</f>
        <v>-30839.4</v>
      </c>
      <c r="M45" s="764"/>
      <c r="N45" s="764">
        <f>-'19. PoP + Transaction Costs'!O59</f>
        <v>-31927.5</v>
      </c>
      <c r="O45" s="25"/>
      <c r="P45" s="764">
        <f>-'19. PoP + Transaction Costs'!Q59</f>
        <v>0</v>
      </c>
      <c r="Q45" s="25"/>
      <c r="R45" s="738"/>
      <c r="S45" s="316"/>
    </row>
    <row r="46" spans="1:19" ht="13">
      <c r="A46" s="285"/>
      <c r="B46" s="285" t="s">
        <v>97</v>
      </c>
      <c r="C46" s="766"/>
      <c r="D46" s="764">
        <f>VLOOKUP("A_Interests",calcdata_20,2,0)</f>
        <v>350859.60000000003</v>
      </c>
      <c r="E46" s="764"/>
      <c r="F46" s="764">
        <f>VLOOKUP("B_Interests",calcdata_20,2,0)</f>
        <v>28274.400000000001</v>
      </c>
      <c r="G46" s="747"/>
      <c r="H46" s="764">
        <f>VLOOKUP("C_Interests",calcdata_20,2,0)</f>
        <v>38728.800000000003</v>
      </c>
      <c r="I46" s="747"/>
      <c r="J46" s="764">
        <f>VLOOKUP("D_Interests",calcdata_20,2,0)</f>
        <v>35048.700000000004</v>
      </c>
      <c r="K46" s="747"/>
      <c r="L46" s="764">
        <f>VLOOKUP("E_Interests",calcdata_20,2,0)</f>
        <v>30839.4</v>
      </c>
      <c r="M46" s="764"/>
      <c r="N46" s="764">
        <f>VLOOKUP("F_Interests",calcdata_20,2,0)</f>
        <v>31927.5</v>
      </c>
      <c r="O46" s="25"/>
      <c r="P46" s="764">
        <f>VLOOKUP("G_Interests",calcdata_20,2,0)</f>
        <v>0</v>
      </c>
      <c r="Q46" s="25"/>
      <c r="R46" s="738"/>
      <c r="S46" s="316"/>
    </row>
    <row r="47" spans="1:19" ht="13">
      <c r="A47" s="285"/>
      <c r="B47" s="350" t="s">
        <v>89</v>
      </c>
      <c r="C47" s="40"/>
      <c r="D47" s="767">
        <f>D46/D24</f>
        <v>25.480000000000004</v>
      </c>
      <c r="E47" s="767"/>
      <c r="F47" s="767">
        <f>F46/F24</f>
        <v>29.92</v>
      </c>
      <c r="G47" s="768"/>
      <c r="H47" s="767">
        <f>H46/H24</f>
        <v>35.86</v>
      </c>
      <c r="I47" s="768"/>
      <c r="J47" s="767">
        <f>J46/J24</f>
        <v>43.27</v>
      </c>
      <c r="K47" s="768"/>
      <c r="L47" s="767">
        <f>L46/L24</f>
        <v>57.11</v>
      </c>
      <c r="M47" s="767"/>
      <c r="N47" s="767">
        <f>N46/N24</f>
        <v>70.95</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0.34738409197965425</v>
      </c>
      <c r="E52" s="774"/>
      <c r="F52" s="773">
        <f>1-SUM('5. Outstanding Notes'!F33,D33)/'1. Portfolio Information'!$F$32</f>
        <v>0.30259672574296381</v>
      </c>
      <c r="G52" s="774"/>
      <c r="H52" s="773">
        <f>1-SUM('5. Outstanding Notes'!H33,F33,D33)/'1. Portfolio Information'!$F$32</f>
        <v>0.25141116432960353</v>
      </c>
      <c r="I52" s="774"/>
      <c r="J52" s="773">
        <f>1-SUM('5. Outstanding Notes'!J33,H33,F33,D33)/'1. Portfolio Information'!$F$32</f>
        <v>0.21302199326958327</v>
      </c>
      <c r="K52" s="774"/>
      <c r="L52" s="773">
        <f>1-SUM('5. Outstanding Notes'!L33,J33,H33,F33,D33)/'1. Portfolio Information'!$F$32</f>
        <v>0.18742921256290301</v>
      </c>
      <c r="M52" s="774"/>
      <c r="N52" s="773">
        <f>1-SUM(L33,J33,H33,F33,D33,'5. Outstanding Notes'!N33)/'1. Portfolio Information'!$F$32</f>
        <v>0.16610189530733621</v>
      </c>
      <c r="O52" s="773"/>
      <c r="P52" s="773">
        <f>1-SUM('5. Outstanding Notes'!P33,N33,L33,J33,H33,F33,D33)/'1. Portfolio Information'!$F$32</f>
        <v>0.16610189530733621</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966</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F2" sqref="F2"/>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59</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45944</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952852.64999999944</v>
      </c>
      <c r="F14" s="693">
        <f>E14/$E$65</f>
        <v>1.3357606144821031E-3</v>
      </c>
      <c r="G14" s="694">
        <f t="shared" ref="G14:G45" si="1">VLOOKUP(CONCATENATE("OPB_",D14),Assets_20,2,0)</f>
        <v>725</v>
      </c>
      <c r="H14" s="695">
        <f>G14/$G$65</f>
        <v>1.9241487300618382E-2</v>
      </c>
      <c r="I14" s="175"/>
      <c r="K14" s="113"/>
      <c r="M14" s="198"/>
      <c r="N14" s="13"/>
      <c r="O14" s="199"/>
      <c r="P14" s="200"/>
      <c r="Q14" s="199"/>
      <c r="R14" s="21"/>
    </row>
    <row r="15" spans="1:18">
      <c r="A15" s="182"/>
      <c r="B15" s="14"/>
      <c r="C15" s="13"/>
      <c r="D15" s="691" t="s">
        <v>566</v>
      </c>
      <c r="E15" s="692">
        <f t="shared" si="0"/>
        <v>8247504.4199999524</v>
      </c>
      <c r="F15" s="693">
        <f t="shared" ref="F15:F64" si="2">E15/$E$65</f>
        <v>1.1561799793496931E-2</v>
      </c>
      <c r="G15" s="694">
        <f t="shared" si="1"/>
        <v>2801</v>
      </c>
      <c r="H15" s="695">
        <f t="shared" ref="H15:H64" si="3">G15/$G$65</f>
        <v>7.4338490936595988E-2</v>
      </c>
      <c r="I15" s="175"/>
      <c r="K15" s="176"/>
      <c r="M15" s="198"/>
      <c r="N15" s="13"/>
      <c r="O15" s="199"/>
      <c r="P15" s="200"/>
      <c r="Q15" s="199"/>
      <c r="R15" s="21"/>
    </row>
    <row r="16" spans="1:18">
      <c r="A16" s="182"/>
      <c r="B16" s="14"/>
      <c r="C16" s="13"/>
      <c r="D16" s="691" t="s">
        <v>567</v>
      </c>
      <c r="E16" s="692">
        <f t="shared" si="0"/>
        <v>17805992.919999957</v>
      </c>
      <c r="F16" s="693">
        <f t="shared" si="2"/>
        <v>2.4961408297792038E-2</v>
      </c>
      <c r="G16" s="694">
        <f t="shared" si="1"/>
        <v>3618</v>
      </c>
      <c r="H16" s="695">
        <f t="shared" si="3"/>
        <v>9.6021656625706622E-2</v>
      </c>
      <c r="I16" s="175"/>
      <c r="K16" s="176"/>
      <c r="M16" s="198"/>
      <c r="N16" s="13"/>
      <c r="O16" s="199"/>
      <c r="P16" s="200"/>
      <c r="Q16" s="199"/>
      <c r="R16" s="21"/>
    </row>
    <row r="17" spans="1:18">
      <c r="A17" s="182"/>
      <c r="B17" s="14"/>
      <c r="C17" s="13"/>
      <c r="D17" s="691" t="s">
        <v>568</v>
      </c>
      <c r="E17" s="692">
        <f t="shared" si="0"/>
        <v>19631116.470000062</v>
      </c>
      <c r="F17" s="693">
        <f t="shared" si="2"/>
        <v>2.7519965651496097E-2</v>
      </c>
      <c r="G17" s="694">
        <f t="shared" si="1"/>
        <v>2876</v>
      </c>
      <c r="H17" s="695">
        <f t="shared" si="3"/>
        <v>7.6328989622866855E-2</v>
      </c>
      <c r="I17" s="175"/>
      <c r="K17" s="176"/>
      <c r="M17" s="198"/>
      <c r="N17" s="13"/>
      <c r="O17" s="199"/>
      <c r="P17" s="200"/>
      <c r="Q17" s="199"/>
      <c r="R17" s="21"/>
    </row>
    <row r="18" spans="1:18">
      <c r="A18" s="182"/>
      <c r="B18" s="14"/>
      <c r="C18" s="13"/>
      <c r="D18" s="691" t="s">
        <v>569</v>
      </c>
      <c r="E18" s="692">
        <f t="shared" si="0"/>
        <v>20186007.040000036</v>
      </c>
      <c r="F18" s="693">
        <f t="shared" si="2"/>
        <v>2.8297841400441632E-2</v>
      </c>
      <c r="G18" s="694">
        <f t="shared" si="1"/>
        <v>2285</v>
      </c>
      <c r="H18" s="695">
        <f t="shared" si="3"/>
        <v>6.0643859975052415E-2</v>
      </c>
      <c r="I18" s="175"/>
      <c r="K18" s="176"/>
      <c r="M18" s="198"/>
      <c r="N18" s="13"/>
      <c r="O18" s="199"/>
      <c r="P18" s="200"/>
      <c r="Q18" s="199"/>
      <c r="R18" s="21"/>
    </row>
    <row r="19" spans="1:18">
      <c r="A19" s="182"/>
      <c r="B19" s="14"/>
      <c r="C19" s="13"/>
      <c r="D19" s="691" t="s">
        <v>570</v>
      </c>
      <c r="E19" s="692">
        <f t="shared" si="0"/>
        <v>34427927.70000004</v>
      </c>
      <c r="F19" s="693">
        <f t="shared" si="2"/>
        <v>4.8262939563528E-2</v>
      </c>
      <c r="G19" s="694">
        <f t="shared" si="1"/>
        <v>3225</v>
      </c>
      <c r="H19" s="695">
        <f t="shared" si="3"/>
        <v>8.5591443509647286E-2</v>
      </c>
      <c r="I19" s="175"/>
      <c r="K19" s="176"/>
      <c r="M19" s="198"/>
      <c r="N19" s="13"/>
      <c r="O19" s="199"/>
      <c r="P19" s="200"/>
      <c r="Q19" s="199"/>
      <c r="R19" s="21"/>
    </row>
    <row r="20" spans="1:18">
      <c r="A20" s="182"/>
      <c r="B20" s="14"/>
      <c r="C20" s="13"/>
      <c r="D20" s="691" t="s">
        <v>571</v>
      </c>
      <c r="E20" s="692">
        <f t="shared" si="0"/>
        <v>27022575.300000019</v>
      </c>
      <c r="F20" s="693">
        <f t="shared" si="2"/>
        <v>3.788171422687122E-2</v>
      </c>
      <c r="G20" s="694">
        <f t="shared" si="1"/>
        <v>2110</v>
      </c>
      <c r="H20" s="695">
        <f t="shared" si="3"/>
        <v>5.5999363040420393E-2</v>
      </c>
      <c r="I20" s="175"/>
      <c r="K20" s="176"/>
      <c r="M20" s="198"/>
      <c r="N20" s="13"/>
      <c r="O20" s="199"/>
      <c r="P20" s="200"/>
      <c r="Q20" s="199"/>
      <c r="R20" s="21"/>
    </row>
    <row r="21" spans="1:18">
      <c r="A21" s="182"/>
      <c r="B21" s="14"/>
      <c r="C21" s="13"/>
      <c r="D21" s="691" t="s">
        <v>572</v>
      </c>
      <c r="E21" s="692">
        <f t="shared" si="0"/>
        <v>32966087.930000015</v>
      </c>
      <c r="F21" s="693">
        <f t="shared" si="2"/>
        <v>4.621365315030386E-2</v>
      </c>
      <c r="G21" s="694">
        <f t="shared" si="1"/>
        <v>2203</v>
      </c>
      <c r="H21" s="695">
        <f t="shared" si="3"/>
        <v>5.8467581411396269E-2</v>
      </c>
      <c r="I21" s="175"/>
      <c r="K21" s="176"/>
      <c r="M21" s="198"/>
      <c r="N21" s="13"/>
      <c r="O21" s="199"/>
      <c r="P21" s="200"/>
      <c r="Q21" s="199"/>
      <c r="R21" s="21"/>
    </row>
    <row r="22" spans="1:18">
      <c r="A22" s="182"/>
      <c r="B22" s="14"/>
      <c r="C22" s="13"/>
      <c r="D22" s="691" t="s">
        <v>573</v>
      </c>
      <c r="E22" s="692">
        <f t="shared" si="0"/>
        <v>30222096.490000028</v>
      </c>
      <c r="F22" s="693">
        <f t="shared" si="2"/>
        <v>4.2366976865121662E-2</v>
      </c>
      <c r="G22" s="694">
        <f t="shared" si="1"/>
        <v>1785</v>
      </c>
      <c r="H22" s="695">
        <f t="shared" si="3"/>
        <v>4.7373868733246637E-2</v>
      </c>
      <c r="I22" s="175"/>
      <c r="K22" s="176"/>
      <c r="M22" s="198"/>
      <c r="N22" s="13"/>
      <c r="O22" s="199"/>
      <c r="P22" s="200"/>
      <c r="Q22" s="199"/>
      <c r="R22" s="21"/>
    </row>
    <row r="23" spans="1:18">
      <c r="A23" s="182"/>
      <c r="B23" s="14"/>
      <c r="C23" s="13"/>
      <c r="D23" s="691" t="s">
        <v>574</v>
      </c>
      <c r="E23" s="692">
        <f t="shared" si="0"/>
        <v>29451798.059999995</v>
      </c>
      <c r="F23" s="693">
        <f t="shared" si="2"/>
        <v>4.1287130674641487E-2</v>
      </c>
      <c r="G23" s="694">
        <f t="shared" si="1"/>
        <v>1561</v>
      </c>
      <c r="H23" s="695">
        <f t="shared" si="3"/>
        <v>4.1428912656917644E-2</v>
      </c>
      <c r="I23" s="175"/>
      <c r="K23" s="176"/>
      <c r="M23" s="198"/>
      <c r="N23" s="13"/>
      <c r="O23" s="199"/>
      <c r="P23" s="200"/>
      <c r="Q23" s="199"/>
      <c r="R23" s="21"/>
    </row>
    <row r="24" spans="1:18">
      <c r="A24" s="182"/>
      <c r="B24" s="14"/>
      <c r="C24" s="13"/>
      <c r="D24" s="691" t="s">
        <v>575</v>
      </c>
      <c r="E24" s="692">
        <f t="shared" si="0"/>
        <v>45002369.539999947</v>
      </c>
      <c r="F24" s="693">
        <f t="shared" si="2"/>
        <v>6.3086766657888857E-2</v>
      </c>
      <c r="G24" s="694">
        <f t="shared" si="1"/>
        <v>2182</v>
      </c>
      <c r="H24" s="695">
        <f t="shared" si="3"/>
        <v>5.7910241779240423E-2</v>
      </c>
      <c r="I24" s="175"/>
      <c r="K24" s="176"/>
      <c r="M24" s="198"/>
      <c r="N24" s="13"/>
      <c r="O24" s="199"/>
      <c r="P24" s="200"/>
      <c r="Q24" s="199"/>
      <c r="R24" s="21"/>
    </row>
    <row r="25" spans="1:18">
      <c r="A25" s="182"/>
      <c r="B25" s="14"/>
      <c r="C25" s="13"/>
      <c r="D25" s="691" t="s">
        <v>576</v>
      </c>
      <c r="E25" s="692">
        <f t="shared" si="0"/>
        <v>31707478.260000017</v>
      </c>
      <c r="F25" s="693">
        <f t="shared" si="2"/>
        <v>4.4449265733012937E-2</v>
      </c>
      <c r="G25" s="694">
        <f t="shared" si="1"/>
        <v>1383</v>
      </c>
      <c r="H25" s="695">
        <f t="shared" si="3"/>
        <v>3.6704795774834792E-2</v>
      </c>
      <c r="I25" s="175"/>
      <c r="K25" s="176"/>
      <c r="M25" s="198"/>
      <c r="N25" s="13"/>
      <c r="O25" s="199"/>
      <c r="P25" s="200"/>
      <c r="Q25" s="199"/>
      <c r="R25" s="21"/>
    </row>
    <row r="26" spans="1:18">
      <c r="A26" s="182"/>
      <c r="B26" s="14"/>
      <c r="C26" s="13"/>
      <c r="D26" s="691" t="s">
        <v>577</v>
      </c>
      <c r="E26" s="692">
        <f t="shared" si="0"/>
        <v>41545263.060000099</v>
      </c>
      <c r="F26" s="693">
        <f t="shared" si="2"/>
        <v>5.8240406965175968E-2</v>
      </c>
      <c r="G26" s="694">
        <f t="shared" si="1"/>
        <v>1666</v>
      </c>
      <c r="H26" s="695">
        <f t="shared" si="3"/>
        <v>4.4215610817696857E-2</v>
      </c>
      <c r="I26" s="175"/>
      <c r="K26" s="176"/>
      <c r="M26" s="198"/>
      <c r="N26" s="13"/>
      <c r="O26" s="199"/>
      <c r="P26" s="200"/>
      <c r="Q26" s="199"/>
      <c r="R26" s="21"/>
    </row>
    <row r="27" spans="1:18">
      <c r="A27" s="182"/>
      <c r="B27" s="14"/>
      <c r="C27" s="13"/>
      <c r="D27" s="691" t="s">
        <v>578</v>
      </c>
      <c r="E27" s="692">
        <f t="shared" si="0"/>
        <v>29603432.610000022</v>
      </c>
      <c r="F27" s="693">
        <f t="shared" si="2"/>
        <v>4.1499700225331983E-2</v>
      </c>
      <c r="G27" s="694">
        <f t="shared" si="1"/>
        <v>1100</v>
      </c>
      <c r="H27" s="695">
        <f t="shared" si="3"/>
        <v>2.9193980731972716E-2</v>
      </c>
      <c r="I27" s="175"/>
      <c r="K27" s="176"/>
      <c r="M27" s="198"/>
      <c r="N27" s="13"/>
      <c r="O27" s="199"/>
      <c r="P27" s="200"/>
      <c r="Q27" s="199"/>
      <c r="R27" s="21"/>
    </row>
    <row r="28" spans="1:18">
      <c r="A28" s="182"/>
      <c r="B28" s="14"/>
      <c r="C28" s="13"/>
      <c r="D28" s="691" t="s">
        <v>579</v>
      </c>
      <c r="E28" s="692">
        <f t="shared" si="0"/>
        <v>28267254.740000013</v>
      </c>
      <c r="F28" s="693">
        <f t="shared" si="2"/>
        <v>3.9626573490900797E-2</v>
      </c>
      <c r="G28" s="694">
        <f t="shared" si="1"/>
        <v>976</v>
      </c>
      <c r="H28" s="695">
        <f t="shared" si="3"/>
        <v>2.5903022904004883E-2</v>
      </c>
      <c r="I28" s="175"/>
      <c r="K28" s="176"/>
      <c r="M28" s="198"/>
      <c r="N28" s="13"/>
      <c r="O28" s="199"/>
      <c r="P28" s="200"/>
      <c r="Q28" s="199"/>
      <c r="R28" s="21"/>
    </row>
    <row r="29" spans="1:18">
      <c r="A29" s="182"/>
      <c r="B29" s="14"/>
      <c r="C29" s="13"/>
      <c r="D29" s="691" t="s">
        <v>580</v>
      </c>
      <c r="E29" s="692">
        <f t="shared" si="0"/>
        <v>32179989.679999985</v>
      </c>
      <c r="F29" s="693">
        <f t="shared" si="2"/>
        <v>4.5111657913723111E-2</v>
      </c>
      <c r="G29" s="694">
        <f t="shared" si="1"/>
        <v>1050</v>
      </c>
      <c r="H29" s="695">
        <f t="shared" si="3"/>
        <v>2.7866981607792139E-2</v>
      </c>
      <c r="I29" s="175"/>
      <c r="K29" s="176"/>
      <c r="M29" s="198"/>
      <c r="N29" s="13"/>
      <c r="O29" s="199"/>
      <c r="P29" s="200"/>
      <c r="Q29" s="199"/>
      <c r="R29" s="21"/>
    </row>
    <row r="30" spans="1:18">
      <c r="A30" s="182"/>
      <c r="B30" s="14"/>
      <c r="C30" s="13"/>
      <c r="D30" s="691" t="s">
        <v>581</v>
      </c>
      <c r="E30" s="692">
        <f t="shared" si="0"/>
        <v>21630177.03999998</v>
      </c>
      <c r="F30" s="693">
        <f t="shared" si="2"/>
        <v>3.0322357370058284E-2</v>
      </c>
      <c r="G30" s="694">
        <f t="shared" si="1"/>
        <v>658</v>
      </c>
      <c r="H30" s="695">
        <f t="shared" si="3"/>
        <v>1.7463308474216406E-2</v>
      </c>
      <c r="I30" s="175"/>
      <c r="J30" s="175"/>
      <c r="K30" s="176"/>
      <c r="M30" s="198"/>
      <c r="N30" s="13"/>
      <c r="O30" s="199"/>
      <c r="P30" s="200"/>
      <c r="Q30" s="199"/>
      <c r="R30" s="21"/>
    </row>
    <row r="31" spans="1:18">
      <c r="A31" s="182"/>
      <c r="B31" s="14"/>
      <c r="C31" s="13"/>
      <c r="D31" s="691" t="s">
        <v>582</v>
      </c>
      <c r="E31" s="692">
        <f t="shared" si="0"/>
        <v>25199834.650000013</v>
      </c>
      <c r="F31" s="693">
        <f t="shared" si="2"/>
        <v>3.532649735185333E-2</v>
      </c>
      <c r="G31" s="694">
        <f t="shared" si="1"/>
        <v>721</v>
      </c>
      <c r="H31" s="695">
        <f t="shared" si="3"/>
        <v>1.9135327370683936E-2</v>
      </c>
      <c r="I31" s="175"/>
      <c r="J31" s="175"/>
      <c r="K31" s="176"/>
      <c r="M31" s="198"/>
      <c r="N31" s="13"/>
      <c r="O31" s="199"/>
      <c r="P31" s="200"/>
      <c r="Q31" s="199"/>
      <c r="R31" s="21"/>
    </row>
    <row r="32" spans="1:18">
      <c r="A32" s="182"/>
      <c r="B32" s="14"/>
      <c r="C32" s="13"/>
      <c r="D32" s="691" t="s">
        <v>583</v>
      </c>
      <c r="E32" s="692">
        <f t="shared" si="0"/>
        <v>19215923.600000009</v>
      </c>
      <c r="F32" s="693">
        <f t="shared" si="2"/>
        <v>2.6937925728366469E-2</v>
      </c>
      <c r="G32" s="694">
        <f t="shared" si="1"/>
        <v>520</v>
      </c>
      <c r="H32" s="695">
        <f t="shared" si="3"/>
        <v>1.3800790891478011E-2</v>
      </c>
      <c r="I32" s="175"/>
      <c r="J32" s="175"/>
      <c r="K32" s="176"/>
      <c r="M32" s="198"/>
      <c r="N32" s="13"/>
      <c r="O32" s="199"/>
      <c r="P32" s="200"/>
      <c r="Q32" s="199"/>
      <c r="R32" s="21"/>
    </row>
    <row r="33" spans="1:18">
      <c r="A33" s="182"/>
      <c r="B33" s="14"/>
      <c r="C33" s="13"/>
      <c r="D33" s="691" t="s">
        <v>584</v>
      </c>
      <c r="E33" s="692">
        <f t="shared" si="0"/>
        <v>18498760.20999999</v>
      </c>
      <c r="F33" s="693">
        <f t="shared" si="2"/>
        <v>2.593256712385349E-2</v>
      </c>
      <c r="G33" s="694">
        <f t="shared" si="1"/>
        <v>475</v>
      </c>
      <c r="H33" s="695">
        <f t="shared" si="3"/>
        <v>1.2606491679715491E-2</v>
      </c>
      <c r="I33" s="175"/>
      <c r="J33" s="175"/>
      <c r="K33" s="176"/>
      <c r="M33" s="198"/>
      <c r="N33" s="13"/>
      <c r="O33" s="199"/>
      <c r="P33" s="200"/>
      <c r="Q33" s="199"/>
      <c r="R33" s="21"/>
    </row>
    <row r="34" spans="1:18">
      <c r="A34" s="182"/>
      <c r="B34" s="14"/>
      <c r="C34" s="13"/>
      <c r="D34" s="691" t="s">
        <v>585</v>
      </c>
      <c r="E34" s="692">
        <f t="shared" si="0"/>
        <v>21768806.159999989</v>
      </c>
      <c r="F34" s="693">
        <f t="shared" si="2"/>
        <v>3.0516695202372993E-2</v>
      </c>
      <c r="G34" s="694">
        <f t="shared" si="1"/>
        <v>535</v>
      </c>
      <c r="H34" s="695">
        <f t="shared" si="3"/>
        <v>1.4198890628732185E-2</v>
      </c>
      <c r="I34" s="175"/>
      <c r="J34" s="175"/>
      <c r="K34" s="176"/>
      <c r="M34" s="198"/>
      <c r="N34" s="13"/>
      <c r="O34" s="199"/>
      <c r="P34" s="200"/>
      <c r="Q34" s="199"/>
      <c r="R34" s="21"/>
    </row>
    <row r="35" spans="1:18">
      <c r="A35" s="182"/>
      <c r="B35" s="14"/>
      <c r="C35" s="13"/>
      <c r="D35" s="691" t="s">
        <v>586</v>
      </c>
      <c r="E35" s="692">
        <f t="shared" si="0"/>
        <v>14841463.750000013</v>
      </c>
      <c r="F35" s="693">
        <f t="shared" si="2"/>
        <v>2.0805570240596892E-2</v>
      </c>
      <c r="G35" s="694">
        <f t="shared" si="1"/>
        <v>346</v>
      </c>
      <c r="H35" s="695">
        <f t="shared" si="3"/>
        <v>9.1828339393295998E-3</v>
      </c>
      <c r="I35" s="175"/>
      <c r="J35" s="175"/>
      <c r="K35" s="176"/>
      <c r="M35" s="198"/>
      <c r="N35" s="13"/>
      <c r="O35" s="199"/>
      <c r="P35" s="200"/>
      <c r="Q35" s="199"/>
      <c r="R35" s="21"/>
    </row>
    <row r="36" spans="1:18">
      <c r="A36" s="182"/>
      <c r="B36" s="14"/>
      <c r="C36" s="13"/>
      <c r="D36" s="691" t="s">
        <v>587</v>
      </c>
      <c r="E36" s="692">
        <f t="shared" si="0"/>
        <v>16231144.959999988</v>
      </c>
      <c r="F36" s="693">
        <f t="shared" si="2"/>
        <v>2.2753700863945424E-2</v>
      </c>
      <c r="G36" s="694">
        <f t="shared" si="1"/>
        <v>361</v>
      </c>
      <c r="H36" s="695">
        <f t="shared" si="3"/>
        <v>9.5809336765837732E-3</v>
      </c>
      <c r="I36" s="175"/>
      <c r="J36" s="175"/>
      <c r="K36" s="176"/>
      <c r="M36" s="198"/>
      <c r="N36" s="13"/>
      <c r="O36" s="199"/>
      <c r="P36" s="200"/>
      <c r="Q36" s="199"/>
      <c r="R36" s="21"/>
    </row>
    <row r="37" spans="1:18">
      <c r="A37" s="182"/>
      <c r="B37" s="14"/>
      <c r="C37" s="13"/>
      <c r="D37" s="691" t="s">
        <v>588</v>
      </c>
      <c r="E37" s="692">
        <f t="shared" si="0"/>
        <v>11778794.030000003</v>
      </c>
      <c r="F37" s="693">
        <f t="shared" si="2"/>
        <v>1.6512153428309129E-2</v>
      </c>
      <c r="G37" s="694">
        <f t="shared" si="1"/>
        <v>251</v>
      </c>
      <c r="H37" s="695">
        <f t="shared" si="3"/>
        <v>6.6615356033865019E-3</v>
      </c>
      <c r="I37" s="175"/>
      <c r="J37" s="175"/>
      <c r="K37" s="176"/>
      <c r="M37" s="198"/>
      <c r="N37" s="13"/>
      <c r="O37" s="199"/>
      <c r="P37" s="200"/>
      <c r="Q37" s="199"/>
      <c r="R37" s="21"/>
    </row>
    <row r="38" spans="1:18">
      <c r="A38" s="182"/>
      <c r="B38" s="14"/>
      <c r="C38" s="13"/>
      <c r="D38" s="691" t="s">
        <v>589</v>
      </c>
      <c r="E38" s="692">
        <f t="shared" si="0"/>
        <v>11607101.229999995</v>
      </c>
      <c r="F38" s="693">
        <f t="shared" si="2"/>
        <v>1.6271465132978089E-2</v>
      </c>
      <c r="G38" s="694">
        <f t="shared" si="1"/>
        <v>237</v>
      </c>
      <c r="H38" s="695">
        <f t="shared" si="3"/>
        <v>6.2899758486159403E-3</v>
      </c>
      <c r="I38" s="175"/>
      <c r="J38" s="175"/>
      <c r="K38" s="176"/>
      <c r="M38" s="198"/>
      <c r="N38" s="13"/>
      <c r="O38" s="199"/>
      <c r="P38" s="200"/>
      <c r="Q38" s="199"/>
      <c r="R38" s="21"/>
    </row>
    <row r="39" spans="1:18">
      <c r="A39" s="182"/>
      <c r="B39" s="14"/>
      <c r="C39" s="13"/>
      <c r="D39" s="691" t="s">
        <v>590</v>
      </c>
      <c r="E39" s="692">
        <f t="shared" si="0"/>
        <v>20533352.419999998</v>
      </c>
      <c r="F39" s="693">
        <f t="shared" si="2"/>
        <v>2.8784769025847586E-2</v>
      </c>
      <c r="G39" s="694">
        <f t="shared" si="1"/>
        <v>407</v>
      </c>
      <c r="H39" s="695">
        <f t="shared" si="3"/>
        <v>1.0801772870829906E-2</v>
      </c>
      <c r="I39" s="175"/>
      <c r="J39" s="175"/>
      <c r="K39" s="176"/>
      <c r="M39" s="198"/>
      <c r="N39" s="13"/>
      <c r="O39" s="199"/>
      <c r="P39" s="200"/>
      <c r="Q39" s="199"/>
      <c r="R39" s="21"/>
    </row>
    <row r="40" spans="1:18">
      <c r="A40" s="182"/>
      <c r="B40" s="14"/>
      <c r="C40" s="13"/>
      <c r="D40" s="691" t="s">
        <v>591</v>
      </c>
      <c r="E40" s="692">
        <f t="shared" si="0"/>
        <v>11729422.570000006</v>
      </c>
      <c r="F40" s="693">
        <f t="shared" si="2"/>
        <v>1.6442941833266105E-2</v>
      </c>
      <c r="G40" s="694">
        <f t="shared" si="1"/>
        <v>221</v>
      </c>
      <c r="H40" s="695">
        <f t="shared" si="3"/>
        <v>5.8653361288781552E-3</v>
      </c>
      <c r="I40" s="175"/>
      <c r="J40" s="21"/>
      <c r="K40" s="176"/>
      <c r="M40" s="198"/>
      <c r="N40" s="13"/>
      <c r="O40" s="199"/>
      <c r="P40" s="200"/>
      <c r="Q40" s="199"/>
      <c r="R40" s="21"/>
    </row>
    <row r="41" spans="1:18">
      <c r="A41" s="182"/>
      <c r="B41" s="14"/>
      <c r="C41" s="13"/>
      <c r="D41" s="691" t="s">
        <v>592</v>
      </c>
      <c r="E41" s="692">
        <f t="shared" si="0"/>
        <v>11310796.489999993</v>
      </c>
      <c r="F41" s="693">
        <f t="shared" si="2"/>
        <v>1.5856089049827812E-2</v>
      </c>
      <c r="G41" s="694">
        <f t="shared" si="1"/>
        <v>206</v>
      </c>
      <c r="H41" s="695">
        <f t="shared" si="3"/>
        <v>5.4672363916239818E-3</v>
      </c>
      <c r="I41" s="175"/>
      <c r="J41" s="21"/>
      <c r="K41" s="176"/>
      <c r="M41" s="198"/>
      <c r="N41" s="13"/>
      <c r="O41" s="199"/>
      <c r="P41" s="200"/>
      <c r="Q41" s="199"/>
      <c r="R41" s="21"/>
    </row>
    <row r="42" spans="1:18">
      <c r="A42" s="182"/>
      <c r="B42" s="14"/>
      <c r="C42" s="13"/>
      <c r="D42" s="691" t="s">
        <v>593</v>
      </c>
      <c r="E42" s="692">
        <f t="shared" si="0"/>
        <v>8311659.7999999989</v>
      </c>
      <c r="F42" s="693">
        <f t="shared" si="2"/>
        <v>1.1651736290825448E-2</v>
      </c>
      <c r="G42" s="694">
        <f t="shared" si="1"/>
        <v>146</v>
      </c>
      <c r="H42" s="695">
        <f t="shared" si="3"/>
        <v>3.874837442607288E-3</v>
      </c>
      <c r="I42" s="175"/>
      <c r="J42" s="21"/>
      <c r="K42" s="176"/>
      <c r="M42" s="198"/>
      <c r="N42" s="13"/>
      <c r="O42" s="199"/>
      <c r="P42" s="200"/>
      <c r="Q42" s="199"/>
      <c r="R42" s="21"/>
    </row>
    <row r="43" spans="1:18">
      <c r="A43" s="182"/>
      <c r="B43" s="14"/>
      <c r="C43" s="13"/>
      <c r="D43" s="691" t="s">
        <v>594</v>
      </c>
      <c r="E43" s="692">
        <f t="shared" si="0"/>
        <v>7601229.879999999</v>
      </c>
      <c r="F43" s="693">
        <f t="shared" si="2"/>
        <v>1.0655817030396596E-2</v>
      </c>
      <c r="G43" s="694">
        <f t="shared" si="1"/>
        <v>129</v>
      </c>
      <c r="H43" s="695">
        <f t="shared" si="3"/>
        <v>3.4236577403858911E-3</v>
      </c>
      <c r="I43" s="175"/>
      <c r="J43" s="21"/>
      <c r="K43" s="176"/>
      <c r="M43" s="198"/>
      <c r="N43" s="13"/>
      <c r="O43" s="199"/>
      <c r="P43" s="200"/>
      <c r="Q43" s="199"/>
      <c r="R43" s="21"/>
    </row>
    <row r="44" spans="1:18">
      <c r="A44" s="182"/>
      <c r="B44" s="14"/>
      <c r="C44" s="13"/>
      <c r="D44" s="691" t="s">
        <v>595</v>
      </c>
      <c r="E44" s="692">
        <f t="shared" si="0"/>
        <v>14430799.329999998</v>
      </c>
      <c r="F44" s="693">
        <f t="shared" si="2"/>
        <v>2.0229878544713843E-2</v>
      </c>
      <c r="G44" s="694">
        <f t="shared" si="1"/>
        <v>239</v>
      </c>
      <c r="H44" s="695">
        <f t="shared" si="3"/>
        <v>6.3430558135831629E-3</v>
      </c>
      <c r="I44" s="175"/>
      <c r="J44" s="21"/>
      <c r="K44" s="176"/>
      <c r="M44" s="198"/>
      <c r="N44" s="13"/>
      <c r="O44" s="199"/>
      <c r="P44" s="200"/>
      <c r="Q44" s="199"/>
      <c r="R44" s="21"/>
    </row>
    <row r="45" spans="1:18" s="106" customFormat="1" ht="12.75" customHeight="1">
      <c r="A45" s="107"/>
      <c r="B45" s="14"/>
      <c r="C45" s="13"/>
      <c r="D45" s="691" t="s">
        <v>596</v>
      </c>
      <c r="E45" s="692">
        <f t="shared" si="0"/>
        <v>5859131.3399999989</v>
      </c>
      <c r="F45" s="693">
        <f t="shared" si="2"/>
        <v>8.213648646566445E-3</v>
      </c>
      <c r="G45" s="694">
        <f t="shared" si="1"/>
        <v>93</v>
      </c>
      <c r="H45" s="695">
        <f t="shared" si="3"/>
        <v>2.4682183709758753E-3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6413630.4400000004</v>
      </c>
      <c r="F46" s="693">
        <f t="shared" si="2"/>
        <v>8.9909756115969519E-3</v>
      </c>
      <c r="G46" s="694">
        <f t="shared" ref="G46:G64" si="5">VLOOKUP(CONCATENATE("OPB_",D46),Assets_20,2,0)</f>
        <v>99</v>
      </c>
      <c r="H46" s="695">
        <f t="shared" si="3"/>
        <v>2.6274582658775444E-3</v>
      </c>
      <c r="I46" s="147"/>
      <c r="J46" s="101"/>
      <c r="K46" s="113"/>
      <c r="M46" s="198"/>
      <c r="N46" s="13"/>
      <c r="O46" s="199"/>
      <c r="P46" s="200"/>
      <c r="Q46" s="199"/>
      <c r="R46" s="21"/>
    </row>
    <row r="47" spans="1:18">
      <c r="A47" s="182"/>
      <c r="B47" s="14"/>
      <c r="C47" s="13"/>
      <c r="D47" s="691" t="s">
        <v>598</v>
      </c>
      <c r="E47" s="692">
        <f t="shared" si="4"/>
        <v>4074039.1199999996</v>
      </c>
      <c r="F47" s="693">
        <f t="shared" si="2"/>
        <v>5.7112093862102696E-3</v>
      </c>
      <c r="G47" s="694">
        <f t="shared" si="5"/>
        <v>61</v>
      </c>
      <c r="H47" s="695">
        <f t="shared" si="3"/>
        <v>1.6189389315003052E-3</v>
      </c>
      <c r="I47" s="175"/>
      <c r="J47" s="21"/>
      <c r="K47" s="176"/>
      <c r="M47" s="198"/>
      <c r="N47" s="13"/>
      <c r="O47" s="199"/>
      <c r="P47" s="200"/>
      <c r="Q47" s="199"/>
      <c r="R47" s="21"/>
    </row>
    <row r="48" spans="1:18">
      <c r="A48" s="182"/>
      <c r="B48" s="14"/>
      <c r="C48" s="13"/>
      <c r="D48" s="691" t="s">
        <v>599</v>
      </c>
      <c r="E48" s="692">
        <f t="shared" si="4"/>
        <v>5309868.1399999987</v>
      </c>
      <c r="F48" s="693">
        <f t="shared" si="2"/>
        <v>7.4436616506291329E-3</v>
      </c>
      <c r="G48" s="694">
        <f t="shared" si="5"/>
        <v>77</v>
      </c>
      <c r="H48" s="695">
        <f t="shared" si="3"/>
        <v>2.0435786512380903E-3</v>
      </c>
      <c r="I48" s="175"/>
      <c r="J48" s="21"/>
      <c r="K48" s="176"/>
      <c r="M48" s="198"/>
      <c r="N48" s="13"/>
      <c r="O48" s="199"/>
      <c r="P48" s="200"/>
      <c r="Q48" s="199"/>
      <c r="R48" s="21"/>
    </row>
    <row r="49" spans="1:18">
      <c r="A49" s="182"/>
      <c r="B49" s="14"/>
      <c r="C49" s="13"/>
      <c r="D49" s="691" t="s">
        <v>600</v>
      </c>
      <c r="E49" s="692">
        <f t="shared" si="4"/>
        <v>4750455.5199999996</v>
      </c>
      <c r="F49" s="693">
        <f t="shared" si="2"/>
        <v>6.6594466463047583E-3</v>
      </c>
      <c r="G49" s="694">
        <f t="shared" si="5"/>
        <v>67</v>
      </c>
      <c r="H49" s="695">
        <f t="shared" si="3"/>
        <v>1.7781788264019747E-3</v>
      </c>
      <c r="I49" s="175"/>
      <c r="J49" s="21"/>
      <c r="K49" s="176"/>
      <c r="M49" s="198"/>
      <c r="N49" s="13"/>
      <c r="O49" s="199"/>
      <c r="P49" s="200"/>
      <c r="Q49" s="199"/>
      <c r="R49" s="21"/>
    </row>
    <row r="50" spans="1:18">
      <c r="A50" s="182"/>
      <c r="B50" s="14"/>
      <c r="C50" s="13"/>
      <c r="D50" s="691" t="s">
        <v>601</v>
      </c>
      <c r="E50" s="692">
        <f t="shared" si="4"/>
        <v>3797802.08</v>
      </c>
      <c r="F50" s="693">
        <f t="shared" si="2"/>
        <v>5.323965295223991E-3</v>
      </c>
      <c r="G50" s="694">
        <f t="shared" si="5"/>
        <v>52</v>
      </c>
      <c r="H50" s="695">
        <f t="shared" si="3"/>
        <v>1.3800790891478011E-3</v>
      </c>
      <c r="I50" s="175"/>
      <c r="J50" s="21"/>
      <c r="K50" s="176"/>
      <c r="M50" s="198"/>
      <c r="N50" s="13"/>
      <c r="O50" s="199"/>
      <c r="P50" s="200"/>
      <c r="Q50" s="199"/>
      <c r="R50" s="21"/>
    </row>
    <row r="51" spans="1:18">
      <c r="A51" s="182"/>
      <c r="B51" s="14"/>
      <c r="C51" s="13"/>
      <c r="D51" s="691" t="s">
        <v>602</v>
      </c>
      <c r="E51" s="692">
        <f t="shared" si="4"/>
        <v>4420948.9800000004</v>
      </c>
      <c r="F51" s="693">
        <f t="shared" si="2"/>
        <v>6.1975264760179135E-3</v>
      </c>
      <c r="G51" s="694">
        <f t="shared" si="5"/>
        <v>59</v>
      </c>
      <c r="H51" s="695">
        <f t="shared" si="3"/>
        <v>1.5658589665330821E-3</v>
      </c>
      <c r="I51" s="175"/>
      <c r="J51" s="21"/>
      <c r="K51" s="176"/>
      <c r="M51" s="198"/>
      <c r="N51" s="13"/>
      <c r="O51" s="199"/>
      <c r="P51" s="200"/>
      <c r="Q51" s="199"/>
      <c r="R51" s="21"/>
    </row>
    <row r="52" spans="1:18">
      <c r="A52" s="182"/>
      <c r="B52" s="14"/>
      <c r="C52" s="13"/>
      <c r="D52" s="691" t="s">
        <v>603</v>
      </c>
      <c r="E52" s="692">
        <f t="shared" si="4"/>
        <v>1311573.05</v>
      </c>
      <c r="F52" s="693">
        <f t="shared" si="2"/>
        <v>1.8386343609436014E-3</v>
      </c>
      <c r="G52" s="694">
        <f t="shared" si="5"/>
        <v>17</v>
      </c>
      <c r="H52" s="695">
        <f t="shared" si="3"/>
        <v>4.5117970222139655E-4</v>
      </c>
      <c r="I52" s="175"/>
      <c r="J52" s="21"/>
      <c r="K52" s="176"/>
      <c r="M52" s="198"/>
      <c r="N52" s="13"/>
      <c r="O52" s="199"/>
      <c r="P52" s="200"/>
      <c r="Q52" s="199"/>
      <c r="R52" s="21"/>
    </row>
    <row r="53" spans="1:18">
      <c r="A53" s="182"/>
      <c r="B53" s="14"/>
      <c r="C53" s="13"/>
      <c r="D53" s="691" t="s">
        <v>604</v>
      </c>
      <c r="E53" s="692">
        <f t="shared" si="4"/>
        <v>1815656.0600000003</v>
      </c>
      <c r="F53" s="693">
        <f t="shared" si="2"/>
        <v>2.5452853118409819E-3</v>
      </c>
      <c r="G53" s="694">
        <f t="shared" si="5"/>
        <v>23</v>
      </c>
      <c r="H53" s="695">
        <f t="shared" si="3"/>
        <v>6.104195971230659E-4</v>
      </c>
      <c r="I53" s="175"/>
      <c r="J53" s="21"/>
      <c r="K53" s="176"/>
      <c r="M53" s="198"/>
      <c r="N53" s="13"/>
      <c r="O53" s="199"/>
      <c r="P53" s="200"/>
      <c r="Q53" s="199"/>
      <c r="R53" s="21"/>
    </row>
    <row r="54" spans="1:18">
      <c r="A54" s="182"/>
      <c r="B54" s="14"/>
      <c r="C54" s="13"/>
      <c r="D54" s="691" t="s">
        <v>605</v>
      </c>
      <c r="E54" s="692">
        <f t="shared" si="4"/>
        <v>2188099.34</v>
      </c>
      <c r="F54" s="693">
        <f t="shared" si="2"/>
        <v>3.0673965370682293E-3</v>
      </c>
      <c r="G54" s="694">
        <f t="shared" si="5"/>
        <v>27</v>
      </c>
      <c r="H54" s="695">
        <f t="shared" si="3"/>
        <v>7.1657952705751217E-4</v>
      </c>
      <c r="I54" s="175"/>
      <c r="J54" s="21"/>
      <c r="K54" s="176"/>
      <c r="M54" s="198"/>
      <c r="N54" s="13"/>
      <c r="O54" s="199"/>
      <c r="P54" s="200"/>
      <c r="Q54" s="199"/>
      <c r="R54" s="21"/>
    </row>
    <row r="55" spans="1:18">
      <c r="A55" s="182"/>
      <c r="B55" s="14"/>
      <c r="C55" s="13"/>
      <c r="D55" s="691" t="s">
        <v>606</v>
      </c>
      <c r="E55" s="692">
        <f t="shared" si="4"/>
        <v>1742563.56</v>
      </c>
      <c r="F55" s="693">
        <f t="shared" si="2"/>
        <v>2.4428202741312863E-3</v>
      </c>
      <c r="G55" s="694">
        <f t="shared" si="5"/>
        <v>21</v>
      </c>
      <c r="H55" s="695">
        <f t="shared" si="3"/>
        <v>5.5733963215584277E-4</v>
      </c>
      <c r="I55" s="175"/>
      <c r="J55" s="21"/>
      <c r="K55" s="176"/>
      <c r="M55" s="198"/>
      <c r="N55" s="13"/>
      <c r="O55" s="199"/>
      <c r="P55" s="200"/>
      <c r="Q55" s="199"/>
      <c r="R55" s="21"/>
    </row>
    <row r="56" spans="1:18">
      <c r="A56" s="182"/>
      <c r="B56" s="14"/>
      <c r="C56" s="13"/>
      <c r="D56" s="691" t="s">
        <v>607</v>
      </c>
      <c r="E56" s="692">
        <f t="shared" si="4"/>
        <v>2714683.8600000003</v>
      </c>
      <c r="F56" s="693">
        <f t="shared" si="2"/>
        <v>3.8055913272196386E-3</v>
      </c>
      <c r="G56" s="694">
        <f t="shared" si="5"/>
        <v>32</v>
      </c>
      <c r="H56" s="695">
        <f t="shared" si="3"/>
        <v>8.4927943947556996E-4</v>
      </c>
      <c r="I56" s="175"/>
      <c r="J56" s="21"/>
      <c r="K56" s="176"/>
      <c r="M56" s="198"/>
      <c r="N56" s="13"/>
      <c r="O56" s="199"/>
      <c r="P56" s="200"/>
      <c r="Q56" s="199"/>
      <c r="R56" s="21"/>
    </row>
    <row r="57" spans="1:18">
      <c r="A57" s="182"/>
      <c r="B57" s="14"/>
      <c r="C57" s="13"/>
      <c r="D57" s="691" t="s">
        <v>608</v>
      </c>
      <c r="E57" s="692">
        <f t="shared" si="4"/>
        <v>1044437.9500000001</v>
      </c>
      <c r="F57" s="693">
        <f t="shared" si="2"/>
        <v>1.4641498639694488E-3</v>
      </c>
      <c r="G57" s="694">
        <f t="shared" si="5"/>
        <v>12</v>
      </c>
      <c r="H57" s="695">
        <f t="shared" si="3"/>
        <v>3.1847978980333871E-4</v>
      </c>
      <c r="I57" s="175"/>
      <c r="J57" s="21"/>
      <c r="K57" s="176"/>
      <c r="M57" s="198"/>
      <c r="N57" s="13"/>
      <c r="O57" s="199"/>
      <c r="P57" s="200"/>
      <c r="Q57" s="199"/>
      <c r="R57" s="21"/>
    </row>
    <row r="58" spans="1:18">
      <c r="A58" s="182"/>
      <c r="B58" s="14"/>
      <c r="C58" s="13"/>
      <c r="D58" s="691" t="s">
        <v>609</v>
      </c>
      <c r="E58" s="692">
        <f t="shared" si="4"/>
        <v>800259.36</v>
      </c>
      <c r="F58" s="693">
        <f t="shared" si="2"/>
        <v>1.1218470499700611E-3</v>
      </c>
      <c r="G58" s="694">
        <f t="shared" si="5"/>
        <v>9</v>
      </c>
      <c r="H58" s="695">
        <f t="shared" si="3"/>
        <v>2.3885984235250406E-4</v>
      </c>
      <c r="I58" s="175"/>
      <c r="J58" s="21"/>
      <c r="K58" s="176"/>
      <c r="M58" s="198"/>
      <c r="N58" s="13"/>
      <c r="O58" s="199"/>
      <c r="P58" s="200"/>
      <c r="Q58" s="199"/>
      <c r="R58" s="21"/>
    </row>
    <row r="59" spans="1:18">
      <c r="A59" s="182"/>
      <c r="B59" s="14"/>
      <c r="C59" s="13"/>
      <c r="D59" s="691" t="s">
        <v>610</v>
      </c>
      <c r="E59" s="692">
        <f t="shared" si="4"/>
        <v>181070.93</v>
      </c>
      <c r="F59" s="693">
        <f t="shared" si="2"/>
        <v>2.5383506749091373E-4</v>
      </c>
      <c r="G59" s="694">
        <f t="shared" si="5"/>
        <v>2</v>
      </c>
      <c r="H59" s="695">
        <f t="shared" si="3"/>
        <v>5.3079964967223123E-5</v>
      </c>
      <c r="I59" s="175"/>
      <c r="J59" s="21"/>
      <c r="K59" s="176"/>
      <c r="M59" s="198"/>
      <c r="N59" s="13"/>
      <c r="O59" s="199"/>
      <c r="P59" s="200"/>
      <c r="Q59" s="199"/>
      <c r="R59" s="21"/>
    </row>
    <row r="60" spans="1:18">
      <c r="A60" s="182"/>
      <c r="B60" s="14"/>
      <c r="C60" s="13"/>
      <c r="D60" s="691" t="s">
        <v>611</v>
      </c>
      <c r="E60" s="692">
        <f t="shared" si="4"/>
        <v>556845.49</v>
      </c>
      <c r="F60" s="693">
        <f t="shared" si="2"/>
        <v>7.8061626201489614E-4</v>
      </c>
      <c r="G60" s="694">
        <f t="shared" si="5"/>
        <v>6</v>
      </c>
      <c r="H60" s="695">
        <f t="shared" si="3"/>
        <v>1.5923989490166935E-4</v>
      </c>
      <c r="I60" s="175"/>
      <c r="J60" s="21"/>
      <c r="K60" s="176"/>
      <c r="M60" s="198"/>
      <c r="N60" s="13"/>
      <c r="O60" s="199"/>
      <c r="P60" s="200"/>
      <c r="Q60" s="199"/>
      <c r="R60" s="21"/>
    </row>
    <row r="61" spans="1:18">
      <c r="A61" s="182"/>
      <c r="B61" s="14"/>
      <c r="C61" s="13"/>
      <c r="D61" s="691" t="s">
        <v>612</v>
      </c>
      <c r="E61" s="692">
        <f t="shared" si="4"/>
        <v>285313.62</v>
      </c>
      <c r="F61" s="693">
        <f t="shared" si="2"/>
        <v>3.9996813397256487E-4</v>
      </c>
      <c r="G61" s="694">
        <f t="shared" si="5"/>
        <v>3</v>
      </c>
      <c r="H61" s="695">
        <f t="shared" si="3"/>
        <v>7.9619947450834677E-5</v>
      </c>
      <c r="I61" s="175"/>
      <c r="J61" s="21"/>
      <c r="K61" s="176"/>
      <c r="M61" s="198"/>
      <c r="N61" s="13"/>
      <c r="O61" s="199"/>
      <c r="P61" s="200"/>
      <c r="Q61" s="199"/>
      <c r="R61" s="21"/>
    </row>
    <row r="62" spans="1:18">
      <c r="A62" s="182"/>
      <c r="B62" s="14"/>
      <c r="C62" s="13"/>
      <c r="D62" s="691" t="s">
        <v>613</v>
      </c>
      <c r="E62" s="692">
        <f t="shared" si="4"/>
        <v>581644.27</v>
      </c>
      <c r="F62" s="693">
        <f t="shared" si="2"/>
        <v>8.1538053916856373E-4</v>
      </c>
      <c r="G62" s="694">
        <f t="shared" si="5"/>
        <v>6</v>
      </c>
      <c r="H62" s="695">
        <f t="shared" si="3"/>
        <v>1.5923989490166935E-4</v>
      </c>
      <c r="I62" s="175"/>
      <c r="J62" s="21"/>
      <c r="K62" s="176"/>
      <c r="M62" s="198"/>
      <c r="N62" s="13"/>
      <c r="O62" s="199"/>
      <c r="P62" s="200"/>
      <c r="Q62" s="199"/>
      <c r="R62" s="21"/>
    </row>
    <row r="63" spans="1:18">
      <c r="A63" s="182"/>
      <c r="B63" s="14"/>
      <c r="C63" s="13"/>
      <c r="D63" s="691" t="s">
        <v>614</v>
      </c>
      <c r="E63" s="692">
        <f t="shared" si="4"/>
        <v>496306.37</v>
      </c>
      <c r="F63" s="693">
        <f t="shared" si="2"/>
        <v>6.9574923443050968E-4</v>
      </c>
      <c r="G63" s="694">
        <f t="shared" si="5"/>
        <v>5</v>
      </c>
      <c r="H63" s="695">
        <f t="shared" si="3"/>
        <v>1.3269991241805781E-4</v>
      </c>
      <c r="I63" s="175"/>
      <c r="J63" s="21"/>
      <c r="K63" s="176"/>
      <c r="M63" s="198"/>
      <c r="N63" s="13"/>
      <c r="O63" s="199"/>
      <c r="P63" s="200"/>
      <c r="Q63" s="199"/>
      <c r="R63" s="21"/>
    </row>
    <row r="64" spans="1:18" ht="13" thickBot="1">
      <c r="A64" s="182"/>
      <c r="B64" s="14"/>
      <c r="C64" s="13"/>
      <c r="D64" s="691" t="s">
        <v>615</v>
      </c>
      <c r="E64" s="692">
        <f t="shared" si="4"/>
        <v>1087535.8800000001</v>
      </c>
      <c r="F64" s="693">
        <f t="shared" si="2"/>
        <v>1.5245668838095121E-3</v>
      </c>
      <c r="G64" s="694">
        <f t="shared" si="5"/>
        <v>10</v>
      </c>
      <c r="H64" s="695">
        <f t="shared" si="3"/>
        <v>2.6539982483611563E-4</v>
      </c>
      <c r="I64" s="175"/>
      <c r="J64" s="21"/>
      <c r="K64" s="176"/>
      <c r="M64" s="198"/>
      <c r="N64" s="13"/>
      <c r="O64" s="199"/>
      <c r="P64" s="200"/>
      <c r="Q64" s="199"/>
      <c r="R64" s="21"/>
    </row>
    <row r="65" spans="1:18" ht="14" thickTop="1" thickBot="1">
      <c r="A65" s="182"/>
      <c r="B65" s="205"/>
      <c r="C65" s="234"/>
      <c r="D65" s="699" t="s">
        <v>36</v>
      </c>
      <c r="E65" s="700">
        <f>SUM(E14:E64)</f>
        <v>713340878.35000026</v>
      </c>
      <c r="F65" s="701">
        <f>SUM(F14:F64)</f>
        <v>1</v>
      </c>
      <c r="G65" s="702">
        <f>SUM(G14:G64)</f>
        <v>37679</v>
      </c>
      <c r="H65" s="703">
        <f>SUM(H14:H64)</f>
        <v>0.99999999999999989</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18932.054416253093</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175</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3"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10258146.680000035</v>
      </c>
      <c r="F14" s="693">
        <f>E14/$E$55</f>
        <v>4.207156235789547E-2</v>
      </c>
      <c r="G14" s="694">
        <f t="shared" ref="G14:G54" si="1">VLOOKUP(CONCATENATE("CPB_",D14),Assets_20,2,0)</f>
        <v>10990</v>
      </c>
      <c r="H14" s="695">
        <f>G14/$G$55</f>
        <v>0.29167440749489104</v>
      </c>
      <c r="I14" s="175"/>
      <c r="K14" s="113"/>
      <c r="M14" s="198"/>
      <c r="N14" s="13"/>
      <c r="O14" s="199"/>
      <c r="P14" s="200"/>
      <c r="Q14" s="199"/>
    </row>
    <row r="15" spans="1:17">
      <c r="A15" s="182"/>
      <c r="B15" s="14"/>
      <c r="C15" s="13"/>
      <c r="D15" s="691" t="s">
        <v>617</v>
      </c>
      <c r="E15" s="692">
        <f t="shared" si="0"/>
        <v>20732391.399999943</v>
      </c>
      <c r="F15" s="693">
        <f t="shared" ref="F15:F54" si="2">E15/$E$55</f>
        <v>8.5029403928682204E-2</v>
      </c>
      <c r="G15" s="694">
        <f t="shared" si="1"/>
        <v>7097</v>
      </c>
      <c r="H15" s="695">
        <f t="shared" ref="H15:H54" si="3">G15/$G$55</f>
        <v>0.18835425568619124</v>
      </c>
      <c r="I15" s="175"/>
      <c r="K15" s="176"/>
      <c r="M15" s="198"/>
      <c r="N15" s="13"/>
      <c r="O15" s="199"/>
      <c r="P15" s="200"/>
      <c r="Q15" s="199"/>
    </row>
    <row r="16" spans="1:17">
      <c r="A16" s="182"/>
      <c r="B16" s="14"/>
      <c r="C16" s="13"/>
      <c r="D16" s="691" t="s">
        <v>618</v>
      </c>
      <c r="E16" s="692">
        <f t="shared" si="0"/>
        <v>24056597.710000001</v>
      </c>
      <c r="F16" s="693">
        <f t="shared" si="2"/>
        <v>9.8662914681101721E-2</v>
      </c>
      <c r="G16" s="694">
        <f t="shared" si="1"/>
        <v>4878</v>
      </c>
      <c r="H16" s="695">
        <f t="shared" si="3"/>
        <v>0.1294620345550572</v>
      </c>
      <c r="I16" s="175"/>
      <c r="K16" s="176"/>
      <c r="M16" s="198"/>
      <c r="N16" s="13"/>
      <c r="O16" s="199"/>
      <c r="P16" s="200"/>
      <c r="Q16" s="199"/>
    </row>
    <row r="17" spans="1:17">
      <c r="A17" s="182"/>
      <c r="B17" s="14"/>
      <c r="C17" s="13"/>
      <c r="D17" s="691" t="s">
        <v>619</v>
      </c>
      <c r="E17" s="692">
        <f t="shared" si="0"/>
        <v>26408710.629999954</v>
      </c>
      <c r="F17" s="693">
        <f t="shared" si="2"/>
        <v>0.10830959536071444</v>
      </c>
      <c r="G17" s="694">
        <f t="shared" si="1"/>
        <v>3789</v>
      </c>
      <c r="H17" s="695">
        <f t="shared" si="3"/>
        <v>0.1005599936304042</v>
      </c>
      <c r="I17" s="175"/>
      <c r="K17" s="176"/>
      <c r="M17" s="198"/>
      <c r="N17" s="13"/>
      <c r="O17" s="199"/>
      <c r="P17" s="200"/>
      <c r="Q17" s="199"/>
    </row>
    <row r="18" spans="1:17">
      <c r="A18" s="182"/>
      <c r="B18" s="14"/>
      <c r="C18" s="13"/>
      <c r="D18" s="691" t="s">
        <v>620</v>
      </c>
      <c r="E18" s="692">
        <f t="shared" si="0"/>
        <v>25629557.790000081</v>
      </c>
      <c r="F18" s="693">
        <f t="shared" si="2"/>
        <v>0.10511406908126511</v>
      </c>
      <c r="G18" s="694">
        <f t="shared" si="1"/>
        <v>2865</v>
      </c>
      <c r="H18" s="695">
        <f t="shared" si="3"/>
        <v>7.6037049815547125E-2</v>
      </c>
      <c r="I18" s="175"/>
      <c r="K18" s="176"/>
      <c r="M18" s="198"/>
      <c r="N18" s="13"/>
      <c r="O18" s="199"/>
      <c r="P18" s="200"/>
      <c r="Q18" s="199"/>
    </row>
    <row r="19" spans="1:17">
      <c r="A19" s="182"/>
      <c r="B19" s="14"/>
      <c r="C19" s="13"/>
      <c r="D19" s="691" t="s">
        <v>621</v>
      </c>
      <c r="E19" s="692">
        <f t="shared" si="0"/>
        <v>22792193.809999943</v>
      </c>
      <c r="F19" s="693">
        <f t="shared" si="2"/>
        <v>9.3477236489530144E-2</v>
      </c>
      <c r="G19" s="694">
        <f t="shared" si="1"/>
        <v>2086</v>
      </c>
      <c r="H19" s="695">
        <f t="shared" si="3"/>
        <v>5.5362403460813718E-2</v>
      </c>
      <c r="I19" s="175"/>
      <c r="K19" s="176"/>
      <c r="M19" s="198"/>
      <c r="N19" s="13"/>
      <c r="O19" s="199"/>
      <c r="P19" s="200"/>
      <c r="Q19" s="199"/>
    </row>
    <row r="20" spans="1:17">
      <c r="A20" s="182"/>
      <c r="B20" s="14"/>
      <c r="C20" s="13"/>
      <c r="D20" s="691" t="s">
        <v>622</v>
      </c>
      <c r="E20" s="692">
        <f t="shared" si="0"/>
        <v>19032853.020000011</v>
      </c>
      <c r="F20" s="693">
        <f t="shared" si="2"/>
        <v>7.8059116101426892E-2</v>
      </c>
      <c r="G20" s="694">
        <f t="shared" si="1"/>
        <v>1470</v>
      </c>
      <c r="H20" s="695">
        <f t="shared" si="3"/>
        <v>3.9013774250908996E-2</v>
      </c>
      <c r="I20" s="175"/>
      <c r="K20" s="176"/>
      <c r="M20" s="198"/>
      <c r="N20" s="13"/>
      <c r="O20" s="199"/>
      <c r="P20" s="200"/>
      <c r="Q20" s="199"/>
    </row>
    <row r="21" spans="1:17">
      <c r="A21" s="182"/>
      <c r="B21" s="14"/>
      <c r="C21" s="13"/>
      <c r="D21" s="691" t="s">
        <v>623</v>
      </c>
      <c r="E21" s="692">
        <f t="shared" si="0"/>
        <v>16464230.339999992</v>
      </c>
      <c r="F21" s="693">
        <f t="shared" si="2"/>
        <v>6.7524467628694684E-2</v>
      </c>
      <c r="G21" s="694">
        <f t="shared" si="1"/>
        <v>1100</v>
      </c>
      <c r="H21" s="695">
        <f t="shared" si="3"/>
        <v>2.9193980731972716E-2</v>
      </c>
      <c r="I21" s="175"/>
      <c r="K21" s="176"/>
      <c r="M21" s="198"/>
      <c r="N21" s="13"/>
      <c r="O21" s="199"/>
      <c r="P21" s="200"/>
      <c r="Q21" s="199"/>
    </row>
    <row r="22" spans="1:17">
      <c r="A22" s="182"/>
      <c r="B22" s="14"/>
      <c r="C22" s="13"/>
      <c r="D22" s="691" t="s">
        <v>624</v>
      </c>
      <c r="E22" s="692">
        <f t="shared" si="0"/>
        <v>14002744.149999995</v>
      </c>
      <c r="F22" s="693">
        <f t="shared" si="2"/>
        <v>5.7429216218653129E-2</v>
      </c>
      <c r="G22" s="694">
        <f t="shared" si="1"/>
        <v>827</v>
      </c>
      <c r="H22" s="695">
        <f t="shared" si="3"/>
        <v>2.194856551394676E-2</v>
      </c>
      <c r="I22" s="175"/>
      <c r="K22" s="176"/>
      <c r="M22" s="198"/>
      <c r="N22" s="13"/>
      <c r="O22" s="199"/>
      <c r="P22" s="200"/>
      <c r="Q22" s="199"/>
    </row>
    <row r="23" spans="1:17">
      <c r="A23" s="182"/>
      <c r="B23" s="14"/>
      <c r="C23" s="13"/>
      <c r="D23" s="691" t="s">
        <v>625</v>
      </c>
      <c r="E23" s="692">
        <f t="shared" si="0"/>
        <v>11319842.159999998</v>
      </c>
      <c r="F23" s="693">
        <f t="shared" si="2"/>
        <v>4.6425875957154132E-2</v>
      </c>
      <c r="G23" s="694">
        <f t="shared" si="1"/>
        <v>596</v>
      </c>
      <c r="H23" s="695">
        <f t="shared" si="3"/>
        <v>1.5817829560232491E-2</v>
      </c>
      <c r="I23" s="175"/>
      <c r="K23" s="176"/>
      <c r="M23" s="198"/>
      <c r="N23" s="13"/>
      <c r="O23" s="199"/>
      <c r="P23" s="200"/>
      <c r="Q23" s="199"/>
    </row>
    <row r="24" spans="1:17">
      <c r="A24" s="182"/>
      <c r="B24" s="14"/>
      <c r="C24" s="13"/>
      <c r="D24" s="691" t="s">
        <v>626</v>
      </c>
      <c r="E24" s="692">
        <f t="shared" si="0"/>
        <v>9430599.6300000045</v>
      </c>
      <c r="F24" s="693">
        <f t="shared" si="2"/>
        <v>3.8677557728769948E-2</v>
      </c>
      <c r="G24" s="694">
        <f t="shared" si="1"/>
        <v>451</v>
      </c>
      <c r="H24" s="695">
        <f t="shared" si="3"/>
        <v>1.1969532100108813E-2</v>
      </c>
      <c r="I24" s="175"/>
      <c r="K24" s="176"/>
      <c r="M24" s="198"/>
      <c r="N24" s="13"/>
      <c r="O24" s="199"/>
      <c r="P24" s="200"/>
      <c r="Q24" s="199"/>
    </row>
    <row r="25" spans="1:17">
      <c r="A25" s="182"/>
      <c r="B25" s="14"/>
      <c r="C25" s="13"/>
      <c r="D25" s="691" t="s">
        <v>627</v>
      </c>
      <c r="E25" s="692">
        <f t="shared" si="0"/>
        <v>9243095.9399999958</v>
      </c>
      <c r="F25" s="693">
        <f t="shared" si="2"/>
        <v>3.7908552036781652E-2</v>
      </c>
      <c r="G25" s="694">
        <f t="shared" si="1"/>
        <v>402</v>
      </c>
      <c r="H25" s="695">
        <f t="shared" si="3"/>
        <v>1.0669072958411848E-2</v>
      </c>
      <c r="I25" s="175"/>
      <c r="K25" s="176"/>
      <c r="M25" s="198"/>
      <c r="N25" s="13"/>
      <c r="O25" s="199"/>
      <c r="P25" s="200"/>
      <c r="Q25" s="199"/>
    </row>
    <row r="26" spans="1:17">
      <c r="A26" s="182"/>
      <c r="B26" s="14"/>
      <c r="C26" s="13"/>
      <c r="D26" s="691" t="s">
        <v>628</v>
      </c>
      <c r="E26" s="692">
        <f t="shared" si="0"/>
        <v>7113699.1999999974</v>
      </c>
      <c r="F26" s="693">
        <f t="shared" si="2"/>
        <v>2.91752934349843E-2</v>
      </c>
      <c r="G26" s="694">
        <f t="shared" si="1"/>
        <v>285</v>
      </c>
      <c r="H26" s="695">
        <f t="shared" si="3"/>
        <v>7.5638950078292947E-3</v>
      </c>
      <c r="I26" s="175"/>
      <c r="K26" s="176"/>
      <c r="M26" s="198"/>
      <c r="N26" s="13"/>
      <c r="O26" s="199"/>
      <c r="P26" s="200"/>
      <c r="Q26" s="199"/>
    </row>
    <row r="27" spans="1:17">
      <c r="A27" s="182"/>
      <c r="B27" s="14"/>
      <c r="C27" s="13"/>
      <c r="D27" s="691" t="s">
        <v>629</v>
      </c>
      <c r="E27" s="692">
        <f t="shared" si="0"/>
        <v>6096260.0300000012</v>
      </c>
      <c r="F27" s="693">
        <f t="shared" si="2"/>
        <v>2.5002487486569053E-2</v>
      </c>
      <c r="G27" s="694">
        <f t="shared" si="1"/>
        <v>226</v>
      </c>
      <c r="H27" s="695">
        <f t="shared" si="3"/>
        <v>5.998036041296213E-3</v>
      </c>
      <c r="I27" s="175"/>
      <c r="K27" s="176"/>
      <c r="M27" s="198"/>
      <c r="N27" s="13"/>
      <c r="O27" s="199"/>
      <c r="P27" s="200"/>
      <c r="Q27" s="199"/>
    </row>
    <row r="28" spans="1:17">
      <c r="A28" s="182"/>
      <c r="B28" s="14"/>
      <c r="C28" s="13"/>
      <c r="D28" s="691" t="s">
        <v>630</v>
      </c>
      <c r="E28" s="692">
        <f t="shared" si="0"/>
        <v>4479471.2</v>
      </c>
      <c r="F28" s="693">
        <f t="shared" si="2"/>
        <v>1.8371578980112244E-2</v>
      </c>
      <c r="G28" s="694">
        <f t="shared" si="1"/>
        <v>155</v>
      </c>
      <c r="H28" s="695">
        <f t="shared" si="3"/>
        <v>4.1136972849597922E-3</v>
      </c>
      <c r="I28" s="175"/>
      <c r="K28" s="176"/>
      <c r="M28" s="198"/>
      <c r="N28" s="13"/>
      <c r="O28" s="199"/>
      <c r="P28" s="200"/>
      <c r="Q28" s="199"/>
    </row>
    <row r="29" spans="1:17">
      <c r="A29" s="182"/>
      <c r="B29" s="14"/>
      <c r="C29" s="13"/>
      <c r="D29" s="691" t="s">
        <v>631</v>
      </c>
      <c r="E29" s="692">
        <f t="shared" si="0"/>
        <v>3867809.7499999991</v>
      </c>
      <c r="F29" s="693">
        <f t="shared" si="2"/>
        <v>1.5862982287322927E-2</v>
      </c>
      <c r="G29" s="694">
        <f t="shared" si="1"/>
        <v>125</v>
      </c>
      <c r="H29" s="695">
        <f t="shared" si="3"/>
        <v>3.3174978104514451E-3</v>
      </c>
      <c r="I29" s="175"/>
      <c r="K29" s="176"/>
      <c r="M29" s="198"/>
      <c r="N29" s="13"/>
      <c r="O29" s="199"/>
      <c r="P29" s="200"/>
      <c r="Q29" s="199"/>
    </row>
    <row r="30" spans="1:17">
      <c r="A30" s="182"/>
      <c r="B30" s="14"/>
      <c r="C30" s="13"/>
      <c r="D30" s="691" t="s">
        <v>632</v>
      </c>
      <c r="E30" s="692">
        <f t="shared" si="0"/>
        <v>2999422.0100000012</v>
      </c>
      <c r="F30" s="693">
        <f t="shared" si="2"/>
        <v>1.2301478431517104E-2</v>
      </c>
      <c r="G30" s="694">
        <f t="shared" si="1"/>
        <v>91</v>
      </c>
      <c r="H30" s="695">
        <f t="shared" si="3"/>
        <v>2.4151384060086519E-3</v>
      </c>
      <c r="I30" s="175"/>
      <c r="K30" s="176"/>
      <c r="M30" s="198"/>
      <c r="N30" s="13"/>
      <c r="O30" s="199"/>
      <c r="P30" s="200"/>
      <c r="Q30" s="199"/>
    </row>
    <row r="31" spans="1:17">
      <c r="A31" s="182"/>
      <c r="B31" s="14"/>
      <c r="C31" s="13"/>
      <c r="D31" s="691" t="s">
        <v>633</v>
      </c>
      <c r="E31" s="692">
        <f t="shared" si="0"/>
        <v>2649698.7999999989</v>
      </c>
      <c r="F31" s="693">
        <f t="shared" si="2"/>
        <v>1.0867164583558126E-2</v>
      </c>
      <c r="G31" s="694">
        <f t="shared" si="1"/>
        <v>76</v>
      </c>
      <c r="H31" s="695">
        <f t="shared" si="3"/>
        <v>2.0170386687544785E-3</v>
      </c>
      <c r="I31" s="175"/>
      <c r="K31" s="176"/>
      <c r="M31" s="198"/>
      <c r="N31" s="13"/>
      <c r="O31" s="199"/>
      <c r="P31" s="200"/>
      <c r="Q31" s="199"/>
    </row>
    <row r="32" spans="1:17">
      <c r="A32" s="182"/>
      <c r="B32" s="14"/>
      <c r="C32" s="13"/>
      <c r="D32" s="691" t="s">
        <v>634</v>
      </c>
      <c r="E32" s="692">
        <f t="shared" si="0"/>
        <v>1766834.6300000001</v>
      </c>
      <c r="F32" s="693">
        <f t="shared" si="2"/>
        <v>7.246288791820427E-3</v>
      </c>
      <c r="G32" s="694">
        <f t="shared" si="1"/>
        <v>48</v>
      </c>
      <c r="H32" s="695">
        <f t="shared" si="3"/>
        <v>1.2739191592133548E-3</v>
      </c>
      <c r="I32" s="175"/>
      <c r="K32" s="176"/>
      <c r="M32" s="198"/>
      <c r="N32" s="13"/>
      <c r="O32" s="199"/>
      <c r="P32" s="200"/>
      <c r="Q32" s="199"/>
    </row>
    <row r="33" spans="1:17">
      <c r="A33" s="182"/>
      <c r="B33" s="14"/>
      <c r="C33" s="13"/>
      <c r="D33" s="691" t="s">
        <v>635</v>
      </c>
      <c r="E33" s="692">
        <f t="shared" si="0"/>
        <v>1284933.6900000002</v>
      </c>
      <c r="F33" s="693">
        <f t="shared" si="2"/>
        <v>5.2698766698270243E-3</v>
      </c>
      <c r="G33" s="694">
        <f t="shared" si="1"/>
        <v>33</v>
      </c>
      <c r="H33" s="695">
        <f t="shared" si="3"/>
        <v>8.7581942195918147E-4</v>
      </c>
      <c r="I33" s="175"/>
      <c r="K33" s="176"/>
      <c r="M33" s="198"/>
      <c r="N33" s="13"/>
      <c r="O33" s="199"/>
      <c r="P33" s="200"/>
      <c r="Q33" s="199"/>
    </row>
    <row r="34" spans="1:17">
      <c r="A34" s="182"/>
      <c r="B34" s="14"/>
      <c r="C34" s="13"/>
      <c r="D34" s="691" t="s">
        <v>636</v>
      </c>
      <c r="E34" s="692">
        <f t="shared" si="0"/>
        <v>983935.3400000002</v>
      </c>
      <c r="F34" s="693">
        <f t="shared" si="2"/>
        <v>4.0353972607600642E-3</v>
      </c>
      <c r="G34" s="694">
        <f t="shared" si="1"/>
        <v>24</v>
      </c>
      <c r="H34" s="695">
        <f t="shared" si="3"/>
        <v>6.3695957960667742E-4</v>
      </c>
      <c r="I34" s="175"/>
      <c r="K34" s="176"/>
      <c r="M34" s="198"/>
      <c r="N34" s="13"/>
      <c r="O34" s="199"/>
      <c r="P34" s="200"/>
      <c r="Q34" s="199"/>
    </row>
    <row r="35" spans="1:17">
      <c r="A35" s="182"/>
      <c r="B35" s="14"/>
      <c r="C35" s="13"/>
      <c r="D35" s="691" t="s">
        <v>637</v>
      </c>
      <c r="E35" s="692">
        <f t="shared" si="0"/>
        <v>604172.46</v>
      </c>
      <c r="F35" s="693">
        <f t="shared" si="2"/>
        <v>2.4778822255847308E-3</v>
      </c>
      <c r="G35" s="694">
        <f t="shared" si="1"/>
        <v>14</v>
      </c>
      <c r="H35" s="695">
        <f t="shared" si="3"/>
        <v>3.7155975477056184E-4</v>
      </c>
      <c r="I35" s="175"/>
      <c r="K35" s="176"/>
      <c r="M35" s="198"/>
      <c r="N35" s="13"/>
      <c r="O35" s="199"/>
      <c r="P35" s="200"/>
      <c r="Q35" s="199"/>
    </row>
    <row r="36" spans="1:17">
      <c r="A36" s="182"/>
      <c r="B36" s="14"/>
      <c r="C36" s="13"/>
      <c r="D36" s="691" t="s">
        <v>638</v>
      </c>
      <c r="E36" s="692">
        <f t="shared" si="0"/>
        <v>492759.44000000006</v>
      </c>
      <c r="F36" s="693">
        <f t="shared" si="2"/>
        <v>2.0209459032030125E-3</v>
      </c>
      <c r="G36" s="694">
        <f t="shared" si="1"/>
        <v>11</v>
      </c>
      <c r="H36" s="695">
        <f t="shared" si="3"/>
        <v>2.9193980731972719E-4</v>
      </c>
      <c r="I36" s="175"/>
      <c r="K36" s="176"/>
      <c r="M36" s="198"/>
      <c r="N36" s="13"/>
      <c r="O36" s="199"/>
      <c r="P36" s="200"/>
      <c r="Q36" s="199"/>
    </row>
    <row r="37" spans="1:17">
      <c r="A37" s="182"/>
      <c r="B37" s="14"/>
      <c r="C37" s="13"/>
      <c r="D37" s="691" t="s">
        <v>639</v>
      </c>
      <c r="E37" s="692">
        <f t="shared" si="0"/>
        <v>469583.05</v>
      </c>
      <c r="F37" s="693">
        <f t="shared" si="2"/>
        <v>1.9258929694194701E-3</v>
      </c>
      <c r="G37" s="694">
        <f t="shared" si="1"/>
        <v>10</v>
      </c>
      <c r="H37" s="695">
        <f t="shared" si="3"/>
        <v>2.6539982483611563E-4</v>
      </c>
      <c r="I37" s="175"/>
      <c r="K37" s="176"/>
      <c r="M37" s="198"/>
      <c r="N37" s="13"/>
      <c r="O37" s="199"/>
      <c r="P37" s="200"/>
      <c r="Q37" s="199"/>
    </row>
    <row r="38" spans="1:17">
      <c r="A38" s="182"/>
      <c r="B38" s="14"/>
      <c r="C38" s="13"/>
      <c r="D38" s="691" t="s">
        <v>640</v>
      </c>
      <c r="E38" s="692">
        <f t="shared" si="0"/>
        <v>390480.15</v>
      </c>
      <c r="F38" s="693">
        <f t="shared" si="2"/>
        <v>1.6014695921900506E-3</v>
      </c>
      <c r="G38" s="694">
        <f t="shared" si="1"/>
        <v>8</v>
      </c>
      <c r="H38" s="695">
        <f t="shared" si="3"/>
        <v>2.1231985986889249E-4</v>
      </c>
      <c r="I38" s="175"/>
      <c r="K38" s="176"/>
      <c r="M38" s="198"/>
      <c r="N38" s="13"/>
      <c r="O38" s="199"/>
      <c r="P38" s="200"/>
      <c r="Q38" s="199"/>
    </row>
    <row r="39" spans="1:17">
      <c r="A39" s="182"/>
      <c r="B39" s="14"/>
      <c r="C39" s="13"/>
      <c r="D39" s="691" t="s">
        <v>641</v>
      </c>
      <c r="E39" s="692">
        <f t="shared" si="0"/>
        <v>358576.31</v>
      </c>
      <c r="F39" s="693">
        <f t="shared" si="2"/>
        <v>1.4706229162857912E-3</v>
      </c>
      <c r="G39" s="694">
        <f t="shared" si="1"/>
        <v>7</v>
      </c>
      <c r="H39" s="695">
        <f t="shared" si="3"/>
        <v>1.8577987738528092E-4</v>
      </c>
      <c r="I39" s="175"/>
      <c r="K39" s="176"/>
      <c r="M39" s="198"/>
      <c r="N39" s="13"/>
      <c r="O39" s="199"/>
      <c r="P39" s="200"/>
      <c r="Q39" s="199"/>
    </row>
    <row r="40" spans="1:17">
      <c r="A40" s="182"/>
      <c r="B40" s="14"/>
      <c r="C40" s="13"/>
      <c r="D40" s="691" t="s">
        <v>642</v>
      </c>
      <c r="E40" s="692">
        <f t="shared" si="0"/>
        <v>213348.15</v>
      </c>
      <c r="F40" s="693">
        <f t="shared" si="2"/>
        <v>8.7500113584519396E-4</v>
      </c>
      <c r="G40" s="694">
        <f t="shared" si="1"/>
        <v>4</v>
      </c>
      <c r="H40" s="695">
        <f t="shared" si="3"/>
        <v>1.0615992993444625E-4</v>
      </c>
      <c r="I40" s="175"/>
      <c r="K40" s="176"/>
      <c r="M40" s="198"/>
      <c r="N40" s="13"/>
      <c r="O40" s="199"/>
      <c r="P40" s="200"/>
      <c r="Q40" s="199"/>
    </row>
    <row r="41" spans="1:17">
      <c r="A41" s="182"/>
      <c r="B41" s="14"/>
      <c r="C41" s="13"/>
      <c r="D41" s="691" t="s">
        <v>643</v>
      </c>
      <c r="E41" s="692">
        <f t="shared" si="0"/>
        <v>109500.45999999999</v>
      </c>
      <c r="F41" s="693">
        <f t="shared" si="2"/>
        <v>4.4909237261054865E-4</v>
      </c>
      <c r="G41" s="694">
        <f t="shared" si="1"/>
        <v>2</v>
      </c>
      <c r="H41" s="695">
        <f t="shared" si="3"/>
        <v>5.3079964967223123E-5</v>
      </c>
      <c r="I41" s="175"/>
      <c r="K41" s="176"/>
      <c r="M41" s="198"/>
      <c r="N41" s="13"/>
      <c r="O41" s="199"/>
      <c r="P41" s="200"/>
      <c r="Q41" s="199"/>
    </row>
    <row r="42" spans="1:17">
      <c r="A42" s="182"/>
      <c r="B42" s="14"/>
      <c r="C42" s="13"/>
      <c r="D42" s="691" t="s">
        <v>644</v>
      </c>
      <c r="E42" s="692">
        <f t="shared" si="0"/>
        <v>113053.35</v>
      </c>
      <c r="F42" s="693">
        <f t="shared" si="2"/>
        <v>4.6366377988796373E-4</v>
      </c>
      <c r="G42" s="694">
        <f t="shared" si="1"/>
        <v>2</v>
      </c>
      <c r="H42" s="695">
        <f t="shared" si="3"/>
        <v>5.3079964967223123E-5</v>
      </c>
      <c r="I42" s="175"/>
      <c r="K42" s="176"/>
      <c r="M42" s="198"/>
      <c r="N42" s="13"/>
      <c r="O42" s="199"/>
      <c r="P42" s="200"/>
      <c r="Q42" s="199"/>
    </row>
    <row r="43" spans="1:17">
      <c r="A43" s="182"/>
      <c r="B43" s="14"/>
      <c r="C43" s="13"/>
      <c r="D43" s="691" t="s">
        <v>645</v>
      </c>
      <c r="E43" s="692">
        <f t="shared" si="0"/>
        <v>119076.45999999999</v>
      </c>
      <c r="F43" s="693">
        <f t="shared" si="2"/>
        <v>4.883662584017007E-4</v>
      </c>
      <c r="G43" s="694">
        <f t="shared" si="1"/>
        <v>2</v>
      </c>
      <c r="H43" s="695">
        <f t="shared" si="3"/>
        <v>5.3079964967223123E-5</v>
      </c>
      <c r="I43" s="175"/>
      <c r="K43" s="176"/>
      <c r="M43" s="198"/>
      <c r="N43" s="13"/>
      <c r="O43" s="199"/>
      <c r="P43" s="200"/>
      <c r="Q43" s="199"/>
    </row>
    <row r="44" spans="1:17">
      <c r="A44" s="182"/>
      <c r="B44" s="14"/>
      <c r="C44" s="13"/>
      <c r="D44" s="691" t="s">
        <v>646</v>
      </c>
      <c r="E44" s="692">
        <f t="shared" si="0"/>
        <v>0</v>
      </c>
      <c r="F44" s="693">
        <f t="shared" si="2"/>
        <v>0</v>
      </c>
      <c r="G44" s="694">
        <f t="shared" si="1"/>
        <v>0</v>
      </c>
      <c r="H44" s="695">
        <f t="shared" si="3"/>
        <v>0</v>
      </c>
      <c r="I44" s="175"/>
      <c r="K44" s="176"/>
      <c r="M44" s="198"/>
      <c r="N44" s="13"/>
      <c r="O44" s="199"/>
      <c r="P44" s="200"/>
      <c r="Q44" s="199"/>
    </row>
    <row r="45" spans="1:17">
      <c r="A45" s="182"/>
      <c r="B45" s="14"/>
      <c r="C45" s="13"/>
      <c r="D45" s="691" t="s">
        <v>647</v>
      </c>
      <c r="E45" s="692">
        <f t="shared" si="0"/>
        <v>0</v>
      </c>
      <c r="F45" s="693">
        <f t="shared" si="2"/>
        <v>0</v>
      </c>
      <c r="G45" s="694">
        <f t="shared" si="1"/>
        <v>0</v>
      </c>
      <c r="H45" s="695">
        <f t="shared" si="3"/>
        <v>0</v>
      </c>
      <c r="I45" s="175"/>
      <c r="K45" s="176"/>
      <c r="M45" s="198"/>
      <c r="N45" s="13"/>
      <c r="O45" s="199"/>
      <c r="P45" s="200"/>
      <c r="Q45" s="199"/>
    </row>
    <row r="46" spans="1:17">
      <c r="A46" s="182"/>
      <c r="B46" s="14"/>
      <c r="C46" s="13"/>
      <c r="D46" s="691" t="s">
        <v>648</v>
      </c>
      <c r="E46" s="692">
        <f t="shared" si="0"/>
        <v>0</v>
      </c>
      <c r="F46" s="693">
        <f t="shared" si="2"/>
        <v>0</v>
      </c>
      <c r="G46" s="694">
        <f t="shared" si="1"/>
        <v>0</v>
      </c>
      <c r="H46" s="695">
        <f t="shared" si="3"/>
        <v>0</v>
      </c>
      <c r="I46" s="175"/>
      <c r="K46" s="176"/>
      <c r="M46" s="198"/>
      <c r="N46" s="13"/>
      <c r="O46" s="199"/>
      <c r="P46" s="200"/>
      <c r="Q46" s="199"/>
    </row>
    <row r="47" spans="1:17">
      <c r="A47" s="182"/>
      <c r="B47" s="14"/>
      <c r="C47" s="13"/>
      <c r="D47" s="691" t="s">
        <v>649</v>
      </c>
      <c r="E47" s="692">
        <f t="shared" si="0"/>
        <v>134135.94</v>
      </c>
      <c r="F47" s="693">
        <f t="shared" si="2"/>
        <v>5.5012944737351974E-4</v>
      </c>
      <c r="G47" s="694">
        <f t="shared" si="1"/>
        <v>2</v>
      </c>
      <c r="H47" s="695">
        <f t="shared" si="3"/>
        <v>5.3079964967223123E-5</v>
      </c>
      <c r="I47" s="175"/>
      <c r="K47" s="176"/>
      <c r="M47" s="198"/>
      <c r="N47" s="13"/>
      <c r="O47" s="199"/>
      <c r="P47" s="200"/>
      <c r="Q47" s="199"/>
    </row>
    <row r="48" spans="1:17">
      <c r="A48" s="182"/>
      <c r="B48" s="14"/>
      <c r="C48" s="13"/>
      <c r="D48" s="691" t="s">
        <v>650</v>
      </c>
      <c r="E48" s="692">
        <f t="shared" si="0"/>
        <v>138365.32999999999</v>
      </c>
      <c r="F48" s="693">
        <f t="shared" si="2"/>
        <v>5.6747537258511533E-4</v>
      </c>
      <c r="G48" s="694">
        <f t="shared" si="1"/>
        <v>2</v>
      </c>
      <c r="H48" s="695">
        <f t="shared" si="3"/>
        <v>5.3079964967223123E-5</v>
      </c>
      <c r="I48" s="175"/>
      <c r="K48" s="176"/>
      <c r="M48" s="198"/>
      <c r="N48" s="13"/>
      <c r="O48" s="199"/>
      <c r="P48" s="200"/>
      <c r="Q48" s="199"/>
    </row>
    <row r="49" spans="1:17">
      <c r="A49" s="182"/>
      <c r="B49" s="14"/>
      <c r="C49" s="13"/>
      <c r="D49" s="691" t="s">
        <v>651</v>
      </c>
      <c r="E49" s="692">
        <f t="shared" si="0"/>
        <v>70061.62</v>
      </c>
      <c r="F49" s="693">
        <f t="shared" si="2"/>
        <v>2.8734252947191884E-4</v>
      </c>
      <c r="G49" s="694">
        <f t="shared" si="1"/>
        <v>1</v>
      </c>
      <c r="H49" s="695">
        <f t="shared" si="3"/>
        <v>2.6539982483611561E-5</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243826140.63</v>
      </c>
      <c r="F55" s="605">
        <f>SUM(F14:F54)</f>
        <v>0.99999999999999978</v>
      </c>
      <c r="G55" s="696">
        <f>SUM(G14:G54)</f>
        <v>37679</v>
      </c>
      <c r="H55" s="697">
        <f>SUM(H14:H54)</f>
        <v>0.99999999999999956</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6471.1415013668093</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176</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70061.62</v>
      </c>
      <c r="G14" s="679">
        <f t="shared" ref="G14:G38" si="1">F14/VLOOKUP("Outstanding_eop_current",calcdata_20,2,0)</f>
        <v>2.8734252947191895E-4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69675.179999999993</v>
      </c>
      <c r="G15" s="679">
        <f t="shared" si="1"/>
        <v>2.8575762967814988E-4</v>
      </c>
      <c r="H15" s="680">
        <f t="shared" si="2"/>
        <v>1</v>
      </c>
      <c r="I15" s="175"/>
      <c r="K15" s="176"/>
      <c r="N15" s="489"/>
      <c r="O15" s="490"/>
      <c r="P15" s="372"/>
    </row>
    <row r="16" spans="1:17">
      <c r="A16" s="182"/>
      <c r="B16" s="14"/>
      <c r="C16" s="13"/>
      <c r="E16" s="678">
        <f t="shared" ref="E16:E38" si="3">+E15+1</f>
        <v>3</v>
      </c>
      <c r="F16" s="668">
        <f t="shared" si="0"/>
        <v>68690.149999999994</v>
      </c>
      <c r="G16" s="679">
        <f t="shared" si="1"/>
        <v>2.8171774290696583E-4</v>
      </c>
      <c r="H16" s="680">
        <f t="shared" si="2"/>
        <v>1</v>
      </c>
      <c r="I16" s="175"/>
      <c r="K16" s="176"/>
      <c r="N16" s="489"/>
      <c r="O16" s="490"/>
      <c r="P16" s="372"/>
    </row>
    <row r="17" spans="1:16">
      <c r="A17" s="182"/>
      <c r="B17" s="14"/>
      <c r="C17" s="13"/>
      <c r="E17" s="678">
        <f t="shared" si="3"/>
        <v>4</v>
      </c>
      <c r="F17" s="668">
        <f t="shared" si="0"/>
        <v>67339.929999999993</v>
      </c>
      <c r="G17" s="679">
        <f t="shared" si="1"/>
        <v>2.7618010860528145E-4</v>
      </c>
      <c r="H17" s="680">
        <f t="shared" si="2"/>
        <v>1</v>
      </c>
      <c r="I17" s="175"/>
      <c r="K17" s="176"/>
      <c r="N17" s="489"/>
      <c r="O17" s="490"/>
      <c r="P17" s="372"/>
    </row>
    <row r="18" spans="1:16">
      <c r="A18" s="182"/>
      <c r="B18" s="14"/>
      <c r="C18" s="13"/>
      <c r="E18" s="678">
        <f t="shared" si="3"/>
        <v>5</v>
      </c>
      <c r="F18" s="668">
        <f t="shared" si="0"/>
        <v>66796.009999999995</v>
      </c>
      <c r="G18" s="679">
        <f t="shared" si="1"/>
        <v>2.7394933876823851E-4</v>
      </c>
      <c r="H18" s="680">
        <f t="shared" si="2"/>
        <v>1</v>
      </c>
      <c r="I18" s="175"/>
      <c r="K18" s="176"/>
      <c r="N18" s="489"/>
      <c r="O18" s="490"/>
      <c r="P18" s="372"/>
    </row>
    <row r="19" spans="1:16">
      <c r="A19" s="182"/>
      <c r="B19" s="14"/>
      <c r="C19" s="13"/>
      <c r="E19" s="678">
        <f t="shared" si="3"/>
        <v>6</v>
      </c>
      <c r="F19" s="668">
        <f t="shared" si="0"/>
        <v>59749.78</v>
      </c>
      <c r="G19" s="679">
        <f t="shared" si="1"/>
        <v>2.4505075561470993E-4</v>
      </c>
      <c r="H19" s="680">
        <f t="shared" si="2"/>
        <v>1</v>
      </c>
      <c r="I19" s="175"/>
      <c r="K19" s="176"/>
      <c r="N19" s="489"/>
      <c r="O19" s="490"/>
      <c r="P19" s="372"/>
    </row>
    <row r="20" spans="1:16">
      <c r="A20" s="182"/>
      <c r="B20" s="14"/>
      <c r="C20" s="13"/>
      <c r="E20" s="678">
        <f t="shared" si="3"/>
        <v>7</v>
      </c>
      <c r="F20" s="668">
        <f t="shared" si="0"/>
        <v>59326.68</v>
      </c>
      <c r="G20" s="679">
        <f t="shared" si="1"/>
        <v>2.4331550278699102E-4</v>
      </c>
      <c r="H20" s="680">
        <f t="shared" si="2"/>
        <v>1</v>
      </c>
      <c r="I20" s="175"/>
      <c r="K20" s="176"/>
      <c r="N20" s="489"/>
      <c r="O20" s="490"/>
      <c r="P20" s="372"/>
    </row>
    <row r="21" spans="1:16">
      <c r="A21" s="182"/>
      <c r="B21" s="14"/>
      <c r="C21" s="13"/>
      <c r="E21" s="678">
        <f t="shared" si="3"/>
        <v>8</v>
      </c>
      <c r="F21" s="668">
        <f t="shared" si="0"/>
        <v>56826.86</v>
      </c>
      <c r="G21" s="679">
        <f t="shared" si="1"/>
        <v>2.330630335745393E-4</v>
      </c>
      <c r="H21" s="680">
        <f t="shared" si="2"/>
        <v>1</v>
      </c>
      <c r="I21" s="175"/>
      <c r="K21" s="176"/>
      <c r="N21" s="489"/>
      <c r="O21" s="490"/>
      <c r="P21" s="372"/>
    </row>
    <row r="22" spans="1:16">
      <c r="A22" s="182"/>
      <c r="B22" s="14"/>
      <c r="C22" s="13"/>
      <c r="E22" s="678">
        <f t="shared" si="3"/>
        <v>9</v>
      </c>
      <c r="F22" s="668">
        <f t="shared" si="0"/>
        <v>56226.49</v>
      </c>
      <c r="G22" s="679">
        <f t="shared" si="1"/>
        <v>2.3060074631342463E-4</v>
      </c>
      <c r="H22" s="680">
        <f t="shared" si="2"/>
        <v>1</v>
      </c>
      <c r="I22" s="175"/>
      <c r="K22" s="176"/>
      <c r="N22" s="489"/>
      <c r="O22" s="490"/>
      <c r="P22" s="372"/>
    </row>
    <row r="23" spans="1:16">
      <c r="A23" s="182"/>
      <c r="B23" s="14"/>
      <c r="C23" s="13"/>
      <c r="E23" s="678">
        <f t="shared" si="3"/>
        <v>10</v>
      </c>
      <c r="F23" s="668">
        <f t="shared" si="0"/>
        <v>55106.29</v>
      </c>
      <c r="G23" s="679">
        <f t="shared" si="1"/>
        <v>2.2600648912219148E-4</v>
      </c>
      <c r="H23" s="680">
        <f t="shared" si="2"/>
        <v>1</v>
      </c>
      <c r="I23" s="175"/>
      <c r="K23" s="176"/>
      <c r="N23" s="489"/>
      <c r="O23" s="490"/>
      <c r="P23" s="372"/>
    </row>
    <row r="24" spans="1:16">
      <c r="A24" s="182"/>
      <c r="B24" s="14"/>
      <c r="C24" s="13"/>
      <c r="E24" s="678">
        <f t="shared" si="3"/>
        <v>11</v>
      </c>
      <c r="F24" s="668">
        <f t="shared" si="0"/>
        <v>54394.17</v>
      </c>
      <c r="G24" s="679">
        <f t="shared" si="1"/>
        <v>2.2308588348835741E-4</v>
      </c>
      <c r="H24" s="680">
        <f t="shared" si="2"/>
        <v>1</v>
      </c>
      <c r="I24" s="175"/>
      <c r="K24" s="176"/>
      <c r="N24" s="489"/>
      <c r="O24" s="490"/>
      <c r="P24" s="372"/>
    </row>
    <row r="25" spans="1:16">
      <c r="A25" s="182"/>
      <c r="B25" s="14"/>
      <c r="C25" s="13"/>
      <c r="E25" s="678">
        <f t="shared" si="3"/>
        <v>12</v>
      </c>
      <c r="F25" s="668">
        <f t="shared" si="0"/>
        <v>53769.03</v>
      </c>
      <c r="G25" s="679">
        <f t="shared" si="1"/>
        <v>2.2052200744789366E-4</v>
      </c>
      <c r="H25" s="680">
        <f t="shared" si="2"/>
        <v>1</v>
      </c>
      <c r="I25" s="175"/>
      <c r="K25" s="176"/>
      <c r="N25" s="489"/>
      <c r="O25" s="490"/>
      <c r="P25" s="372"/>
    </row>
    <row r="26" spans="1:16">
      <c r="A26" s="182"/>
      <c r="B26" s="14"/>
      <c r="C26" s="13"/>
      <c r="E26" s="678">
        <f t="shared" si="3"/>
        <v>13</v>
      </c>
      <c r="F26" s="668">
        <f t="shared" si="0"/>
        <v>53671.14</v>
      </c>
      <c r="G26" s="679">
        <f t="shared" si="1"/>
        <v>2.2012053285724037E-4</v>
      </c>
      <c r="H26" s="680">
        <f t="shared" si="2"/>
        <v>1</v>
      </c>
      <c r="I26" s="175"/>
      <c r="K26" s="176"/>
      <c r="N26" s="489"/>
      <c r="O26" s="490"/>
      <c r="P26" s="372"/>
    </row>
    <row r="27" spans="1:16">
      <c r="A27" s="182"/>
      <c r="B27" s="14"/>
      <c r="C27" s="13"/>
      <c r="E27" s="678">
        <f t="shared" si="3"/>
        <v>14</v>
      </c>
      <c r="F27" s="668">
        <f t="shared" si="0"/>
        <v>53250.62</v>
      </c>
      <c r="G27" s="679">
        <f t="shared" si="1"/>
        <v>2.1839586133960305E-4</v>
      </c>
      <c r="H27" s="680">
        <f t="shared" si="2"/>
        <v>1</v>
      </c>
      <c r="I27" s="175"/>
      <c r="K27" s="176"/>
      <c r="N27" s="489"/>
      <c r="O27" s="490"/>
      <c r="P27" s="372"/>
    </row>
    <row r="28" spans="1:16">
      <c r="A28" s="182"/>
      <c r="B28" s="14"/>
      <c r="C28" s="13"/>
      <c r="E28" s="678">
        <f t="shared" si="3"/>
        <v>15</v>
      </c>
      <c r="F28" s="668">
        <f t="shared" si="0"/>
        <v>52657.36</v>
      </c>
      <c r="G28" s="679">
        <f t="shared" si="1"/>
        <v>2.1596273420045737E-4</v>
      </c>
      <c r="H28" s="680">
        <f t="shared" si="2"/>
        <v>1</v>
      </c>
      <c r="I28" s="175"/>
      <c r="K28" s="176"/>
      <c r="N28" s="489"/>
      <c r="O28" s="490"/>
      <c r="P28" s="372"/>
    </row>
    <row r="29" spans="1:16">
      <c r="A29" s="182"/>
      <c r="B29" s="14"/>
      <c r="C29" s="13"/>
      <c r="E29" s="678">
        <f t="shared" si="3"/>
        <v>16</v>
      </c>
      <c r="F29" s="668">
        <f t="shared" si="0"/>
        <v>51994.29</v>
      </c>
      <c r="G29" s="679">
        <f t="shared" si="1"/>
        <v>2.1324329649666254E-4</v>
      </c>
      <c r="H29" s="680">
        <f t="shared" si="2"/>
        <v>1</v>
      </c>
      <c r="I29" s="175"/>
      <c r="K29" s="176"/>
      <c r="N29" s="489"/>
      <c r="O29" s="490"/>
      <c r="P29" s="372"/>
    </row>
    <row r="30" spans="1:16">
      <c r="A30" s="182"/>
      <c r="B30" s="14"/>
      <c r="C30" s="13"/>
      <c r="E30" s="678">
        <f t="shared" si="3"/>
        <v>17</v>
      </c>
      <c r="F30" s="668">
        <f t="shared" si="0"/>
        <v>51979.51</v>
      </c>
      <c r="G30" s="679">
        <f t="shared" si="1"/>
        <v>2.1318267953425723E-4</v>
      </c>
      <c r="H30" s="680">
        <f t="shared" si="2"/>
        <v>1</v>
      </c>
      <c r="I30" s="175"/>
      <c r="J30" s="175"/>
      <c r="K30" s="176"/>
      <c r="N30" s="489"/>
      <c r="O30" s="490"/>
      <c r="P30" s="372"/>
    </row>
    <row r="31" spans="1:16">
      <c r="A31" s="182"/>
      <c r="B31" s="14"/>
      <c r="C31" s="13"/>
      <c r="E31" s="678">
        <f t="shared" si="3"/>
        <v>18</v>
      </c>
      <c r="F31" s="668">
        <f t="shared" si="0"/>
        <v>51648.18</v>
      </c>
      <c r="G31" s="679">
        <f t="shared" si="1"/>
        <v>2.1182380144537017E-4</v>
      </c>
      <c r="H31" s="680">
        <f t="shared" si="2"/>
        <v>1</v>
      </c>
      <c r="I31" s="175"/>
      <c r="J31" s="175"/>
      <c r="K31" s="176"/>
      <c r="N31" s="489"/>
      <c r="O31" s="490"/>
      <c r="P31" s="372"/>
    </row>
    <row r="32" spans="1:16">
      <c r="A32" s="182"/>
      <c r="B32" s="14"/>
      <c r="C32" s="13"/>
      <c r="E32" s="678">
        <f t="shared" si="3"/>
        <v>19</v>
      </c>
      <c r="F32" s="668">
        <f t="shared" si="0"/>
        <v>51241.41</v>
      </c>
      <c r="G32" s="679">
        <f t="shared" si="1"/>
        <v>2.1015552256867148E-4</v>
      </c>
      <c r="H32" s="680">
        <f t="shared" si="2"/>
        <v>2</v>
      </c>
      <c r="I32" s="175"/>
      <c r="J32" s="175"/>
      <c r="K32" s="176"/>
      <c r="N32" s="489"/>
      <c r="O32" s="490"/>
      <c r="P32" s="372"/>
    </row>
    <row r="33" spans="1:17">
      <c r="A33" s="182"/>
      <c r="B33" s="14"/>
      <c r="C33" s="13"/>
      <c r="E33" s="678">
        <f t="shared" si="3"/>
        <v>20</v>
      </c>
      <c r="F33" s="668">
        <f t="shared" si="0"/>
        <v>51060.27</v>
      </c>
      <c r="G33" s="679">
        <f t="shared" si="1"/>
        <v>2.0941261617015336E-4</v>
      </c>
      <c r="H33" s="680">
        <f t="shared" si="2"/>
        <v>1</v>
      </c>
      <c r="I33" s="175"/>
      <c r="J33" s="175"/>
      <c r="K33" s="176"/>
      <c r="N33" s="489"/>
      <c r="O33" s="490"/>
      <c r="P33" s="372"/>
    </row>
    <row r="34" spans="1:17">
      <c r="A34" s="182"/>
      <c r="B34" s="14"/>
      <c r="C34" s="13"/>
      <c r="E34" s="678">
        <f t="shared" si="3"/>
        <v>21</v>
      </c>
      <c r="F34" s="668">
        <f t="shared" si="0"/>
        <v>50934.15</v>
      </c>
      <c r="G34" s="679">
        <f t="shared" si="1"/>
        <v>2.0889536236104935E-4</v>
      </c>
      <c r="H34" s="680">
        <f t="shared" si="2"/>
        <v>1</v>
      </c>
      <c r="I34" s="175"/>
      <c r="J34" s="175"/>
      <c r="K34" s="176"/>
      <c r="N34" s="489"/>
      <c r="O34" s="490"/>
      <c r="P34" s="372"/>
    </row>
    <row r="35" spans="1:17">
      <c r="A35" s="182"/>
      <c r="B35" s="14"/>
      <c r="C35" s="13"/>
      <c r="E35" s="678">
        <f t="shared" si="3"/>
        <v>22</v>
      </c>
      <c r="F35" s="668">
        <f t="shared" si="0"/>
        <v>50837.36</v>
      </c>
      <c r="G35" s="679">
        <f t="shared" si="1"/>
        <v>2.0849839918167114E-4</v>
      </c>
      <c r="H35" s="680">
        <f t="shared" si="2"/>
        <v>1</v>
      </c>
      <c r="I35" s="175"/>
      <c r="J35" s="175"/>
      <c r="K35" s="176"/>
      <c r="N35" s="489"/>
      <c r="O35" s="490"/>
      <c r="P35" s="372"/>
    </row>
    <row r="36" spans="1:17">
      <c r="A36" s="182"/>
      <c r="B36" s="14"/>
      <c r="C36" s="13"/>
      <c r="E36" s="678">
        <f t="shared" si="3"/>
        <v>23</v>
      </c>
      <c r="F36" s="668">
        <f t="shared" si="0"/>
        <v>50122.55</v>
      </c>
      <c r="G36" s="679">
        <f t="shared" si="1"/>
        <v>2.0556676109662799E-4</v>
      </c>
      <c r="H36" s="680">
        <f t="shared" si="2"/>
        <v>1</v>
      </c>
      <c r="I36" s="175"/>
      <c r="J36" s="175"/>
      <c r="K36" s="176"/>
      <c r="N36" s="489"/>
      <c r="O36" s="490"/>
      <c r="P36" s="372"/>
    </row>
    <row r="37" spans="1:17">
      <c r="A37" s="182"/>
      <c r="B37" s="14"/>
      <c r="C37" s="13"/>
      <c r="E37" s="678">
        <f t="shared" si="3"/>
        <v>24</v>
      </c>
      <c r="F37" s="668">
        <f t="shared" si="0"/>
        <v>49922.239999999998</v>
      </c>
      <c r="G37" s="679">
        <f t="shared" si="1"/>
        <v>2.0474523310343398E-4</v>
      </c>
      <c r="H37" s="680">
        <f t="shared" si="2"/>
        <v>1</v>
      </c>
      <c r="I37" s="175"/>
      <c r="J37" s="175"/>
      <c r="K37" s="176"/>
      <c r="N37" s="489"/>
      <c r="O37" s="490"/>
      <c r="P37" s="372"/>
    </row>
    <row r="38" spans="1:17" ht="13" thickBot="1">
      <c r="A38" s="182"/>
      <c r="B38" s="14"/>
      <c r="C38" s="13"/>
      <c r="E38" s="681">
        <f t="shared" si="3"/>
        <v>25</v>
      </c>
      <c r="F38" s="682">
        <f t="shared" si="0"/>
        <v>49461.25</v>
      </c>
      <c r="G38" s="683">
        <f t="shared" si="1"/>
        <v>2.0285458266370307E-4</v>
      </c>
      <c r="H38" s="684">
        <f t="shared" si="2"/>
        <v>1</v>
      </c>
      <c r="I38" s="175"/>
      <c r="J38" s="175"/>
      <c r="K38" s="176"/>
      <c r="N38" s="489"/>
      <c r="O38" s="490"/>
      <c r="P38" s="372"/>
    </row>
    <row r="39" spans="1:17" ht="14" thickTop="1" thickBot="1">
      <c r="A39" s="182"/>
      <c r="B39" s="14"/>
      <c r="C39" s="13"/>
      <c r="E39" s="685"/>
      <c r="F39" s="686">
        <f>SUM(F14:F38)</f>
        <v>1406742.5200000003</v>
      </c>
      <c r="G39" s="687">
        <f>SUM(G14:G38)</f>
        <v>5.769449150797564E-3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972346.68999999959</v>
      </c>
      <c r="F14" s="669">
        <f t="shared" ref="F14:F30" si="1">E14/$E$31</f>
        <v>3.9878689277845344E-3</v>
      </c>
      <c r="G14" s="670">
        <f t="shared" ref="G14:G30" si="2">VLOOKUP(CONCATENATE("geo_",D14),Assets_20,2,0)</f>
        <v>139</v>
      </c>
      <c r="H14" s="671">
        <f t="shared" ref="H14:H30" si="3">G14/$G$31</f>
        <v>3.6890575652220071E-3</v>
      </c>
      <c r="I14" s="175"/>
      <c r="K14" s="176"/>
      <c r="N14" s="490"/>
      <c r="O14" s="672"/>
      <c r="P14" s="673"/>
      <c r="Q14" s="584"/>
    </row>
    <row r="15" spans="1:17">
      <c r="A15" s="182"/>
      <c r="B15" s="14"/>
      <c r="C15" s="13"/>
      <c r="D15" s="667" t="s">
        <v>944</v>
      </c>
      <c r="E15" s="668">
        <f t="shared" si="0"/>
        <v>29040298.970000021</v>
      </c>
      <c r="F15" s="669">
        <f t="shared" si="1"/>
        <v>0.11910248382296272</v>
      </c>
      <c r="G15" s="670">
        <f t="shared" si="2"/>
        <v>4199</v>
      </c>
      <c r="H15" s="671">
        <f t="shared" si="3"/>
        <v>0.11144138644868494</v>
      </c>
      <c r="I15" s="175"/>
      <c r="K15" s="176"/>
      <c r="N15" s="490"/>
      <c r="O15" s="672"/>
      <c r="P15" s="673"/>
      <c r="Q15" s="584"/>
    </row>
    <row r="16" spans="1:17">
      <c r="A16" s="182"/>
      <c r="B16" s="14"/>
      <c r="C16" s="13"/>
      <c r="D16" s="667" t="s">
        <v>120</v>
      </c>
      <c r="E16" s="668">
        <f t="shared" si="0"/>
        <v>30940142.680000018</v>
      </c>
      <c r="F16" s="669">
        <f t="shared" si="1"/>
        <v>0.12689428049042079</v>
      </c>
      <c r="G16" s="670">
        <f t="shared" si="2"/>
        <v>4580</v>
      </c>
      <c r="H16" s="671">
        <f t="shared" si="3"/>
        <v>0.12155311977494095</v>
      </c>
      <c r="I16" s="175"/>
      <c r="K16" s="176"/>
      <c r="N16" s="490"/>
      <c r="O16" s="672"/>
      <c r="P16" s="673"/>
      <c r="Q16" s="584"/>
    </row>
    <row r="17" spans="1:17">
      <c r="A17" s="182"/>
      <c r="B17" s="14"/>
      <c r="C17" s="13"/>
      <c r="D17" s="667" t="s">
        <v>78</v>
      </c>
      <c r="E17" s="668">
        <f t="shared" si="0"/>
        <v>10087948.230000008</v>
      </c>
      <c r="F17" s="669">
        <f t="shared" si="1"/>
        <v>4.1373530352138123E-2</v>
      </c>
      <c r="G17" s="670">
        <f t="shared" si="2"/>
        <v>1564</v>
      </c>
      <c r="H17" s="671">
        <f t="shared" si="3"/>
        <v>4.150853260436848E-2</v>
      </c>
      <c r="I17" s="175"/>
      <c r="K17" s="176"/>
      <c r="N17" s="490"/>
      <c r="O17" s="672"/>
      <c r="P17" s="673"/>
      <c r="Q17" s="584"/>
    </row>
    <row r="18" spans="1:17">
      <c r="A18" s="182"/>
      <c r="B18" s="14"/>
      <c r="C18" s="13"/>
      <c r="D18" s="667" t="s">
        <v>79</v>
      </c>
      <c r="E18" s="668">
        <f t="shared" si="0"/>
        <v>10042708.449999999</v>
      </c>
      <c r="F18" s="669">
        <f t="shared" si="1"/>
        <v>4.1187989212524798E-2</v>
      </c>
      <c r="G18" s="670">
        <f t="shared" si="2"/>
        <v>1713</v>
      </c>
      <c r="H18" s="671">
        <f t="shared" si="3"/>
        <v>4.5462989994426606E-2</v>
      </c>
      <c r="I18" s="175"/>
      <c r="K18" s="176"/>
      <c r="N18" s="490"/>
      <c r="O18" s="672"/>
      <c r="P18" s="673"/>
      <c r="Q18" s="584"/>
    </row>
    <row r="19" spans="1:17">
      <c r="A19" s="182"/>
      <c r="B19" s="14"/>
      <c r="C19" s="13"/>
      <c r="D19" s="667" t="s">
        <v>80</v>
      </c>
      <c r="E19" s="668">
        <f t="shared" si="0"/>
        <v>2140753.5600000005</v>
      </c>
      <c r="F19" s="669">
        <f t="shared" si="1"/>
        <v>8.779836134340243E-3</v>
      </c>
      <c r="G19" s="670">
        <f t="shared" si="2"/>
        <v>323</v>
      </c>
      <c r="H19" s="671">
        <f t="shared" si="3"/>
        <v>8.5724143422065344E-3</v>
      </c>
      <c r="I19" s="175"/>
      <c r="K19" s="176"/>
      <c r="N19" s="490"/>
      <c r="O19" s="672"/>
      <c r="P19" s="673"/>
      <c r="Q19" s="584"/>
    </row>
    <row r="20" spans="1:17">
      <c r="A20" s="182"/>
      <c r="B20" s="14"/>
      <c r="C20" s="13"/>
      <c r="D20" s="667" t="s">
        <v>81</v>
      </c>
      <c r="E20" s="668">
        <f t="shared" si="0"/>
        <v>4523280.0700000012</v>
      </c>
      <c r="F20" s="669">
        <f t="shared" si="1"/>
        <v>1.85512515529004E-2</v>
      </c>
      <c r="G20" s="670">
        <f t="shared" si="2"/>
        <v>695</v>
      </c>
      <c r="H20" s="671">
        <f t="shared" si="3"/>
        <v>1.8445287826110036E-2</v>
      </c>
      <c r="I20" s="175"/>
      <c r="K20" s="176"/>
      <c r="N20" s="490"/>
      <c r="O20" s="672"/>
      <c r="P20" s="673"/>
      <c r="Q20" s="584"/>
    </row>
    <row r="21" spans="1:17">
      <c r="A21" s="182"/>
      <c r="B21" s="14"/>
      <c r="C21" s="13"/>
      <c r="D21" s="667" t="s">
        <v>121</v>
      </c>
      <c r="E21" s="668">
        <f t="shared" si="0"/>
        <v>17739293.910000011</v>
      </c>
      <c r="F21" s="669">
        <f t="shared" si="1"/>
        <v>7.2753864143381294E-2</v>
      </c>
      <c r="G21" s="670">
        <f t="shared" si="2"/>
        <v>2692</v>
      </c>
      <c r="H21" s="671">
        <f t="shared" si="3"/>
        <v>7.1445632845882318E-2</v>
      </c>
      <c r="I21" s="175"/>
      <c r="K21" s="176"/>
      <c r="N21" s="490"/>
      <c r="O21" s="672"/>
      <c r="P21" s="673"/>
      <c r="Q21" s="584"/>
    </row>
    <row r="22" spans="1:17">
      <c r="A22" s="182"/>
      <c r="B22" s="14"/>
      <c r="C22" s="13"/>
      <c r="D22" s="667" t="s">
        <v>945</v>
      </c>
      <c r="E22" s="668">
        <f t="shared" si="0"/>
        <v>9202518.6199999899</v>
      </c>
      <c r="F22" s="669">
        <f t="shared" si="1"/>
        <v>3.7742132964998919E-2</v>
      </c>
      <c r="G22" s="670">
        <f t="shared" si="2"/>
        <v>1426</v>
      </c>
      <c r="H22" s="671">
        <f t="shared" si="3"/>
        <v>3.7846015021630083E-2</v>
      </c>
      <c r="I22" s="175"/>
      <c r="K22" s="176"/>
      <c r="N22" s="490"/>
      <c r="O22" s="672"/>
      <c r="P22" s="673"/>
      <c r="Q22" s="584"/>
    </row>
    <row r="23" spans="1:17">
      <c r="A23" s="182"/>
      <c r="B23" s="14"/>
      <c r="C23" s="13"/>
      <c r="D23" s="667" t="s">
        <v>122</v>
      </c>
      <c r="E23" s="668">
        <f t="shared" si="0"/>
        <v>24415655.720000044</v>
      </c>
      <c r="F23" s="669">
        <f t="shared" si="1"/>
        <v>0.10013551318539783</v>
      </c>
      <c r="G23" s="670">
        <f t="shared" si="2"/>
        <v>3853</v>
      </c>
      <c r="H23" s="671">
        <f t="shared" si="3"/>
        <v>0.10225855250935534</v>
      </c>
      <c r="I23" s="175"/>
      <c r="K23" s="176"/>
      <c r="N23" s="490"/>
      <c r="O23" s="672"/>
      <c r="P23" s="673"/>
      <c r="Q23" s="584"/>
    </row>
    <row r="24" spans="1:17" ht="12.75" customHeight="1">
      <c r="A24" s="182"/>
      <c r="B24" s="14"/>
      <c r="C24" s="13"/>
      <c r="D24" s="667" t="s">
        <v>946</v>
      </c>
      <c r="E24" s="668">
        <f t="shared" si="0"/>
        <v>52572440.73999998</v>
      </c>
      <c r="F24" s="669">
        <f t="shared" si="1"/>
        <v>0.21561445628496947</v>
      </c>
      <c r="G24" s="670">
        <f t="shared" si="2"/>
        <v>8026</v>
      </c>
      <c r="H24" s="671">
        <f t="shared" si="3"/>
        <v>0.21300989941346637</v>
      </c>
      <c r="I24" s="175"/>
      <c r="K24" s="176"/>
      <c r="N24" s="490"/>
      <c r="O24" s="672"/>
      <c r="P24" s="673"/>
      <c r="Q24" s="584"/>
    </row>
    <row r="25" spans="1:17">
      <c r="A25" s="182"/>
      <c r="B25" s="14"/>
      <c r="C25" s="13"/>
      <c r="D25" s="667" t="s">
        <v>947</v>
      </c>
      <c r="E25" s="668">
        <f t="shared" si="0"/>
        <v>12195679.959999999</v>
      </c>
      <c r="F25" s="669">
        <f t="shared" si="1"/>
        <v>5.0017934617218214E-2</v>
      </c>
      <c r="G25" s="670">
        <f t="shared" si="2"/>
        <v>1905</v>
      </c>
      <c r="H25" s="671">
        <f t="shared" si="3"/>
        <v>5.0558666631280023E-2</v>
      </c>
      <c r="I25" s="175"/>
      <c r="K25" s="176"/>
      <c r="N25" s="490"/>
      <c r="O25" s="672"/>
      <c r="P25" s="673"/>
      <c r="Q25" s="584"/>
    </row>
    <row r="26" spans="1:17">
      <c r="A26" s="182"/>
      <c r="B26" s="14"/>
      <c r="C26" s="13"/>
      <c r="D26" s="667" t="s">
        <v>82</v>
      </c>
      <c r="E26" s="668">
        <f t="shared" si="0"/>
        <v>3056440.8100000019</v>
      </c>
      <c r="F26" s="669">
        <f t="shared" si="1"/>
        <v>1.2535328665346313E-2</v>
      </c>
      <c r="G26" s="670">
        <f t="shared" si="2"/>
        <v>460</v>
      </c>
      <c r="H26" s="671">
        <f t="shared" si="3"/>
        <v>1.2208391942461318E-2</v>
      </c>
      <c r="I26" s="175"/>
      <c r="K26" s="176"/>
      <c r="N26" s="490"/>
      <c r="O26" s="672"/>
      <c r="P26" s="673"/>
      <c r="Q26" s="584"/>
    </row>
    <row r="27" spans="1:17">
      <c r="A27" s="182"/>
      <c r="B27" s="14"/>
      <c r="C27" s="13"/>
      <c r="D27" s="667" t="s">
        <v>123</v>
      </c>
      <c r="E27" s="668">
        <f t="shared" si="0"/>
        <v>11298647.269999981</v>
      </c>
      <c r="F27" s="669">
        <f t="shared" si="1"/>
        <v>4.6338949715590119E-2</v>
      </c>
      <c r="G27" s="670">
        <f t="shared" si="2"/>
        <v>1922</v>
      </c>
      <c r="H27" s="671">
        <f t="shared" si="3"/>
        <v>5.1009846333501419E-2</v>
      </c>
      <c r="I27" s="175"/>
      <c r="K27" s="176"/>
      <c r="N27" s="490"/>
      <c r="O27" s="672"/>
      <c r="P27" s="673"/>
      <c r="Q27" s="584"/>
    </row>
    <row r="28" spans="1:17">
      <c r="A28" s="182"/>
      <c r="B28" s="14"/>
      <c r="C28" s="13"/>
      <c r="D28" s="667" t="s">
        <v>124</v>
      </c>
      <c r="E28" s="668">
        <f t="shared" si="0"/>
        <v>9869245.2300000116</v>
      </c>
      <c r="F28" s="669">
        <f t="shared" si="1"/>
        <v>4.0476567461141651E-2</v>
      </c>
      <c r="G28" s="670">
        <f t="shared" si="2"/>
        <v>1569</v>
      </c>
      <c r="H28" s="671">
        <f t="shared" si="3"/>
        <v>4.1641232516786537E-2</v>
      </c>
      <c r="I28" s="175"/>
      <c r="K28" s="176"/>
      <c r="N28" s="490"/>
      <c r="O28" s="672"/>
      <c r="P28" s="673"/>
      <c r="Q28" s="584"/>
    </row>
    <row r="29" spans="1:17">
      <c r="A29" s="182"/>
      <c r="B29" s="14"/>
      <c r="C29" s="13"/>
      <c r="D29" s="667" t="s">
        <v>948</v>
      </c>
      <c r="E29" s="668">
        <f t="shared" si="0"/>
        <v>8177334.7400000207</v>
      </c>
      <c r="F29" s="669">
        <f t="shared" si="1"/>
        <v>3.3537563769296237E-2</v>
      </c>
      <c r="G29" s="670">
        <f t="shared" si="2"/>
        <v>1355</v>
      </c>
      <c r="H29" s="671">
        <f t="shared" si="3"/>
        <v>3.5961676265293667E-2</v>
      </c>
      <c r="I29" s="175"/>
      <c r="K29" s="176"/>
      <c r="N29" s="490"/>
      <c r="O29" s="672"/>
      <c r="P29" s="673"/>
      <c r="Q29" s="584"/>
    </row>
    <row r="30" spans="1:17" ht="13" thickBot="1">
      <c r="A30" s="182"/>
      <c r="B30" s="14"/>
      <c r="C30" s="13"/>
      <c r="D30" s="667" t="s">
        <v>125</v>
      </c>
      <c r="E30" s="668">
        <f t="shared" si="0"/>
        <v>7551404.980000007</v>
      </c>
      <c r="F30" s="669">
        <f t="shared" si="1"/>
        <v>3.0970448699588243E-2</v>
      </c>
      <c r="G30" s="670">
        <f t="shared" si="2"/>
        <v>1258</v>
      </c>
      <c r="H30" s="671">
        <f t="shared" si="3"/>
        <v>3.338729796438334E-2</v>
      </c>
      <c r="I30" s="175"/>
      <c r="J30" s="175"/>
      <c r="K30" s="176"/>
      <c r="N30" s="490"/>
      <c r="O30" s="672"/>
      <c r="P30" s="673"/>
      <c r="Q30" s="584"/>
    </row>
    <row r="31" spans="1:17" ht="14" thickTop="1" thickBot="1">
      <c r="A31" s="182"/>
      <c r="B31" s="14"/>
      <c r="C31" s="13"/>
      <c r="D31" s="603" t="s">
        <v>36</v>
      </c>
      <c r="E31" s="604">
        <f>SUM(E14:E30)</f>
        <v>243826140.63000011</v>
      </c>
      <c r="F31" s="674">
        <f>SUM(F14:F30)</f>
        <v>1.0000000000000002</v>
      </c>
      <c r="G31" s="606">
        <f>SUM(G14:G30)</f>
        <v>37679</v>
      </c>
      <c r="H31" s="675">
        <f>SUM(H14:H30)</f>
        <v>1.0000000000000002</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154</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19092085.940000027</v>
      </c>
      <c r="F14" s="647">
        <f>E14/$E$16</f>
        <v>7.8302047067922195E-2</v>
      </c>
      <c r="G14" s="648">
        <f>VLOOKUP(CONCATENATE("Collateral_",D14),Assets_20,2,0)</f>
        <v>1797</v>
      </c>
      <c r="H14" s="649">
        <f>G14/$G$16</f>
        <v>4.7692348523049974E-2</v>
      </c>
      <c r="I14" s="175"/>
      <c r="K14" s="176"/>
      <c r="M14" s="641"/>
      <c r="N14" s="642"/>
      <c r="O14" s="650"/>
      <c r="P14" s="651"/>
      <c r="Q14" s="643"/>
    </row>
    <row r="15" spans="1:17" ht="13" thickBot="1">
      <c r="A15" s="182"/>
      <c r="B15" s="14"/>
      <c r="C15" s="13"/>
      <c r="D15" s="652" t="s">
        <v>658</v>
      </c>
      <c r="E15" s="653">
        <f>VLOOKUP(CONCATENATE("Collateral_",D15),Assets_20,3,0)</f>
        <v>224734054.68999934</v>
      </c>
      <c r="F15" s="654">
        <f>E15/$E$16</f>
        <v>0.92169795293207779</v>
      </c>
      <c r="G15" s="655">
        <f>VLOOKUP(CONCATENATE("Collateral_",D15),Assets_20,2,0)</f>
        <v>35882</v>
      </c>
      <c r="H15" s="656">
        <f>G15/$G$16</f>
        <v>0.95230765147695007</v>
      </c>
      <c r="I15" s="175"/>
      <c r="K15" s="176"/>
      <c r="M15" s="641"/>
      <c r="N15" s="642"/>
      <c r="O15" s="650"/>
      <c r="P15" s="651"/>
      <c r="Q15" s="643"/>
    </row>
    <row r="16" spans="1:17" ht="14" thickTop="1" thickBot="1">
      <c r="A16" s="182"/>
      <c r="B16" s="14"/>
      <c r="C16" s="13"/>
      <c r="D16" s="533" t="s">
        <v>36</v>
      </c>
      <c r="E16" s="493">
        <f>SUM(E14:E15)</f>
        <v>243826140.62999937</v>
      </c>
      <c r="F16" s="572">
        <f>SUM(F14:F15)</f>
        <v>1</v>
      </c>
      <c r="G16" s="495">
        <f>SUM(G14:G15)</f>
        <v>37679</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94295506.850000322</v>
      </c>
      <c r="F14" s="626">
        <f>E14/$E$16</f>
        <v>0.38673255708497301</v>
      </c>
      <c r="G14" s="627">
        <f>VLOOKUP(CONCATENATE("Insurance_",D14),Assets_20,2,0)</f>
        <v>16830</v>
      </c>
      <c r="H14" s="628">
        <f>G14/$G$16</f>
        <v>0.44666790519918259</v>
      </c>
      <c r="I14" s="175"/>
      <c r="K14" s="176"/>
      <c r="M14" s="629"/>
      <c r="N14" s="630"/>
      <c r="O14" s="631"/>
      <c r="P14" s="632"/>
      <c r="Q14" s="631"/>
    </row>
    <row r="15" spans="1:17" ht="13" thickBot="1">
      <c r="A15" s="182"/>
      <c r="B15" s="14"/>
      <c r="C15" s="13"/>
      <c r="D15" s="633" t="s">
        <v>659</v>
      </c>
      <c r="E15" s="634">
        <f>VLOOKUP(CONCATENATE("Insurance_",D15),Assets_20,3,0)</f>
        <v>149530633.78000018</v>
      </c>
      <c r="F15" s="626">
        <f>E15/$E$16</f>
        <v>0.61326744291502699</v>
      </c>
      <c r="G15" s="635">
        <f>VLOOKUP(CONCATENATE("Insurance_",D15),Assets_20,2,0)</f>
        <v>20849</v>
      </c>
      <c r="H15" s="628">
        <f>G15/$G$16</f>
        <v>0.55333209480081746</v>
      </c>
      <c r="I15" s="175"/>
      <c r="K15" s="176"/>
      <c r="M15" s="629"/>
      <c r="N15" s="630"/>
      <c r="O15" s="631"/>
      <c r="P15" s="632"/>
      <c r="Q15" s="631"/>
    </row>
    <row r="16" spans="1:17" ht="14" thickTop="1" thickBot="1">
      <c r="A16" s="182"/>
      <c r="B16" s="14"/>
      <c r="C16" s="13"/>
      <c r="D16" s="603" t="s">
        <v>36</v>
      </c>
      <c r="E16" s="604">
        <f>SUM(E14:E15)</f>
        <v>243826140.6300005</v>
      </c>
      <c r="F16" s="605">
        <f>SUM(F14:F15)</f>
        <v>1</v>
      </c>
      <c r="G16" s="606">
        <f>SUM(G14:G15)</f>
        <v>37679</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45940</v>
      </c>
      <c r="G2" s="110"/>
      <c r="H2" s="110"/>
      <c r="I2" s="110"/>
      <c r="J2" s="112"/>
      <c r="K2" s="113"/>
    </row>
    <row r="3" spans="1:13" ht="18" customHeight="1">
      <c r="A3" s="107"/>
      <c r="B3" s="108" t="s">
        <v>0</v>
      </c>
      <c r="C3" s="114"/>
      <c r="D3" s="115" t="s">
        <v>2</v>
      </c>
      <c r="E3" s="116"/>
      <c r="F3" s="117">
        <f>VLOOKUP("Payment_Date",calcdata_20,3,0)</f>
        <v>45944</v>
      </c>
      <c r="G3" s="116"/>
      <c r="H3" s="116"/>
      <c r="I3" s="116"/>
      <c r="J3" s="118"/>
      <c r="K3" s="113"/>
    </row>
    <row r="4" spans="1:13" ht="12.75" customHeight="1">
      <c r="A4" s="107"/>
      <c r="B4" s="119"/>
      <c r="C4" s="114"/>
      <c r="D4" s="115" t="s">
        <v>3</v>
      </c>
      <c r="E4" s="116"/>
      <c r="F4" s="120">
        <f>VLOOKUP("Period",calcdata_20,2,0)</f>
        <v>59</v>
      </c>
      <c r="G4" s="116"/>
      <c r="H4" s="121"/>
      <c r="I4" s="116"/>
      <c r="J4" s="122"/>
      <c r="K4" s="113"/>
    </row>
    <row r="5" spans="1:13" ht="18" customHeight="1">
      <c r="A5" s="107"/>
      <c r="B5" s="123" t="s">
        <v>33</v>
      </c>
      <c r="C5" s="114"/>
      <c r="D5" s="115" t="s">
        <v>1</v>
      </c>
      <c r="E5" s="116"/>
      <c r="F5" s="124">
        <f>F3</f>
        <v>45944</v>
      </c>
      <c r="G5" s="116"/>
      <c r="H5" s="121"/>
      <c r="I5" s="116"/>
      <c r="J5" s="122"/>
      <c r="K5" s="113"/>
    </row>
    <row r="6" spans="1:13" ht="15" customHeight="1">
      <c r="A6" s="107"/>
      <c r="B6" s="125"/>
      <c r="C6" s="114"/>
      <c r="D6" s="115" t="s">
        <v>50</v>
      </c>
      <c r="E6" s="126" t="s">
        <v>34</v>
      </c>
      <c r="F6" s="117">
        <f>VLOOKUP("Interest_Period_from",calcdata_20,3,0)</f>
        <v>45915</v>
      </c>
      <c r="G6" s="126" t="s">
        <v>4</v>
      </c>
      <c r="H6" s="117">
        <f>F3</f>
        <v>45944</v>
      </c>
      <c r="I6" s="126" t="s">
        <v>15</v>
      </c>
      <c r="J6" s="127" t="str">
        <f>H6-F6&amp;" days"</f>
        <v>29 days</v>
      </c>
      <c r="K6" s="128"/>
      <c r="M6" s="129"/>
    </row>
    <row r="7" spans="1:13">
      <c r="A7" s="107"/>
      <c r="B7" s="101"/>
      <c r="C7" s="101"/>
      <c r="D7" s="130" t="s">
        <v>115</v>
      </c>
      <c r="E7" s="131" t="s">
        <v>34</v>
      </c>
      <c r="F7" s="132" t="str">
        <f>"01."&amp;TEXT(F6,"MM.jjjj")</f>
        <v>01.09.2025</v>
      </c>
      <c r="G7" s="131" t="s">
        <v>4</v>
      </c>
      <c r="H7" s="132">
        <f>EOMONTH(F6,0)</f>
        <v>45930</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D14" s="101"/>
      <c r="E14" s="142"/>
      <c r="F14" s="101"/>
      <c r="G14" s="101"/>
      <c r="H14" s="101"/>
      <c r="I14" s="101"/>
      <c r="J14" s="101"/>
      <c r="K14" s="113"/>
    </row>
    <row r="15" spans="1:13" ht="15" customHeight="1">
      <c r="A15" s="107"/>
      <c r="B15" s="101" t="s">
        <v>48</v>
      </c>
      <c r="C15" s="143">
        <v>1</v>
      </c>
      <c r="D15" s="21"/>
      <c r="E15" s="142"/>
      <c r="F15" s="101"/>
      <c r="G15" s="101"/>
      <c r="H15" s="101"/>
      <c r="I15" s="101"/>
      <c r="J15" s="101"/>
      <c r="K15" s="113"/>
    </row>
    <row r="16" spans="1:13" ht="15" customHeight="1">
      <c r="A16" s="107"/>
      <c r="B16" s="101" t="s">
        <v>452</v>
      </c>
      <c r="C16" s="143">
        <v>2</v>
      </c>
      <c r="D16" s="21"/>
      <c r="E16" s="142"/>
      <c r="F16" s="101"/>
      <c r="G16" s="101"/>
      <c r="H16" s="101"/>
      <c r="I16" s="101"/>
      <c r="J16" s="101"/>
      <c r="K16" s="113"/>
    </row>
    <row r="17" spans="1:11" ht="15" customHeight="1">
      <c r="A17" s="107"/>
      <c r="B17" s="101" t="s">
        <v>49</v>
      </c>
      <c r="C17" s="143">
        <v>3</v>
      </c>
      <c r="D17" s="21"/>
      <c r="E17" s="101"/>
      <c r="F17" s="101"/>
      <c r="G17" s="101"/>
      <c r="H17" s="101"/>
      <c r="I17" s="101"/>
      <c r="J17" s="21"/>
      <c r="K17" s="113"/>
    </row>
    <row r="18" spans="1:11" ht="15" customHeight="1">
      <c r="A18" s="107"/>
      <c r="B18" s="101" t="s">
        <v>252</v>
      </c>
      <c r="C18" s="143">
        <v>4</v>
      </c>
      <c r="D18" s="21"/>
      <c r="E18" s="101"/>
      <c r="F18" s="101"/>
      <c r="G18" s="101"/>
      <c r="H18" s="101"/>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224541422.16000006</v>
      </c>
      <c r="F14" s="592">
        <f>E14/$E$16</f>
        <v>0.92090791241590431</v>
      </c>
      <c r="G14" s="593">
        <f>VLOOKUP(CONCATENATE("payment_",D14),Assets_20,2,0)</f>
        <v>35113</v>
      </c>
      <c r="H14" s="594">
        <f>G14/$G$16</f>
        <v>0.93189840494705278</v>
      </c>
      <c r="I14" s="106"/>
      <c r="K14" s="176"/>
      <c r="M14" s="595"/>
      <c r="N14" s="596"/>
      <c r="O14" s="597"/>
      <c r="P14" s="598"/>
      <c r="Q14" s="597"/>
    </row>
    <row r="15" spans="1:17" ht="13" thickBot="1">
      <c r="A15" s="182"/>
      <c r="B15" s="14"/>
      <c r="C15" s="13"/>
      <c r="D15" s="599" t="s">
        <v>661</v>
      </c>
      <c r="E15" s="600">
        <f>VLOOKUP(CONCATENATE("payment_",D15),Assets_20,3,0)</f>
        <v>19284718.470000006</v>
      </c>
      <c r="F15" s="592">
        <f>E15/$E$16</f>
        <v>7.9092087584095722E-2</v>
      </c>
      <c r="G15" s="601">
        <f>VLOOKUP(CONCATENATE("payment_",D15),Assets_20,2,0)</f>
        <v>2566</v>
      </c>
      <c r="H15" s="602">
        <f>G15/$G$16</f>
        <v>6.8101595052947259E-2</v>
      </c>
      <c r="I15" s="106"/>
      <c r="K15" s="176"/>
      <c r="M15" s="595"/>
      <c r="N15" s="596"/>
      <c r="O15" s="597"/>
      <c r="P15" s="598"/>
      <c r="Q15" s="597"/>
    </row>
    <row r="16" spans="1:17" ht="14" thickTop="1" thickBot="1">
      <c r="A16" s="182"/>
      <c r="B16" s="14"/>
      <c r="C16" s="13"/>
      <c r="D16" s="603" t="s">
        <v>36</v>
      </c>
      <c r="E16" s="604">
        <f>SUM(E14:E15)</f>
        <v>243826140.63000005</v>
      </c>
      <c r="F16" s="605">
        <f>SUM(F14:F15)</f>
        <v>1</v>
      </c>
      <c r="G16" s="606">
        <f>SUM(G14:G15)</f>
        <v>37679</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68536647.960000172</v>
      </c>
      <c r="F21" s="592">
        <f>E21/$E$23</f>
        <v>0.28108818760332427</v>
      </c>
      <c r="G21" s="593">
        <f>VLOOKUP(CONCATENATE("payment_",D21),Assets_20,2,0)</f>
        <v>10208</v>
      </c>
      <c r="H21" s="594">
        <f>G21/$G$23</f>
        <v>0.2709201411927068</v>
      </c>
      <c r="I21" s="21"/>
      <c r="K21" s="176"/>
      <c r="M21" s="595"/>
      <c r="N21" s="596"/>
      <c r="O21" s="597"/>
      <c r="P21" s="598"/>
      <c r="Q21" s="597"/>
    </row>
    <row r="22" spans="1:17" ht="13.5" customHeight="1" thickBot="1">
      <c r="A22" s="182"/>
      <c r="B22" s="14"/>
      <c r="C22" s="13"/>
      <c r="D22" s="615" t="s">
        <v>663</v>
      </c>
      <c r="E22" s="600">
        <f>VLOOKUP(CONCATENATE("payment_",D22),Assets_20,3,0)</f>
        <v>175289492.67000055</v>
      </c>
      <c r="F22" s="616">
        <f>E22/$E$23</f>
        <v>0.71891181239667579</v>
      </c>
      <c r="G22" s="601">
        <f>VLOOKUP(CONCATENATE("payment_",D22),Assets_20,2,0)</f>
        <v>27471</v>
      </c>
      <c r="H22" s="617">
        <f>G22/$G$23</f>
        <v>0.7290798588072932</v>
      </c>
      <c r="I22" s="569"/>
      <c r="K22" s="176"/>
      <c r="M22" s="595"/>
      <c r="N22" s="596"/>
      <c r="O22" s="597"/>
      <c r="P22" s="598"/>
      <c r="Q22" s="597"/>
    </row>
    <row r="23" spans="1:17" ht="14" thickTop="1" thickBot="1">
      <c r="A23" s="182"/>
      <c r="B23" s="14"/>
      <c r="C23" s="13"/>
      <c r="D23" s="618" t="s">
        <v>36</v>
      </c>
      <c r="E23" s="604">
        <f>SUM(E21:E22)</f>
        <v>243826140.63000071</v>
      </c>
      <c r="F23" s="605">
        <f>SUM(F21:F22)</f>
        <v>1</v>
      </c>
      <c r="G23" s="606">
        <f>SUM(G21:G22)</f>
        <v>37679</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701787.38999999955</v>
      </c>
      <c r="F14" s="560">
        <f>E14/$E$28</f>
        <v>2.8782286763294374E-3</v>
      </c>
      <c r="G14" s="561">
        <f t="shared" ref="G14:G27" si="1">VLOOKUP(CONCATENATE("interest_",D14),Assets_20,2,0)</f>
        <v>522</v>
      </c>
      <c r="H14" s="562">
        <f>G14/$G$28</f>
        <v>1.3853870856445235E-2</v>
      </c>
      <c r="I14" s="21"/>
      <c r="J14" s="21"/>
      <c r="K14" s="176"/>
      <c r="M14" s="563"/>
      <c r="N14" s="564"/>
      <c r="O14" s="565"/>
      <c r="P14" s="566"/>
      <c r="Q14" s="565"/>
    </row>
    <row r="15" spans="1:17">
      <c r="A15" s="182"/>
      <c r="B15" s="14"/>
      <c r="C15" s="13"/>
      <c r="D15" s="558" t="s">
        <v>665</v>
      </c>
      <c r="E15" s="559">
        <f t="shared" si="0"/>
        <v>2002240.71</v>
      </c>
      <c r="F15" s="560">
        <f t="shared" ref="F15:F27" si="2">E15/$E$28</f>
        <v>8.211755740490316E-3</v>
      </c>
      <c r="G15" s="561">
        <f t="shared" si="1"/>
        <v>578</v>
      </c>
      <c r="H15" s="562">
        <f t="shared" ref="H15:H27" si="3">G15/$G$28</f>
        <v>1.5340109875527481E-2</v>
      </c>
      <c r="I15" s="21"/>
      <c r="J15" s="21"/>
      <c r="K15" s="176"/>
      <c r="M15" s="563"/>
      <c r="N15" s="564"/>
      <c r="O15" s="565"/>
      <c r="P15" s="566"/>
      <c r="Q15" s="565"/>
    </row>
    <row r="16" spans="1:17">
      <c r="A16" s="182"/>
      <c r="B16" s="14"/>
      <c r="C16" s="13"/>
      <c r="D16" s="558" t="s">
        <v>666</v>
      </c>
      <c r="E16" s="559">
        <f t="shared" si="0"/>
        <v>17227263.019999992</v>
      </c>
      <c r="F16" s="560">
        <f t="shared" si="2"/>
        <v>7.0653880570344357E-2</v>
      </c>
      <c r="G16" s="561">
        <f t="shared" si="1"/>
        <v>2705</v>
      </c>
      <c r="H16" s="562">
        <f t="shared" si="3"/>
        <v>7.1790652618169276E-2</v>
      </c>
      <c r="I16" s="21"/>
      <c r="J16" s="21"/>
      <c r="K16" s="176"/>
      <c r="M16" s="563"/>
      <c r="N16" s="564"/>
      <c r="O16" s="565"/>
      <c r="P16" s="566"/>
      <c r="Q16" s="565"/>
    </row>
    <row r="17" spans="1:17">
      <c r="A17" s="182"/>
      <c r="B17" s="14"/>
      <c r="C17" s="13"/>
      <c r="D17" s="558" t="s">
        <v>667</v>
      </c>
      <c r="E17" s="559">
        <f t="shared" si="0"/>
        <v>29891687.07999989</v>
      </c>
      <c r="F17" s="560">
        <f t="shared" si="2"/>
        <v>0.12259426738562784</v>
      </c>
      <c r="G17" s="561">
        <f t="shared" si="1"/>
        <v>5004</v>
      </c>
      <c r="H17" s="562">
        <f t="shared" si="3"/>
        <v>0.13280607234799224</v>
      </c>
      <c r="I17" s="21"/>
      <c r="J17" s="21"/>
      <c r="K17" s="176"/>
      <c r="M17" s="563"/>
      <c r="N17" s="564"/>
      <c r="O17" s="565"/>
      <c r="P17" s="566"/>
      <c r="Q17" s="565"/>
    </row>
    <row r="18" spans="1:17">
      <c r="A18" s="182"/>
      <c r="B18" s="14"/>
      <c r="C18" s="13"/>
      <c r="D18" s="558" t="s">
        <v>668</v>
      </c>
      <c r="E18" s="559">
        <f t="shared" si="0"/>
        <v>50653444.360000059</v>
      </c>
      <c r="F18" s="560">
        <f t="shared" si="2"/>
        <v>0.20774410909807009</v>
      </c>
      <c r="G18" s="561">
        <f t="shared" si="1"/>
        <v>8559</v>
      </c>
      <c r="H18" s="562">
        <f t="shared" si="3"/>
        <v>0.22715571007723134</v>
      </c>
      <c r="I18" s="21"/>
      <c r="J18" s="21"/>
      <c r="K18" s="176"/>
      <c r="M18" s="563"/>
      <c r="N18" s="564"/>
      <c r="O18" s="565"/>
      <c r="P18" s="566"/>
      <c r="Q18" s="565"/>
    </row>
    <row r="19" spans="1:17">
      <c r="A19" s="182"/>
      <c r="B19" s="14"/>
      <c r="C19" s="13"/>
      <c r="D19" s="558" t="s">
        <v>669</v>
      </c>
      <c r="E19" s="559">
        <f t="shared" si="0"/>
        <v>50784754.559999838</v>
      </c>
      <c r="F19" s="560">
        <f t="shared" si="2"/>
        <v>0.20828264938608229</v>
      </c>
      <c r="G19" s="561">
        <f t="shared" si="1"/>
        <v>7319</v>
      </c>
      <c r="H19" s="562">
        <f t="shared" si="3"/>
        <v>0.19424613179755301</v>
      </c>
      <c r="I19" s="21"/>
      <c r="J19" s="21"/>
      <c r="K19" s="176"/>
      <c r="M19" s="563"/>
      <c r="N19" s="564"/>
      <c r="O19" s="565"/>
      <c r="P19" s="566"/>
      <c r="Q19" s="565"/>
    </row>
    <row r="20" spans="1:17">
      <c r="A20" s="182"/>
      <c r="B20" s="14"/>
      <c r="C20" s="13"/>
      <c r="D20" s="558" t="s">
        <v>670</v>
      </c>
      <c r="E20" s="559">
        <f t="shared" si="0"/>
        <v>50299722.019999981</v>
      </c>
      <c r="F20" s="560">
        <f t="shared" si="2"/>
        <v>0.20629339368631758</v>
      </c>
      <c r="G20" s="561">
        <f t="shared" si="1"/>
        <v>6245</v>
      </c>
      <c r="H20" s="562">
        <f t="shared" si="3"/>
        <v>0.16574219061015419</v>
      </c>
      <c r="I20" s="21"/>
      <c r="J20" s="21"/>
      <c r="K20" s="176"/>
      <c r="M20" s="563"/>
      <c r="N20" s="564"/>
      <c r="O20" s="565"/>
      <c r="P20" s="566"/>
      <c r="Q20" s="565"/>
    </row>
    <row r="21" spans="1:17">
      <c r="A21" s="182"/>
      <c r="B21" s="14"/>
      <c r="C21" s="13"/>
      <c r="D21" s="558" t="s">
        <v>671</v>
      </c>
      <c r="E21" s="559">
        <f t="shared" si="0"/>
        <v>29151739.750000037</v>
      </c>
      <c r="F21" s="560">
        <f t="shared" si="2"/>
        <v>0.11955953399696011</v>
      </c>
      <c r="G21" s="561">
        <f t="shared" si="1"/>
        <v>4675</v>
      </c>
      <c r="H21" s="562">
        <f t="shared" si="3"/>
        <v>0.12407441811088404</v>
      </c>
      <c r="I21" s="567"/>
      <c r="J21" s="21"/>
      <c r="K21" s="176"/>
      <c r="M21" s="563"/>
      <c r="N21" s="564"/>
      <c r="O21" s="565"/>
      <c r="P21" s="566"/>
      <c r="Q21" s="565"/>
    </row>
    <row r="22" spans="1:17">
      <c r="A22" s="182"/>
      <c r="B22" s="14"/>
      <c r="C22" s="13"/>
      <c r="D22" s="558" t="s">
        <v>672</v>
      </c>
      <c r="E22" s="559">
        <f t="shared" si="0"/>
        <v>9171117.9100000057</v>
      </c>
      <c r="F22" s="560">
        <f t="shared" si="2"/>
        <v>3.7613349767599176E-2</v>
      </c>
      <c r="G22" s="561">
        <f t="shared" si="1"/>
        <v>1373</v>
      </c>
      <c r="H22" s="562">
        <f t="shared" si="3"/>
        <v>3.6439395949998676E-2</v>
      </c>
      <c r="I22" s="21"/>
      <c r="J22" s="21"/>
      <c r="K22" s="176"/>
      <c r="M22" s="563"/>
      <c r="N22" s="564"/>
      <c r="O22" s="565"/>
      <c r="P22" s="566"/>
      <c r="Q22" s="565"/>
    </row>
    <row r="23" spans="1:17">
      <c r="A23" s="182"/>
      <c r="B23" s="14"/>
      <c r="C23" s="13"/>
      <c r="D23" s="558" t="s">
        <v>673</v>
      </c>
      <c r="E23" s="559">
        <f t="shared" si="0"/>
        <v>3069131.8299999982</v>
      </c>
      <c r="F23" s="560">
        <f t="shared" si="2"/>
        <v>1.2587378129637589E-2</v>
      </c>
      <c r="G23" s="561">
        <f t="shared" si="1"/>
        <v>560</v>
      </c>
      <c r="H23" s="562">
        <f t="shared" si="3"/>
        <v>1.4862390190822474E-2</v>
      </c>
      <c r="I23" s="21"/>
      <c r="J23" s="21"/>
      <c r="K23" s="176"/>
      <c r="M23" s="563"/>
      <c r="N23" s="564"/>
      <c r="O23" s="565"/>
      <c r="P23" s="566"/>
      <c r="Q23" s="565"/>
    </row>
    <row r="24" spans="1:17" ht="12.75" customHeight="1">
      <c r="A24" s="182"/>
      <c r="B24" s="14"/>
      <c r="C24" s="13"/>
      <c r="D24" s="568" t="s">
        <v>674</v>
      </c>
      <c r="E24" s="559">
        <f t="shared" si="0"/>
        <v>665131.36000000022</v>
      </c>
      <c r="F24" s="560">
        <f t="shared" si="2"/>
        <v>2.7278919244730238E-3</v>
      </c>
      <c r="G24" s="561">
        <f t="shared" si="1"/>
        <v>107</v>
      </c>
      <c r="H24" s="562">
        <f t="shared" si="3"/>
        <v>2.839778125746437E-3</v>
      </c>
      <c r="I24" s="569"/>
      <c r="J24" s="21"/>
      <c r="K24" s="176"/>
      <c r="M24" s="570"/>
      <c r="N24" s="564"/>
      <c r="O24" s="565"/>
      <c r="P24" s="566"/>
      <c r="Q24" s="565"/>
    </row>
    <row r="25" spans="1:17">
      <c r="A25" s="182"/>
      <c r="B25" s="14"/>
      <c r="C25" s="13"/>
      <c r="D25" s="568" t="s">
        <v>675</v>
      </c>
      <c r="E25" s="559">
        <f t="shared" si="0"/>
        <v>160305.83000000005</v>
      </c>
      <c r="F25" s="560">
        <f t="shared" si="2"/>
        <v>6.5745957174977491E-4</v>
      </c>
      <c r="G25" s="561">
        <f t="shared" si="1"/>
        <v>23</v>
      </c>
      <c r="H25" s="562">
        <f t="shared" si="3"/>
        <v>6.104195971230659E-4</v>
      </c>
      <c r="I25" s="21"/>
      <c r="J25" s="21"/>
      <c r="K25" s="176"/>
      <c r="M25" s="570"/>
      <c r="N25" s="564"/>
      <c r="O25" s="565"/>
      <c r="P25" s="566"/>
      <c r="Q25" s="565"/>
    </row>
    <row r="26" spans="1:17">
      <c r="A26" s="182"/>
      <c r="B26" s="14"/>
      <c r="C26" s="13"/>
      <c r="D26" s="568" t="s">
        <v>676</v>
      </c>
      <c r="E26" s="559">
        <f t="shared" si="0"/>
        <v>43920.930000000008</v>
      </c>
      <c r="F26" s="560">
        <f t="shared" si="2"/>
        <v>1.8013216255860338E-4</v>
      </c>
      <c r="G26" s="561">
        <f t="shared" si="1"/>
        <v>8</v>
      </c>
      <c r="H26" s="562">
        <f t="shared" si="3"/>
        <v>2.1231985986889249E-4</v>
      </c>
      <c r="I26" s="21"/>
      <c r="J26" s="21"/>
      <c r="K26" s="176"/>
      <c r="M26" s="570"/>
      <c r="N26" s="564"/>
      <c r="O26" s="565"/>
      <c r="P26" s="566"/>
      <c r="Q26" s="565"/>
    </row>
    <row r="27" spans="1:17" ht="13" thickBot="1">
      <c r="A27" s="182"/>
      <c r="B27" s="14"/>
      <c r="C27" s="13"/>
      <c r="D27" s="568" t="s">
        <v>677</v>
      </c>
      <c r="E27" s="559">
        <f t="shared" si="0"/>
        <v>3893.88</v>
      </c>
      <c r="F27" s="560">
        <f t="shared" si="2"/>
        <v>1.5969903759863336E-5</v>
      </c>
      <c r="G27" s="561">
        <f t="shared" si="1"/>
        <v>1</v>
      </c>
      <c r="H27" s="562">
        <f t="shared" si="3"/>
        <v>2.6539982483611561E-5</v>
      </c>
      <c r="I27" s="571"/>
      <c r="J27" s="21"/>
      <c r="K27" s="176"/>
      <c r="M27" s="570"/>
      <c r="N27" s="564"/>
      <c r="O27" s="565"/>
      <c r="P27" s="566"/>
      <c r="Q27" s="565"/>
    </row>
    <row r="28" spans="1:17" ht="14" thickTop="1" thickBot="1">
      <c r="A28" s="182"/>
      <c r="B28" s="14"/>
      <c r="C28" s="13"/>
      <c r="D28" s="533" t="s">
        <v>36</v>
      </c>
      <c r="E28" s="493">
        <f>SUM(E14:E27)</f>
        <v>243826140.62999979</v>
      </c>
      <c r="F28" s="572">
        <f>SUM(F14:F27)</f>
        <v>1.0000000000000002</v>
      </c>
      <c r="G28" s="573">
        <f>SUM(G14:G27)</f>
        <v>37679</v>
      </c>
      <c r="H28" s="574">
        <f>SUM(H14:H27)</f>
        <v>0.99999999999999989</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5.6616420857934904E-2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218</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0</v>
      </c>
      <c r="F28" s="542">
        <f t="shared" si="2"/>
        <v>0</v>
      </c>
      <c r="G28" s="543">
        <f t="shared" si="1"/>
        <v>0</v>
      </c>
      <c r="H28" s="544">
        <f t="shared" si="3"/>
        <v>0</v>
      </c>
      <c r="I28" s="175"/>
      <c r="K28" s="176"/>
      <c r="M28" s="548"/>
      <c r="N28" s="537"/>
      <c r="O28" s="534"/>
      <c r="P28" s="535"/>
      <c r="Q28" s="534"/>
    </row>
    <row r="29" spans="1:17" ht="12.75" customHeight="1">
      <c r="A29" s="182"/>
      <c r="B29" s="14"/>
      <c r="C29" s="13"/>
      <c r="D29" s="540" t="s">
        <v>693</v>
      </c>
      <c r="E29" s="541">
        <f t="shared" si="0"/>
        <v>0</v>
      </c>
      <c r="F29" s="542">
        <f t="shared" si="2"/>
        <v>0</v>
      </c>
      <c r="G29" s="543">
        <f t="shared" si="1"/>
        <v>0</v>
      </c>
      <c r="H29" s="544">
        <f t="shared" si="3"/>
        <v>0</v>
      </c>
      <c r="I29" s="175"/>
      <c r="K29" s="176"/>
      <c r="M29" s="548"/>
      <c r="N29" s="537"/>
      <c r="O29" s="534"/>
      <c r="P29" s="535"/>
      <c r="Q29" s="534"/>
    </row>
    <row r="30" spans="1:17" ht="12.75" customHeight="1">
      <c r="A30" s="182"/>
      <c r="B30" s="14"/>
      <c r="C30" s="13"/>
      <c r="D30" s="540" t="s">
        <v>694</v>
      </c>
      <c r="E30" s="541">
        <f t="shared" si="0"/>
        <v>6575338.7199999988</v>
      </c>
      <c r="F30" s="542">
        <f t="shared" si="2"/>
        <v>2.6967324762679601E-2</v>
      </c>
      <c r="G30" s="543">
        <f t="shared" si="1"/>
        <v>694</v>
      </c>
      <c r="H30" s="544">
        <f t="shared" si="3"/>
        <v>1.8418747843626425E-2</v>
      </c>
      <c r="I30" s="175"/>
      <c r="K30" s="176"/>
      <c r="M30" s="548"/>
      <c r="N30" s="537"/>
      <c r="O30" s="534"/>
      <c r="P30" s="535"/>
      <c r="Q30" s="534"/>
    </row>
    <row r="31" spans="1:17" ht="12.75" customHeight="1">
      <c r="A31" s="182"/>
      <c r="B31" s="14"/>
      <c r="C31" s="13"/>
      <c r="D31" s="540" t="s">
        <v>695</v>
      </c>
      <c r="E31" s="541">
        <f t="shared" si="0"/>
        <v>21614495.719999991</v>
      </c>
      <c r="F31" s="542">
        <f t="shared" si="2"/>
        <v>8.8647163360549744E-2</v>
      </c>
      <c r="G31" s="543">
        <f t="shared" si="1"/>
        <v>2342</v>
      </c>
      <c r="H31" s="544">
        <f t="shared" si="3"/>
        <v>6.2156638976618273E-2</v>
      </c>
      <c r="I31" s="175"/>
      <c r="K31" s="176"/>
      <c r="M31" s="548"/>
      <c r="N31" s="537"/>
      <c r="O31" s="534"/>
      <c r="P31" s="535"/>
      <c r="Q31" s="534"/>
    </row>
    <row r="32" spans="1:17" ht="12.75" customHeight="1">
      <c r="A32" s="182"/>
      <c r="B32" s="14"/>
      <c r="C32" s="13"/>
      <c r="D32" s="540" t="s">
        <v>696</v>
      </c>
      <c r="E32" s="541">
        <f t="shared" si="0"/>
        <v>28586507.869999971</v>
      </c>
      <c r="F32" s="542">
        <f t="shared" si="2"/>
        <v>0.11724135810925732</v>
      </c>
      <c r="G32" s="543">
        <f t="shared" si="1"/>
        <v>3493</v>
      </c>
      <c r="H32" s="544">
        <f t="shared" si="3"/>
        <v>9.2704158815255178E-2</v>
      </c>
      <c r="I32" s="175"/>
      <c r="K32" s="176"/>
      <c r="M32" s="548"/>
      <c r="N32" s="537"/>
      <c r="O32" s="534"/>
      <c r="P32" s="535"/>
      <c r="Q32" s="534"/>
    </row>
    <row r="33" spans="1:17" ht="12.75" customHeight="1">
      <c r="A33" s="182"/>
      <c r="B33" s="14"/>
      <c r="C33" s="13"/>
      <c r="D33" s="540" t="s">
        <v>697</v>
      </c>
      <c r="E33" s="541">
        <f t="shared" si="0"/>
        <v>33780121.530000024</v>
      </c>
      <c r="F33" s="542">
        <f t="shared" si="2"/>
        <v>0.13854183740397424</v>
      </c>
      <c r="G33" s="543">
        <f t="shared" si="1"/>
        <v>4806</v>
      </c>
      <c r="H33" s="544">
        <f t="shared" si="3"/>
        <v>0.12755115581623716</v>
      </c>
      <c r="I33" s="175"/>
      <c r="K33" s="176"/>
      <c r="M33" s="548"/>
      <c r="N33" s="537"/>
      <c r="O33" s="534"/>
      <c r="P33" s="535"/>
      <c r="Q33" s="534"/>
    </row>
    <row r="34" spans="1:17" ht="12.75" customHeight="1">
      <c r="A34" s="182"/>
      <c r="B34" s="14"/>
      <c r="C34" s="13"/>
      <c r="D34" s="540" t="s">
        <v>698</v>
      </c>
      <c r="E34" s="541">
        <f t="shared" si="0"/>
        <v>49171554.909999952</v>
      </c>
      <c r="F34" s="542">
        <f t="shared" si="2"/>
        <v>0.20166646112246239</v>
      </c>
      <c r="G34" s="543">
        <f t="shared" si="1"/>
        <v>7325</v>
      </c>
      <c r="H34" s="544">
        <f t="shared" si="3"/>
        <v>0.19440537169245467</v>
      </c>
      <c r="I34" s="175"/>
      <c r="K34" s="176"/>
      <c r="M34" s="548"/>
      <c r="N34" s="537"/>
      <c r="O34" s="534"/>
      <c r="P34" s="535"/>
      <c r="Q34" s="534"/>
    </row>
    <row r="35" spans="1:17" ht="12.75" customHeight="1">
      <c r="A35" s="182"/>
      <c r="B35" s="14"/>
      <c r="C35" s="13"/>
      <c r="D35" s="540" t="s">
        <v>699</v>
      </c>
      <c r="E35" s="541">
        <f t="shared" si="0"/>
        <v>34560300.220000021</v>
      </c>
      <c r="F35" s="542">
        <f t="shared" si="2"/>
        <v>0.14174157098456638</v>
      </c>
      <c r="G35" s="543">
        <f t="shared" si="1"/>
        <v>5397</v>
      </c>
      <c r="H35" s="544">
        <f t="shared" si="3"/>
        <v>0.14323628546405159</v>
      </c>
      <c r="I35" s="175"/>
      <c r="K35" s="176"/>
      <c r="M35" s="548"/>
      <c r="N35" s="537"/>
      <c r="O35" s="534"/>
      <c r="P35" s="535"/>
      <c r="Q35" s="534"/>
    </row>
    <row r="36" spans="1:17" ht="12.75" customHeight="1">
      <c r="A36" s="182"/>
      <c r="B36" s="14"/>
      <c r="C36" s="13"/>
      <c r="D36" s="540" t="s">
        <v>700</v>
      </c>
      <c r="E36" s="541">
        <f t="shared" si="0"/>
        <v>33861574.43</v>
      </c>
      <c r="F36" s="542">
        <f t="shared" si="2"/>
        <v>0.13887589879620035</v>
      </c>
      <c r="G36" s="543">
        <f t="shared" si="1"/>
        <v>5897</v>
      </c>
      <c r="H36" s="544">
        <f t="shared" si="3"/>
        <v>0.15650627670585737</v>
      </c>
      <c r="I36" s="175"/>
      <c r="K36" s="176"/>
      <c r="M36" s="548"/>
      <c r="N36" s="537"/>
      <c r="O36" s="534"/>
      <c r="P36" s="535"/>
      <c r="Q36" s="534"/>
    </row>
    <row r="37" spans="1:17" ht="12.75" customHeight="1">
      <c r="A37" s="182"/>
      <c r="B37" s="14"/>
      <c r="C37" s="13"/>
      <c r="D37" s="540" t="s">
        <v>701</v>
      </c>
      <c r="E37" s="541">
        <f t="shared" si="0"/>
        <v>22066723.140000064</v>
      </c>
      <c r="F37" s="542">
        <f t="shared" si="2"/>
        <v>9.0501875980089241E-2</v>
      </c>
      <c r="G37" s="543">
        <f t="shared" si="1"/>
        <v>4519</v>
      </c>
      <c r="H37" s="544">
        <f t="shared" si="3"/>
        <v>0.11993418084344064</v>
      </c>
      <c r="I37" s="175"/>
      <c r="K37" s="176"/>
      <c r="M37" s="548"/>
      <c r="N37" s="537"/>
      <c r="O37" s="534"/>
      <c r="P37" s="535"/>
      <c r="Q37" s="534"/>
    </row>
    <row r="38" spans="1:17" ht="12.75" customHeight="1">
      <c r="A38" s="182"/>
      <c r="B38" s="14"/>
      <c r="C38" s="13"/>
      <c r="D38" s="540" t="s">
        <v>702</v>
      </c>
      <c r="E38" s="541">
        <f t="shared" si="0"/>
        <v>5854121.2299999949</v>
      </c>
      <c r="F38" s="542">
        <f t="shared" si="2"/>
        <v>2.4009407747971841E-2</v>
      </c>
      <c r="G38" s="543">
        <f t="shared" si="1"/>
        <v>1084</v>
      </c>
      <c r="H38" s="544">
        <f t="shared" si="3"/>
        <v>2.8769341012234932E-2</v>
      </c>
      <c r="I38" s="175"/>
      <c r="K38" s="176"/>
      <c r="M38" s="548"/>
      <c r="N38" s="537"/>
      <c r="O38" s="534"/>
      <c r="P38" s="535"/>
      <c r="Q38" s="534"/>
    </row>
    <row r="39" spans="1:17" ht="12.75" customHeight="1">
      <c r="A39" s="182"/>
      <c r="B39" s="14"/>
      <c r="C39" s="13"/>
      <c r="D39" s="540" t="s">
        <v>703</v>
      </c>
      <c r="E39" s="541">
        <f t="shared" si="0"/>
        <v>2480675.7999999993</v>
      </c>
      <c r="F39" s="542">
        <f t="shared" si="2"/>
        <v>1.0173953430876641E-2</v>
      </c>
      <c r="G39" s="543">
        <f t="shared" si="1"/>
        <v>491</v>
      </c>
      <c r="H39" s="544">
        <f t="shared" si="3"/>
        <v>1.3031131399453276E-2</v>
      </c>
      <c r="I39" s="175"/>
      <c r="K39" s="176"/>
      <c r="M39" s="548"/>
      <c r="N39" s="537"/>
      <c r="O39" s="534"/>
      <c r="P39" s="535"/>
      <c r="Q39" s="534"/>
    </row>
    <row r="40" spans="1:17" ht="12.75" customHeight="1">
      <c r="A40" s="182"/>
      <c r="B40" s="14"/>
      <c r="C40" s="13"/>
      <c r="D40" s="540" t="s">
        <v>704</v>
      </c>
      <c r="E40" s="541">
        <f t="shared" si="0"/>
        <v>3153599.4899999998</v>
      </c>
      <c r="F40" s="542">
        <f t="shared" si="2"/>
        <v>1.2933803905732595E-2</v>
      </c>
      <c r="G40" s="543">
        <f t="shared" si="1"/>
        <v>831</v>
      </c>
      <c r="H40" s="544">
        <f t="shared" si="3"/>
        <v>2.2054725443881207E-2</v>
      </c>
      <c r="I40" s="175"/>
      <c r="K40" s="176"/>
      <c r="M40" s="548"/>
      <c r="N40" s="537"/>
      <c r="O40" s="534"/>
      <c r="P40" s="535"/>
      <c r="Q40" s="534"/>
    </row>
    <row r="41" spans="1:17" ht="12.75" customHeight="1" thickBot="1">
      <c r="A41" s="182"/>
      <c r="B41" s="14"/>
      <c r="C41" s="13"/>
      <c r="D41" s="540" t="s">
        <v>705</v>
      </c>
      <c r="E41" s="541">
        <f t="shared" si="0"/>
        <v>2121127.5699999975</v>
      </c>
      <c r="F41" s="542">
        <f t="shared" si="2"/>
        <v>8.6993443956394911E-3</v>
      </c>
      <c r="G41" s="543">
        <f t="shared" si="1"/>
        <v>800</v>
      </c>
      <c r="H41" s="544">
        <f t="shared" si="3"/>
        <v>2.1231985986889249E-2</v>
      </c>
      <c r="I41" s="175"/>
      <c r="K41" s="176"/>
      <c r="M41" s="548"/>
      <c r="N41" s="537"/>
      <c r="O41" s="534"/>
      <c r="P41" s="535"/>
      <c r="Q41" s="534"/>
    </row>
    <row r="42" spans="1:17" ht="14" thickTop="1" thickBot="1">
      <c r="A42" s="182"/>
      <c r="B42" s="14"/>
      <c r="C42" s="13"/>
      <c r="D42" s="549" t="s">
        <v>36</v>
      </c>
      <c r="E42" s="550">
        <f>SUM(E14:E41)</f>
        <v>243826140.63000005</v>
      </c>
      <c r="F42" s="551">
        <f>SUM(F14:F41)</f>
        <v>0.99999999999999989</v>
      </c>
      <c r="G42" s="552">
        <f>SUM(G14:G41)</f>
        <v>37679</v>
      </c>
      <c r="H42" s="553">
        <f>SUM(H14:H41)</f>
        <v>0.99999999999999989</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61.748294585390035</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159</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3314578.16</v>
      </c>
      <c r="F14" s="526">
        <f>E14/$E$29</f>
        <v>1.3594022984720868E-2</v>
      </c>
      <c r="G14" s="527">
        <f t="shared" ref="G14:G28" si="1">VLOOKUP(CONCATENATE("remaining_",D14),Assets_20,2,0)</f>
        <v>4088</v>
      </c>
      <c r="H14" s="528">
        <f>G14/$G$29</f>
        <v>0.10849544839300405</v>
      </c>
      <c r="I14" s="529"/>
      <c r="K14" s="176"/>
      <c r="M14" s="530"/>
      <c r="N14" s="531"/>
      <c r="O14" s="529"/>
      <c r="P14" s="532"/>
      <c r="Q14" s="529"/>
    </row>
    <row r="15" spans="1:17">
      <c r="A15" s="182"/>
      <c r="B15" s="14"/>
      <c r="C15" s="13"/>
      <c r="D15" s="524" t="s">
        <v>707</v>
      </c>
      <c r="E15" s="525">
        <f t="shared" si="0"/>
        <v>9210751.2500000186</v>
      </c>
      <c r="F15" s="526">
        <f t="shared" ref="F15:F28" si="2">E15/$E$29</f>
        <v>3.7775897310276946E-2</v>
      </c>
      <c r="G15" s="527">
        <f t="shared" si="1"/>
        <v>3886</v>
      </c>
      <c r="H15" s="528">
        <f t="shared" ref="H15:H28" si="3">G15/$G$29</f>
        <v>0.10313437193131453</v>
      </c>
      <c r="I15" s="529"/>
      <c r="K15" s="176"/>
      <c r="M15" s="530"/>
      <c r="N15" s="531"/>
      <c r="O15" s="529"/>
      <c r="P15" s="532"/>
      <c r="Q15" s="529"/>
    </row>
    <row r="16" spans="1:17">
      <c r="A16" s="182"/>
      <c r="B16" s="14"/>
      <c r="C16" s="13"/>
      <c r="D16" s="524" t="s">
        <v>708</v>
      </c>
      <c r="E16" s="525">
        <f t="shared" si="0"/>
        <v>21744169.819999911</v>
      </c>
      <c r="F16" s="526">
        <f t="shared" si="2"/>
        <v>8.9178993539483345E-2</v>
      </c>
      <c r="G16" s="527">
        <f t="shared" si="1"/>
        <v>5775</v>
      </c>
      <c r="H16" s="528">
        <f t="shared" si="3"/>
        <v>0.15326839884285676</v>
      </c>
      <c r="I16" s="529"/>
      <c r="K16" s="176"/>
      <c r="M16" s="530"/>
      <c r="N16" s="531"/>
      <c r="O16" s="529"/>
      <c r="P16" s="532"/>
      <c r="Q16" s="529"/>
    </row>
    <row r="17" spans="1:17">
      <c r="A17" s="182"/>
      <c r="B17" s="14"/>
      <c r="C17" s="13"/>
      <c r="D17" s="524" t="s">
        <v>709</v>
      </c>
      <c r="E17" s="525">
        <f t="shared" si="0"/>
        <v>35767149.879999869</v>
      </c>
      <c r="F17" s="526">
        <f t="shared" si="2"/>
        <v>0.14669120295135066</v>
      </c>
      <c r="G17" s="527">
        <f t="shared" si="1"/>
        <v>6393</v>
      </c>
      <c r="H17" s="528">
        <f t="shared" si="3"/>
        <v>0.16967010801772872</v>
      </c>
      <c r="I17" s="529"/>
      <c r="K17" s="176"/>
      <c r="M17" s="530"/>
      <c r="N17" s="531"/>
      <c r="O17" s="529"/>
      <c r="P17" s="532"/>
      <c r="Q17" s="529"/>
    </row>
    <row r="18" spans="1:17">
      <c r="A18" s="182"/>
      <c r="B18" s="14"/>
      <c r="C18" s="13"/>
      <c r="D18" s="524" t="s">
        <v>710</v>
      </c>
      <c r="E18" s="525">
        <f t="shared" si="0"/>
        <v>59503626.349999957</v>
      </c>
      <c r="F18" s="526">
        <f t="shared" si="2"/>
        <v>0.24404120984015101</v>
      </c>
      <c r="G18" s="527">
        <f t="shared" si="1"/>
        <v>7689</v>
      </c>
      <c r="H18" s="528">
        <f t="shared" si="3"/>
        <v>0.20406592531648929</v>
      </c>
      <c r="I18" s="529"/>
      <c r="K18" s="176"/>
      <c r="M18" s="530"/>
      <c r="N18" s="531"/>
      <c r="O18" s="529"/>
      <c r="P18" s="532"/>
      <c r="Q18" s="529"/>
    </row>
    <row r="19" spans="1:17">
      <c r="A19" s="182"/>
      <c r="B19" s="14"/>
      <c r="C19" s="13"/>
      <c r="D19" s="524" t="s">
        <v>711</v>
      </c>
      <c r="E19" s="525">
        <f t="shared" si="0"/>
        <v>63423162.379999951</v>
      </c>
      <c r="F19" s="526">
        <f t="shared" si="2"/>
        <v>0.26011633623911984</v>
      </c>
      <c r="G19" s="527">
        <f t="shared" si="1"/>
        <v>6336</v>
      </c>
      <c r="H19" s="528">
        <f t="shared" si="3"/>
        <v>0.16815732901616284</v>
      </c>
      <c r="I19" s="529"/>
      <c r="K19" s="176"/>
      <c r="M19" s="530"/>
      <c r="N19" s="531"/>
      <c r="O19" s="529"/>
      <c r="P19" s="532"/>
      <c r="Q19" s="529"/>
    </row>
    <row r="20" spans="1:17">
      <c r="A20" s="182"/>
      <c r="B20" s="14"/>
      <c r="C20" s="13"/>
      <c r="D20" s="524" t="s">
        <v>712</v>
      </c>
      <c r="E20" s="525">
        <f t="shared" si="0"/>
        <v>39406787.480000086</v>
      </c>
      <c r="F20" s="526">
        <f t="shared" si="2"/>
        <v>0.16161838668397299</v>
      </c>
      <c r="G20" s="527">
        <f t="shared" si="1"/>
        <v>2961</v>
      </c>
      <c r="H20" s="528">
        <f t="shared" si="3"/>
        <v>7.8584888133973838E-2</v>
      </c>
      <c r="I20" s="529"/>
      <c r="K20" s="176"/>
      <c r="M20" s="530"/>
      <c r="N20" s="531"/>
      <c r="O20" s="529"/>
      <c r="P20" s="532"/>
      <c r="Q20" s="529"/>
    </row>
    <row r="21" spans="1:17">
      <c r="A21" s="182"/>
      <c r="B21" s="14"/>
      <c r="C21" s="13"/>
      <c r="D21" s="524" t="s">
        <v>713</v>
      </c>
      <c r="E21" s="525">
        <f t="shared" si="0"/>
        <v>7940299.6300000036</v>
      </c>
      <c r="F21" s="526">
        <f t="shared" si="2"/>
        <v>3.2565415707617722E-2</v>
      </c>
      <c r="G21" s="527">
        <f t="shared" si="1"/>
        <v>395</v>
      </c>
      <c r="H21" s="528">
        <f t="shared" si="3"/>
        <v>1.0483293081026567E-2</v>
      </c>
      <c r="I21" s="529"/>
      <c r="K21" s="176"/>
      <c r="M21" s="530"/>
      <c r="N21" s="531"/>
      <c r="O21" s="529"/>
      <c r="P21" s="532"/>
      <c r="Q21" s="529"/>
    </row>
    <row r="22" spans="1:17">
      <c r="A22" s="182"/>
      <c r="B22" s="14"/>
      <c r="C22" s="13"/>
      <c r="D22" s="524" t="s">
        <v>714</v>
      </c>
      <c r="E22" s="525">
        <f t="shared" si="0"/>
        <v>1974637.2000000004</v>
      </c>
      <c r="F22" s="526">
        <f t="shared" si="2"/>
        <v>8.0985459348120667E-3</v>
      </c>
      <c r="G22" s="527">
        <f t="shared" si="1"/>
        <v>91</v>
      </c>
      <c r="H22" s="528">
        <f t="shared" si="3"/>
        <v>2.4151384060086519E-3</v>
      </c>
      <c r="I22" s="529"/>
      <c r="K22" s="176"/>
      <c r="M22" s="530"/>
      <c r="N22" s="531"/>
      <c r="O22" s="529"/>
      <c r="P22" s="532"/>
      <c r="Q22" s="529"/>
    </row>
    <row r="23" spans="1:17">
      <c r="A23" s="182"/>
      <c r="B23" s="14"/>
      <c r="C23" s="13"/>
      <c r="D23" s="524" t="s">
        <v>715</v>
      </c>
      <c r="E23" s="525">
        <f t="shared" si="0"/>
        <v>583753.13000000012</v>
      </c>
      <c r="F23" s="526">
        <f t="shared" si="2"/>
        <v>2.394136775046738E-3</v>
      </c>
      <c r="G23" s="527">
        <f t="shared" si="1"/>
        <v>25</v>
      </c>
      <c r="H23" s="528">
        <f t="shared" si="3"/>
        <v>6.6349956209028904E-4</v>
      </c>
      <c r="I23" s="529"/>
      <c r="K23" s="176"/>
      <c r="M23" s="530"/>
      <c r="N23" s="531"/>
      <c r="O23" s="529"/>
      <c r="P23" s="532"/>
      <c r="Q23" s="529"/>
    </row>
    <row r="24" spans="1:17">
      <c r="A24" s="182"/>
      <c r="B24" s="14"/>
      <c r="C24" s="13"/>
      <c r="D24" s="524" t="s">
        <v>716</v>
      </c>
      <c r="E24" s="525">
        <f t="shared" si="0"/>
        <v>406892.90999999992</v>
      </c>
      <c r="F24" s="526">
        <f t="shared" si="2"/>
        <v>1.6687829653894654E-3</v>
      </c>
      <c r="G24" s="527">
        <f t="shared" si="1"/>
        <v>17</v>
      </c>
      <c r="H24" s="528">
        <f t="shared" si="3"/>
        <v>4.5117970222139655E-4</v>
      </c>
      <c r="I24" s="529"/>
      <c r="K24" s="176"/>
      <c r="M24" s="530"/>
      <c r="N24" s="531"/>
      <c r="O24" s="529"/>
      <c r="P24" s="532"/>
      <c r="Q24" s="529"/>
    </row>
    <row r="25" spans="1:17">
      <c r="A25" s="182"/>
      <c r="B25" s="14"/>
      <c r="C25" s="13"/>
      <c r="D25" s="524" t="s">
        <v>717</v>
      </c>
      <c r="E25" s="525">
        <f t="shared" si="0"/>
        <v>311454.94</v>
      </c>
      <c r="F25" s="526">
        <f t="shared" si="2"/>
        <v>1.2773648436351427E-3</v>
      </c>
      <c r="G25" s="527">
        <f t="shared" si="1"/>
        <v>12</v>
      </c>
      <c r="H25" s="528">
        <f t="shared" si="3"/>
        <v>3.1847978980333871E-4</v>
      </c>
      <c r="I25" s="529"/>
      <c r="K25" s="176"/>
      <c r="M25" s="530"/>
      <c r="N25" s="531"/>
      <c r="O25" s="529"/>
      <c r="P25" s="532"/>
      <c r="Q25" s="529"/>
    </row>
    <row r="26" spans="1:17">
      <c r="A26" s="182"/>
      <c r="B26" s="14"/>
      <c r="C26" s="13"/>
      <c r="D26" s="524" t="s">
        <v>718</v>
      </c>
      <c r="E26" s="525">
        <f t="shared" si="0"/>
        <v>17511.68</v>
      </c>
      <c r="F26" s="526">
        <f t="shared" si="2"/>
        <v>7.1820355088889119E-5</v>
      </c>
      <c r="G26" s="527">
        <f t="shared" si="1"/>
        <v>2</v>
      </c>
      <c r="H26" s="528">
        <f t="shared" si="3"/>
        <v>5.3079964967223123E-5</v>
      </c>
      <c r="I26" s="529"/>
      <c r="K26" s="176"/>
      <c r="M26" s="530"/>
      <c r="N26" s="531"/>
      <c r="O26" s="529"/>
      <c r="P26" s="532"/>
      <c r="Q26" s="529"/>
    </row>
    <row r="27" spans="1:17" ht="12.75" customHeight="1">
      <c r="A27" s="182"/>
      <c r="B27" s="14"/>
      <c r="C27" s="13"/>
      <c r="D27" s="524" t="s">
        <v>719</v>
      </c>
      <c r="E27" s="525">
        <f t="shared" si="0"/>
        <v>168310.52000000002</v>
      </c>
      <c r="F27" s="526">
        <f t="shared" si="2"/>
        <v>6.9028907058577905E-4</v>
      </c>
      <c r="G27" s="527">
        <f t="shared" si="1"/>
        <v>6</v>
      </c>
      <c r="H27" s="528">
        <f t="shared" si="3"/>
        <v>1.5923989490166935E-4</v>
      </c>
      <c r="I27" s="529"/>
      <c r="K27" s="176"/>
      <c r="M27" s="530"/>
      <c r="N27" s="531"/>
      <c r="O27" s="529"/>
      <c r="P27" s="532"/>
      <c r="Q27" s="529"/>
    </row>
    <row r="28" spans="1:17" ht="13" thickBot="1">
      <c r="A28" s="182"/>
      <c r="B28" s="14"/>
      <c r="C28" s="13"/>
      <c r="D28" s="524" t="s">
        <v>720</v>
      </c>
      <c r="E28" s="525">
        <f t="shared" si="0"/>
        <v>53055.3</v>
      </c>
      <c r="F28" s="526">
        <f t="shared" si="2"/>
        <v>2.175947987484661E-4</v>
      </c>
      <c r="G28" s="527">
        <f t="shared" si="1"/>
        <v>3</v>
      </c>
      <c r="H28" s="528">
        <f t="shared" si="3"/>
        <v>7.9619947450834677E-5</v>
      </c>
      <c r="I28" s="529"/>
      <c r="K28" s="176"/>
      <c r="M28" s="530"/>
      <c r="N28" s="531"/>
      <c r="O28" s="529"/>
      <c r="P28" s="532"/>
      <c r="Q28" s="529"/>
    </row>
    <row r="29" spans="1:17" ht="14" thickTop="1" thickBot="1">
      <c r="A29" s="182"/>
      <c r="B29" s="14"/>
      <c r="C29" s="13"/>
      <c r="D29" s="533" t="s">
        <v>36</v>
      </c>
      <c r="E29" s="493">
        <f>SUM(E14:E28)</f>
        <v>243826140.62999982</v>
      </c>
      <c r="F29" s="494">
        <f>SUM(F14:F28)</f>
        <v>1</v>
      </c>
      <c r="G29" s="495">
        <f>SUM(G14:G28)</f>
        <v>37679</v>
      </c>
      <c r="H29" s="496">
        <f>SUM(H14:H28)</f>
        <v>1</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32.788094614275224</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161</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row>
    <row r="4" spans="1:17" s="106" customFormat="1" ht="13">
      <c r="A4" s="107"/>
      <c r="B4" s="159"/>
      <c r="C4" s="160"/>
      <c r="D4" s="115" t="str">
        <f>'Cover Sheet'!D4</f>
        <v>Period  No</v>
      </c>
      <c r="E4" s="116"/>
      <c r="F4" s="120">
        <f>'Cover Sheet'!F4</f>
        <v>59</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45944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-16642.010000000002</v>
      </c>
      <c r="F14" s="510">
        <f>E14/$E$30</f>
        <v>-6.8253592321972651E-5</v>
      </c>
      <c r="G14" s="511">
        <f t="shared" ref="G14:G29" si="1">VLOOKUP(CONCATENATE("origterm_",D14),Assets_20,2,0)</f>
        <v>17</v>
      </c>
      <c r="H14" s="512">
        <f>G14/$G$30</f>
        <v>4.5117970222139655E-4</v>
      </c>
      <c r="I14" s="220"/>
      <c r="J14" s="21"/>
      <c r="K14" s="176"/>
      <c r="N14" s="368"/>
      <c r="O14" s="220"/>
      <c r="P14" s="369"/>
      <c r="Q14" s="220"/>
    </row>
    <row r="15" spans="1:17">
      <c r="A15" s="182"/>
      <c r="B15" s="14"/>
      <c r="C15" s="13"/>
      <c r="D15" s="508" t="s">
        <v>708</v>
      </c>
      <c r="E15" s="509">
        <f t="shared" si="0"/>
        <v>-32552.489999999998</v>
      </c>
      <c r="F15" s="510">
        <f t="shared" ref="F15:F29" si="2">E15/$E$30</f>
        <v>-1.3350697310752073E-4</v>
      </c>
      <c r="G15" s="511">
        <f t="shared" si="1"/>
        <v>25</v>
      </c>
      <c r="H15" s="512">
        <f t="shared" ref="H15:H29" si="3">G15/$G$30</f>
        <v>6.6349956209028904E-4</v>
      </c>
      <c r="I15" s="220"/>
      <c r="J15" s="21"/>
      <c r="K15" s="176"/>
      <c r="N15" s="368"/>
      <c r="O15" s="220"/>
      <c r="P15" s="369"/>
      <c r="Q15" s="220"/>
    </row>
    <row r="16" spans="1:17">
      <c r="A16" s="182"/>
      <c r="B16" s="14"/>
      <c r="C16" s="13"/>
      <c r="D16" s="508" t="s">
        <v>709</v>
      </c>
      <c r="E16" s="509">
        <f t="shared" si="0"/>
        <v>-2291.510000000002</v>
      </c>
      <c r="F16" s="510">
        <f t="shared" si="2"/>
        <v>-9.3981309554388948E-6</v>
      </c>
      <c r="G16" s="511">
        <f t="shared" si="1"/>
        <v>22</v>
      </c>
      <c r="H16" s="512">
        <f t="shared" si="3"/>
        <v>5.8387961463945439E-4</v>
      </c>
      <c r="I16" s="220"/>
      <c r="J16" s="21"/>
      <c r="K16" s="176"/>
      <c r="N16" s="368"/>
      <c r="O16" s="220"/>
      <c r="P16" s="369"/>
      <c r="Q16" s="220"/>
    </row>
    <row r="17" spans="1:17">
      <c r="A17" s="182"/>
      <c r="B17" s="14"/>
      <c r="C17" s="13"/>
      <c r="D17" s="508" t="s">
        <v>710</v>
      </c>
      <c r="E17" s="509">
        <f t="shared" si="0"/>
        <v>-13916.42</v>
      </c>
      <c r="F17" s="510">
        <f t="shared" si="2"/>
        <v>-5.7075176451723463E-5</v>
      </c>
      <c r="G17" s="511">
        <f t="shared" si="1"/>
        <v>16</v>
      </c>
      <c r="H17" s="512">
        <f t="shared" si="3"/>
        <v>4.2463971973778498E-4</v>
      </c>
      <c r="I17" s="220"/>
      <c r="J17" s="21"/>
      <c r="K17" s="176"/>
      <c r="N17" s="368"/>
      <c r="O17" s="220"/>
      <c r="P17" s="369"/>
      <c r="Q17" s="220"/>
    </row>
    <row r="18" spans="1:17">
      <c r="A18" s="182"/>
      <c r="B18" s="14"/>
      <c r="C18" s="13"/>
      <c r="D18" s="508" t="s">
        <v>711</v>
      </c>
      <c r="E18" s="509">
        <f t="shared" si="0"/>
        <v>11868.210000000008</v>
      </c>
      <c r="F18" s="510">
        <f t="shared" si="2"/>
        <v>4.8674887644675097E-5</v>
      </c>
      <c r="G18" s="511">
        <f t="shared" si="1"/>
        <v>27</v>
      </c>
      <c r="H18" s="512">
        <f t="shared" si="3"/>
        <v>7.1657952705751217E-4</v>
      </c>
      <c r="I18" s="220"/>
      <c r="J18" s="21"/>
      <c r="K18" s="176"/>
      <c r="N18" s="368"/>
      <c r="O18" s="220"/>
      <c r="P18" s="369"/>
      <c r="Q18" s="220"/>
    </row>
    <row r="19" spans="1:17">
      <c r="A19" s="182"/>
      <c r="B19" s="14"/>
      <c r="C19" s="13"/>
      <c r="D19" s="508" t="s">
        <v>712</v>
      </c>
      <c r="E19" s="509">
        <f t="shared" si="0"/>
        <v>11307.23</v>
      </c>
      <c r="F19" s="510">
        <f t="shared" si="2"/>
        <v>4.637414992003842E-5</v>
      </c>
      <c r="G19" s="511">
        <f t="shared" si="1"/>
        <v>16</v>
      </c>
      <c r="H19" s="512">
        <f t="shared" si="3"/>
        <v>4.2463971973778498E-4</v>
      </c>
      <c r="I19" s="220"/>
      <c r="J19" s="21"/>
      <c r="K19" s="176"/>
      <c r="N19" s="368"/>
      <c r="O19" s="220"/>
      <c r="P19" s="369"/>
      <c r="Q19" s="220"/>
    </row>
    <row r="20" spans="1:17">
      <c r="A20" s="182"/>
      <c r="B20" s="14"/>
      <c r="C20" s="13"/>
      <c r="D20" s="508" t="s">
        <v>713</v>
      </c>
      <c r="E20" s="509">
        <f t="shared" si="0"/>
        <v>172598.34000000003</v>
      </c>
      <c r="F20" s="510">
        <f t="shared" si="2"/>
        <v>7.0787463376174062E-4</v>
      </c>
      <c r="G20" s="511">
        <f t="shared" si="1"/>
        <v>120</v>
      </c>
      <c r="H20" s="512">
        <f t="shared" si="3"/>
        <v>3.1847978980333873E-3</v>
      </c>
      <c r="I20" s="220"/>
      <c r="J20" s="21"/>
      <c r="K20" s="176"/>
      <c r="N20" s="368"/>
      <c r="O20" s="220"/>
      <c r="P20" s="369"/>
      <c r="Q20" s="220"/>
    </row>
    <row r="21" spans="1:17">
      <c r="A21" s="182"/>
      <c r="B21" s="14"/>
      <c r="C21" s="13"/>
      <c r="D21" s="508" t="s">
        <v>714</v>
      </c>
      <c r="E21" s="509">
        <f t="shared" si="0"/>
        <v>1977444.0900000003</v>
      </c>
      <c r="F21" s="510">
        <f t="shared" si="2"/>
        <v>8.1100577849883629E-3</v>
      </c>
      <c r="G21" s="511">
        <f t="shared" si="1"/>
        <v>2086</v>
      </c>
      <c r="H21" s="512">
        <f t="shared" si="3"/>
        <v>5.5362403460813718E-2</v>
      </c>
      <c r="I21" s="220"/>
      <c r="J21" s="21"/>
      <c r="K21" s="176"/>
      <c r="N21" s="368"/>
      <c r="O21" s="220"/>
      <c r="P21" s="369"/>
      <c r="Q21" s="220"/>
    </row>
    <row r="22" spans="1:17">
      <c r="A22" s="182"/>
      <c r="B22" s="14"/>
      <c r="C22" s="13"/>
      <c r="D22" s="508" t="s">
        <v>715</v>
      </c>
      <c r="E22" s="509">
        <f t="shared" si="0"/>
        <v>1467632.0799999982</v>
      </c>
      <c r="F22" s="510">
        <f t="shared" si="2"/>
        <v>6.0191744667241883E-3</v>
      </c>
      <c r="G22" s="511">
        <f t="shared" si="1"/>
        <v>894</v>
      </c>
      <c r="H22" s="512">
        <f t="shared" si="3"/>
        <v>2.3726744340348736E-2</v>
      </c>
      <c r="I22" s="220"/>
      <c r="J22" s="21"/>
      <c r="K22" s="176"/>
      <c r="N22" s="368"/>
      <c r="O22" s="220"/>
      <c r="P22" s="369"/>
      <c r="Q22" s="220"/>
    </row>
    <row r="23" spans="1:17">
      <c r="A23" s="182"/>
      <c r="B23" s="14"/>
      <c r="C23" s="13"/>
      <c r="D23" s="508" t="s">
        <v>716</v>
      </c>
      <c r="E23" s="509">
        <f t="shared" si="0"/>
        <v>11385136.550000027</v>
      </c>
      <c r="F23" s="510">
        <f t="shared" si="2"/>
        <v>4.6693666727377993E-2</v>
      </c>
      <c r="G23" s="511">
        <f t="shared" si="1"/>
        <v>4686</v>
      </c>
      <c r="H23" s="512">
        <f t="shared" si="3"/>
        <v>0.12436635791820377</v>
      </c>
      <c r="I23" s="220"/>
      <c r="J23" s="21"/>
      <c r="K23" s="176"/>
      <c r="N23" s="368"/>
      <c r="O23" s="220"/>
      <c r="P23" s="369"/>
      <c r="Q23" s="220"/>
    </row>
    <row r="24" spans="1:17">
      <c r="A24" s="182"/>
      <c r="B24" s="14"/>
      <c r="C24" s="13"/>
      <c r="D24" s="508" t="s">
        <v>717</v>
      </c>
      <c r="E24" s="509">
        <f t="shared" si="0"/>
        <v>5612649.3400000026</v>
      </c>
      <c r="F24" s="510">
        <f t="shared" si="2"/>
        <v>2.3019063196005107E-2</v>
      </c>
      <c r="G24" s="511">
        <f t="shared" si="1"/>
        <v>1233</v>
      </c>
      <c r="H24" s="512">
        <f t="shared" si="3"/>
        <v>3.2723798402293051E-2</v>
      </c>
      <c r="I24" s="220"/>
      <c r="J24" s="21"/>
      <c r="K24" s="176"/>
      <c r="N24" s="368"/>
      <c r="O24" s="220"/>
      <c r="P24" s="369"/>
      <c r="Q24" s="220"/>
    </row>
    <row r="25" spans="1:17">
      <c r="A25" s="182"/>
      <c r="B25" s="14"/>
      <c r="C25" s="13"/>
      <c r="D25" s="508" t="s">
        <v>718</v>
      </c>
      <c r="E25" s="509">
        <f t="shared" si="0"/>
        <v>45486209.279999897</v>
      </c>
      <c r="F25" s="510">
        <f t="shared" si="2"/>
        <v>0.18655181582447322</v>
      </c>
      <c r="G25" s="511">
        <f t="shared" si="1"/>
        <v>9927</v>
      </c>
      <c r="H25" s="512">
        <f t="shared" si="3"/>
        <v>0.26346240611481198</v>
      </c>
      <c r="I25" s="220"/>
      <c r="J25" s="21"/>
      <c r="K25" s="176"/>
      <c r="N25" s="368"/>
      <c r="O25" s="220"/>
      <c r="P25" s="369"/>
      <c r="Q25" s="220"/>
    </row>
    <row r="26" spans="1:17">
      <c r="A26" s="182"/>
      <c r="B26" s="14"/>
      <c r="C26" s="13"/>
      <c r="D26" s="508" t="s">
        <v>719</v>
      </c>
      <c r="E26" s="509">
        <f t="shared" si="0"/>
        <v>78199125.760000125</v>
      </c>
      <c r="F26" s="510">
        <f t="shared" si="2"/>
        <v>0.32071674332353584</v>
      </c>
      <c r="G26" s="511">
        <f t="shared" si="1"/>
        <v>9178</v>
      </c>
      <c r="H26" s="512">
        <f t="shared" si="3"/>
        <v>0.24358395923458689</v>
      </c>
      <c r="I26" s="220"/>
      <c r="J26" s="21"/>
      <c r="K26" s="176"/>
      <c r="N26" s="368"/>
      <c r="O26" s="220"/>
      <c r="P26" s="369"/>
      <c r="Q26" s="220"/>
    </row>
    <row r="27" spans="1:17">
      <c r="A27" s="182"/>
      <c r="B27" s="14"/>
      <c r="C27" s="13"/>
      <c r="D27" s="508" t="s">
        <v>722</v>
      </c>
      <c r="E27" s="509">
        <f t="shared" si="0"/>
        <v>82351064.740000129</v>
      </c>
      <c r="F27" s="510">
        <f t="shared" si="2"/>
        <v>0.33774501998522682</v>
      </c>
      <c r="G27" s="511">
        <f t="shared" si="1"/>
        <v>8458</v>
      </c>
      <c r="H27" s="512">
        <f t="shared" si="3"/>
        <v>0.22447517184638657</v>
      </c>
      <c r="I27" s="220"/>
      <c r="J27" s="21"/>
      <c r="K27" s="176"/>
      <c r="N27" s="368"/>
      <c r="O27" s="220"/>
      <c r="P27" s="369"/>
      <c r="Q27" s="220"/>
    </row>
    <row r="28" spans="1:17">
      <c r="A28" s="182"/>
      <c r="B28" s="14"/>
      <c r="C28" s="13"/>
      <c r="D28" s="508" t="s">
        <v>723</v>
      </c>
      <c r="E28" s="509">
        <f t="shared" si="0"/>
        <v>11885694.389999999</v>
      </c>
      <c r="F28" s="510">
        <f t="shared" si="2"/>
        <v>4.8746596075751499E-2</v>
      </c>
      <c r="G28" s="511">
        <f t="shared" si="1"/>
        <v>703</v>
      </c>
      <c r="H28" s="512">
        <f t="shared" si="3"/>
        <v>1.8657607685978926E-2</v>
      </c>
      <c r="I28" s="220"/>
      <c r="J28" s="21"/>
      <c r="K28" s="176"/>
      <c r="N28" s="368"/>
      <c r="O28" s="220"/>
      <c r="P28" s="369"/>
      <c r="Q28" s="220"/>
    </row>
    <row r="29" spans="1:17" ht="13" thickBot="1">
      <c r="A29" s="182"/>
      <c r="B29" s="14"/>
      <c r="C29" s="13"/>
      <c r="D29" s="508" t="s">
        <v>724</v>
      </c>
      <c r="E29" s="509">
        <f t="shared" si="0"/>
        <v>5330813.0500000017</v>
      </c>
      <c r="F29" s="510">
        <f t="shared" si="2"/>
        <v>2.1863172817427199E-2</v>
      </c>
      <c r="G29" s="511">
        <f t="shared" si="1"/>
        <v>271</v>
      </c>
      <c r="H29" s="512">
        <f t="shared" si="3"/>
        <v>7.192335253058733E-3</v>
      </c>
      <c r="I29" s="220"/>
      <c r="J29" s="21"/>
      <c r="K29" s="176"/>
      <c r="N29" s="368"/>
      <c r="O29" s="220"/>
      <c r="P29" s="369"/>
      <c r="Q29" s="220"/>
    </row>
    <row r="30" spans="1:17" ht="14" thickTop="1" thickBot="1">
      <c r="A30" s="182"/>
      <c r="B30" s="14"/>
      <c r="C30" s="13"/>
      <c r="D30" s="492" t="s">
        <v>36</v>
      </c>
      <c r="E30" s="493">
        <f>SUM(E14:E29)</f>
        <v>243826140.63000017</v>
      </c>
      <c r="F30" s="494">
        <f>SUM(F14:F29)</f>
        <v>1</v>
      </c>
      <c r="G30" s="495">
        <f>SUM(G14:G29)</f>
        <v>37679</v>
      </c>
      <c r="H30" s="496">
        <f>SUM(H14:H29)</f>
        <v>0.99999999999999989</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94.536389199664598</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163</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45940</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45944</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59</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45944</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238577858.22999826</v>
      </c>
      <c r="E14" s="61">
        <f>D14/$D$21</f>
        <v>0.97847530873252775</v>
      </c>
      <c r="F14" s="488">
        <f>H14*1</f>
        <v>35749</v>
      </c>
      <c r="G14" s="62">
        <f>F14/$F$21</f>
        <v>0.94754558948261236</v>
      </c>
      <c r="H14" s="488">
        <f t="shared" ref="H14:H20" si="1">VLOOKUP(CONCATENATE("loanconc_",C14),Assets_20,2,0)</f>
        <v>35749</v>
      </c>
      <c r="I14" s="63">
        <f>H14/$H$21</f>
        <v>0.97867389399912397</v>
      </c>
      <c r="J14" s="21"/>
      <c r="K14" s="176"/>
      <c r="M14" s="101"/>
      <c r="N14" s="489"/>
      <c r="O14" s="490"/>
      <c r="P14" s="372"/>
      <c r="Q14" s="101"/>
      <c r="R14" s="372"/>
    </row>
    <row r="15" spans="1:18">
      <c r="A15" s="182"/>
      <c r="B15" s="14"/>
      <c r="C15" s="487" t="s">
        <v>666</v>
      </c>
      <c r="D15" s="64">
        <f t="shared" si="0"/>
        <v>4232561.9399999958</v>
      </c>
      <c r="E15" s="945">
        <f t="shared" ref="E15:E20" si="2">D15/$D$21</f>
        <v>1.7358934235123018E-2</v>
      </c>
      <c r="F15" s="946">
        <f>H15*2</f>
        <v>1212</v>
      </c>
      <c r="G15" s="947">
        <f t="shared" ref="G15:G20" si="3">F15/$F$21</f>
        <v>3.2124681933842242E-2</v>
      </c>
      <c r="H15" s="946">
        <f t="shared" si="1"/>
        <v>606</v>
      </c>
      <c r="I15" s="948">
        <f t="shared" ref="I15:I20" si="4">H15/$H$21</f>
        <v>1.6590013140604466E-2</v>
      </c>
      <c r="J15" s="21"/>
      <c r="K15" s="176"/>
      <c r="M15" s="101"/>
      <c r="N15" s="489"/>
      <c r="O15" s="490"/>
      <c r="P15" s="372"/>
      <c r="Q15" s="101"/>
      <c r="R15" s="372"/>
    </row>
    <row r="16" spans="1:18">
      <c r="A16" s="182"/>
      <c r="B16" s="14"/>
      <c r="C16" s="487" t="s">
        <v>667</v>
      </c>
      <c r="D16" s="64">
        <f t="shared" si="0"/>
        <v>554268.80000000016</v>
      </c>
      <c r="E16" s="65">
        <f t="shared" si="2"/>
        <v>2.2732131943190336E-3</v>
      </c>
      <c r="F16" s="491">
        <f>H16*3</f>
        <v>300</v>
      </c>
      <c r="G16" s="947">
        <f t="shared" si="3"/>
        <v>7.9516539440203562E-3</v>
      </c>
      <c r="H16" s="946">
        <f t="shared" si="1"/>
        <v>100</v>
      </c>
      <c r="I16" s="948">
        <f t="shared" si="4"/>
        <v>2.7376259307928166E-3</v>
      </c>
      <c r="J16" s="21"/>
      <c r="K16" s="176"/>
      <c r="M16" s="101"/>
      <c r="N16" s="489"/>
      <c r="O16" s="490"/>
      <c r="P16" s="372"/>
      <c r="Q16" s="101"/>
      <c r="R16" s="372"/>
    </row>
    <row r="17" spans="1:18">
      <c r="A17" s="182"/>
      <c r="B17" s="14"/>
      <c r="C17" s="487" t="s">
        <v>668</v>
      </c>
      <c r="D17" s="64">
        <f t="shared" si="0"/>
        <v>172968.79000000004</v>
      </c>
      <c r="E17" s="945">
        <f t="shared" si="2"/>
        <v>7.0939395404070744E-4</v>
      </c>
      <c r="F17" s="491">
        <f>H17*4</f>
        <v>132</v>
      </c>
      <c r="G17" s="947">
        <f t="shared" si="3"/>
        <v>3.4987277353689568E-3</v>
      </c>
      <c r="H17" s="946">
        <f t="shared" si="1"/>
        <v>33</v>
      </c>
      <c r="I17" s="948">
        <f t="shared" si="4"/>
        <v>9.0341655716162943E-4</v>
      </c>
      <c r="J17" s="21"/>
      <c r="K17" s="176"/>
      <c r="M17" s="101"/>
      <c r="N17" s="489"/>
      <c r="O17" s="490"/>
      <c r="P17" s="372"/>
      <c r="Q17" s="101"/>
      <c r="R17" s="372"/>
    </row>
    <row r="18" spans="1:18">
      <c r="A18" s="182"/>
      <c r="B18" s="14"/>
      <c r="C18" s="487" t="s">
        <v>669</v>
      </c>
      <c r="D18" s="64">
        <f t="shared" si="0"/>
        <v>78855.73</v>
      </c>
      <c r="E18" s="945">
        <f t="shared" si="2"/>
        <v>3.2340966311590906E-4</v>
      </c>
      <c r="F18" s="946">
        <f>H18*5</f>
        <v>75</v>
      </c>
      <c r="G18" s="947">
        <f t="shared" si="3"/>
        <v>1.987913486005089E-3</v>
      </c>
      <c r="H18" s="946">
        <f t="shared" si="1"/>
        <v>15</v>
      </c>
      <c r="I18" s="948">
        <f t="shared" si="4"/>
        <v>4.1064388961892245E-4</v>
      </c>
      <c r="J18" s="21"/>
      <c r="K18" s="176"/>
      <c r="M18" s="101"/>
      <c r="N18" s="489"/>
      <c r="O18" s="490"/>
      <c r="P18" s="372"/>
      <c r="Q18" s="101"/>
      <c r="R18" s="372"/>
    </row>
    <row r="19" spans="1:18">
      <c r="A19" s="182"/>
      <c r="B19" s="14"/>
      <c r="C19" s="487" t="s">
        <v>670</v>
      </c>
      <c r="D19" s="64">
        <f t="shared" si="0"/>
        <v>53811.819999999992</v>
      </c>
      <c r="E19" s="945">
        <f t="shared" si="2"/>
        <v>2.2069750134649614E-4</v>
      </c>
      <c r="F19" s="946">
        <f>H19*6</f>
        <v>42</v>
      </c>
      <c r="G19" s="66">
        <f t="shared" si="3"/>
        <v>1.1132315521628498E-3</v>
      </c>
      <c r="H19" s="491">
        <f t="shared" si="1"/>
        <v>7</v>
      </c>
      <c r="I19" s="67">
        <f t="shared" si="4"/>
        <v>1.9163381515549717E-4</v>
      </c>
      <c r="J19" s="21"/>
      <c r="K19" s="176"/>
      <c r="M19" s="101"/>
      <c r="N19" s="489"/>
      <c r="O19" s="490"/>
      <c r="P19" s="372"/>
      <c r="Q19" s="101"/>
      <c r="R19" s="372"/>
    </row>
    <row r="20" spans="1:18" ht="13" thickBot="1">
      <c r="A20" s="182"/>
      <c r="B20" s="14"/>
      <c r="C20" s="487" t="s">
        <v>725</v>
      </c>
      <c r="D20" s="64">
        <f t="shared" si="0"/>
        <v>155815.32000000004</v>
      </c>
      <c r="E20" s="945">
        <f t="shared" si="2"/>
        <v>6.3904271952713626E-4</v>
      </c>
      <c r="F20" s="491">
        <v>218</v>
      </c>
      <c r="G20" s="947">
        <f t="shared" si="3"/>
        <v>5.7782018659881251E-3</v>
      </c>
      <c r="H20" s="946">
        <f t="shared" si="1"/>
        <v>18</v>
      </c>
      <c r="I20" s="948">
        <f t="shared" si="4"/>
        <v>4.9277266754270692E-4</v>
      </c>
      <c r="J20" s="21"/>
      <c r="K20" s="176"/>
      <c r="M20" s="101"/>
      <c r="N20" s="489"/>
      <c r="O20" s="490"/>
      <c r="P20" s="372"/>
      <c r="Q20" s="101"/>
      <c r="R20" s="372"/>
    </row>
    <row r="21" spans="1:18" ht="14" thickTop="1" thickBot="1">
      <c r="A21" s="182"/>
      <c r="B21" s="14"/>
      <c r="C21" s="492" t="s">
        <v>107</v>
      </c>
      <c r="D21" s="493">
        <f t="shared" ref="D21:I21" si="5">SUM(D14:D20)</f>
        <v>243826140.62999824</v>
      </c>
      <c r="E21" s="494">
        <f t="shared" si="5"/>
        <v>1</v>
      </c>
      <c r="F21" s="495">
        <f t="shared" si="5"/>
        <v>37728</v>
      </c>
      <c r="G21" s="494">
        <f t="shared" si="5"/>
        <v>0.99999999999999989</v>
      </c>
      <c r="H21" s="495">
        <f t="shared" si="5"/>
        <v>36528</v>
      </c>
      <c r="I21" s="496">
        <f t="shared" si="5"/>
        <v>1.0000000000000002</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45940</v>
      </c>
      <c r="G2" s="110"/>
      <c r="H2" s="110"/>
      <c r="I2" s="110"/>
      <c r="J2" s="112"/>
      <c r="K2" s="113"/>
      <c r="L2" s="903"/>
    </row>
    <row r="3" spans="1:13" ht="18">
      <c r="A3" s="107"/>
      <c r="B3" s="108" t="str">
        <f>'Cover Sheet'!B3</f>
        <v>Monthly Investor Report</v>
      </c>
      <c r="C3" s="902"/>
      <c r="D3" s="115" t="str">
        <f>'Cover Sheet'!D3</f>
        <v>Payment Date</v>
      </c>
      <c r="E3" s="116"/>
      <c r="F3" s="117">
        <f>'Cover Sheet'!F3</f>
        <v>45944</v>
      </c>
      <c r="G3" s="116"/>
      <c r="H3" s="116"/>
      <c r="I3" s="116"/>
      <c r="J3" s="118"/>
      <c r="K3" s="113"/>
      <c r="L3" s="904"/>
    </row>
    <row r="4" spans="1:13" ht="13">
      <c r="A4" s="107"/>
      <c r="B4" s="160"/>
      <c r="C4" s="119"/>
      <c r="D4" s="115" t="str">
        <f>'Cover Sheet'!D4</f>
        <v>Period  No</v>
      </c>
      <c r="E4" s="116"/>
      <c r="F4" s="120">
        <f>'Cover Sheet'!F4</f>
        <v>59</v>
      </c>
      <c r="G4" s="116"/>
      <c r="H4" s="917">
        <f>F4-1</f>
        <v>58</v>
      </c>
      <c r="I4" s="116"/>
      <c r="J4" s="122"/>
      <c r="K4" s="113"/>
      <c r="L4" s="903"/>
    </row>
    <row r="5" spans="1:13" ht="18">
      <c r="A5" s="107"/>
      <c r="B5" s="123" t="s">
        <v>32</v>
      </c>
      <c r="C5" s="905"/>
      <c r="D5" s="115" t="str">
        <f>'Cover Sheet'!D5</f>
        <v>Monthly Period</v>
      </c>
      <c r="E5" s="116"/>
      <c r="F5" s="124">
        <f>'Cover Sheet'!F5</f>
        <v>45944</v>
      </c>
      <c r="G5" s="116"/>
      <c r="H5" s="121"/>
      <c r="I5" s="116"/>
      <c r="J5" s="122"/>
      <c r="K5" s="113"/>
      <c r="L5" s="904"/>
    </row>
    <row r="6" spans="1:13"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ht="13">
      <c r="A7" s="107"/>
      <c r="B7" s="906"/>
      <c r="C7" s="906"/>
      <c r="D7" s="130" t="str">
        <f>'Cover Sheet'!D7</f>
        <v>Collection Period</v>
      </c>
      <c r="E7" s="131" t="str">
        <f>'Cover Sheet'!E7</f>
        <v>from</v>
      </c>
      <c r="F7" s="132" t="str">
        <f>'Cover Sheet'!F7</f>
        <v>01.09.2025</v>
      </c>
      <c r="G7" s="131" t="str">
        <f>'Cover Sheet'!G7</f>
        <v>to</v>
      </c>
      <c r="H7" s="132">
        <f>'Cover Sheet'!H7</f>
        <v>45930</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38863</v>
      </c>
      <c r="D15" s="68"/>
      <c r="E15" s="100"/>
      <c r="F15" s="919">
        <f>VLOOKUP("Outstanding_bop_current",calcdata_20,2,FALSE)</f>
        <v>256430146.51999989</v>
      </c>
      <c r="G15" s="910"/>
      <c r="H15" s="910"/>
      <c r="I15" s="910"/>
      <c r="J15" s="911">
        <f>VLOOKUP("Outstanding_bop_previous",calcdata_20,2,FALSE)</f>
        <v>269112740.90999991</v>
      </c>
      <c r="K15" s="113"/>
    </row>
    <row r="16" spans="1:13" ht="13">
      <c r="A16" s="107"/>
      <c r="F16" s="920"/>
      <c r="G16" s="896"/>
      <c r="H16" s="896"/>
      <c r="I16" s="896"/>
      <c r="J16" s="895"/>
      <c r="K16" s="113"/>
    </row>
    <row r="17" spans="1:11">
      <c r="A17" s="107"/>
      <c r="B17" s="101" t="s">
        <v>37</v>
      </c>
      <c r="C17" s="921"/>
      <c r="E17" s="101"/>
      <c r="F17" s="315">
        <f>F20-F18</f>
        <v>8991958.9299999978</v>
      </c>
      <c r="G17" s="55"/>
      <c r="H17" s="55"/>
      <c r="I17" s="55"/>
      <c r="J17" s="315">
        <f>J20-J18</f>
        <v>9207090.2700000014</v>
      </c>
      <c r="K17" s="113"/>
    </row>
    <row r="18" spans="1:11">
      <c r="A18" s="107"/>
      <c r="B18" s="101" t="s">
        <v>38</v>
      </c>
      <c r="C18" s="101"/>
      <c r="E18" s="101"/>
      <c r="F18" s="315">
        <f>VLOOKUP(F4,'1.1 Portfolio Information p.p.'!B:E,4,FALSE)</f>
        <v>2894403.4300000016</v>
      </c>
      <c r="G18" s="55"/>
      <c r="H18" s="922"/>
      <c r="I18" s="55"/>
      <c r="J18" s="315">
        <f>VLOOKUP(H4,'1.1 Portfolio Information p.p.'!B:E,4,FALSE)</f>
        <v>2852335.1399999987</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11886362.359999999</v>
      </c>
      <c r="G20" s="896"/>
      <c r="H20" s="896"/>
      <c r="I20" s="896"/>
      <c r="J20" s="895">
        <f>VLOOKUP("Total_Principal_Collections_previous",calcdata_20,2,FALSE)</f>
        <v>12059425.41</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1130910.0900000001</v>
      </c>
      <c r="G22" s="896"/>
      <c r="H22" s="896"/>
      <c r="I22" s="896"/>
      <c r="J22" s="895">
        <f>VLOOKUP("Collected_Interest_Portion_previous",calcdata_20,2,FALSE)</f>
        <v>1188043.74</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717643.53</v>
      </c>
      <c r="G24" s="896"/>
      <c r="H24" s="896"/>
      <c r="I24" s="896"/>
      <c r="J24" s="895">
        <f>VLOOKUP("Defaults_previous",calcdata_20,2,FALSE)</f>
        <v>623168.98</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243826140.62999988</v>
      </c>
      <c r="G28" s="913"/>
      <c r="H28" s="913"/>
      <c r="I28" s="913"/>
      <c r="J28" s="926">
        <f>VLOOKUP("Outstanding_eop_previous",calcdata_20,2,FALSE)</f>
        <v>256430146.51999989</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95.819999983068556</v>
      </c>
      <c r="G30" s="910"/>
      <c r="H30" s="910"/>
      <c r="I30" s="910"/>
      <c r="J30" s="895">
        <f>VLOOKUP("Purchase_shortfall_previous",calcdata_20,2,FALSE)</f>
        <v>92.229999985022005</v>
      </c>
      <c r="K30" s="170"/>
    </row>
    <row r="31" spans="1:11">
      <c r="A31" s="107"/>
      <c r="F31" s="920"/>
      <c r="G31" s="927"/>
      <c r="H31" s="927"/>
      <c r="I31" s="927"/>
      <c r="J31" s="920"/>
      <c r="K31" s="113"/>
    </row>
    <row r="32" spans="1:11" ht="13">
      <c r="A32" s="107"/>
      <c r="B32" s="68" t="s">
        <v>148</v>
      </c>
      <c r="C32" s="953">
        <f>VLOOKUP("Total",'7. Current Principal Balance'!D:G,4,FALSE)</f>
        <v>37679</v>
      </c>
      <c r="F32" s="898">
        <f>VLOOKUP("total_assets_current",calcdata_20,2,FALSE)</f>
        <v>243826236.44999987</v>
      </c>
      <c r="G32" s="927"/>
      <c r="H32" s="927"/>
      <c r="I32" s="927"/>
      <c r="J32" s="940">
        <f>VLOOKUP("total_assets_previous",calcdata_20,2,FALSE)</f>
        <v>256430238.74999988</v>
      </c>
      <c r="K32" s="113"/>
    </row>
    <row r="33" spans="1:11">
      <c r="A33" s="107"/>
      <c r="F33" s="918"/>
      <c r="K33" s="113"/>
    </row>
    <row r="34" spans="1:11" ht="13">
      <c r="A34" s="107"/>
      <c r="B34" s="100" t="s">
        <v>9</v>
      </c>
      <c r="C34" s="101"/>
      <c r="E34" s="101"/>
      <c r="F34" s="897">
        <f>IF(F15=0,0,1-(1-(F18/F15))^12)</f>
        <v>0.12734744626155281</v>
      </c>
      <c r="G34" s="101"/>
      <c r="H34" s="101"/>
      <c r="I34" s="101"/>
      <c r="J34" s="160"/>
      <c r="K34" s="113"/>
    </row>
    <row r="35" spans="1:11">
      <c r="A35" s="107"/>
      <c r="F35" s="918"/>
      <c r="J35" s="918"/>
      <c r="K35" s="113"/>
    </row>
    <row r="36" spans="1:11" ht="13">
      <c r="A36" s="107"/>
      <c r="B36" s="68" t="s">
        <v>352</v>
      </c>
      <c r="F36" s="897">
        <f>'5. Outstanding Notes'!C35</f>
        <v>0.11295902025000011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45940</v>
      </c>
      <c r="G2" s="407"/>
      <c r="H2" s="407"/>
      <c r="I2" s="407"/>
      <c r="J2" s="409"/>
      <c r="K2" s="410"/>
      <c r="L2" s="411"/>
    </row>
    <row r="3" spans="1:14" ht="18">
      <c r="A3" s="402"/>
      <c r="B3" s="412" t="str">
        <f>'Cover Sheet'!B3</f>
        <v>Monthly Investor Report</v>
      </c>
      <c r="C3" s="413"/>
      <c r="D3" s="414" t="str">
        <f>'Cover Sheet'!D3</f>
        <v>Payment Date</v>
      </c>
      <c r="E3" s="415"/>
      <c r="F3" s="416">
        <f>'Cover Sheet'!F3</f>
        <v>45944</v>
      </c>
      <c r="G3" s="415"/>
      <c r="H3" s="415"/>
      <c r="I3" s="415"/>
      <c r="J3" s="417"/>
      <c r="K3" s="410"/>
      <c r="L3" s="411"/>
    </row>
    <row r="4" spans="1:14">
      <c r="A4" s="402"/>
      <c r="B4" s="418"/>
      <c r="C4" s="419"/>
      <c r="D4" s="414" t="str">
        <f>'Cover Sheet'!D4</f>
        <v>Period  No</v>
      </c>
      <c r="E4" s="415"/>
      <c r="F4" s="420">
        <f>'Cover Sheet'!F4</f>
        <v>59</v>
      </c>
      <c r="G4" s="415"/>
      <c r="H4" s="421"/>
      <c r="I4" s="415"/>
      <c r="J4" s="417"/>
      <c r="K4" s="422"/>
      <c r="L4" s="423"/>
    </row>
    <row r="5" spans="1:14" ht="18">
      <c r="A5" s="402"/>
      <c r="B5" s="424" t="s">
        <v>460</v>
      </c>
      <c r="C5" s="425"/>
      <c r="D5" s="414" t="str">
        <f>'Cover Sheet'!D5</f>
        <v>Monthly Period</v>
      </c>
      <c r="E5" s="415"/>
      <c r="F5" s="124">
        <f>'Cover Sheet'!F5</f>
        <v>45944</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45915</v>
      </c>
      <c r="G6" s="428" t="str">
        <f>'Cover Sheet'!G6</f>
        <v>to</v>
      </c>
      <c r="H6" s="416">
        <f>'Cover Sheet'!H6</f>
        <v>45944</v>
      </c>
      <c r="I6" s="428" t="str">
        <f>'Cover Sheet'!I6</f>
        <v>=</v>
      </c>
      <c r="J6" s="429" t="str">
        <f>'Cover Sheet'!J6</f>
        <v>29 days</v>
      </c>
      <c r="K6" s="430"/>
      <c r="L6" s="431"/>
      <c r="M6" s="403"/>
      <c r="N6" s="432"/>
    </row>
    <row r="7" spans="1:14">
      <c r="A7" s="402"/>
      <c r="B7" s="107"/>
      <c r="D7" s="434" t="str">
        <f>'Cover Sheet'!D7</f>
        <v>Collection Period</v>
      </c>
      <c r="E7" s="435" t="str">
        <f>'Cover Sheet'!E7</f>
        <v>from</v>
      </c>
      <c r="F7" s="436" t="str">
        <f>'Cover Sheet'!F7</f>
        <v>01.09.2025</v>
      </c>
      <c r="G7" s="435" t="str">
        <f>'Cover Sheet'!G7</f>
        <v>to</v>
      </c>
      <c r="H7" s="436">
        <f>'Cover Sheet'!H7</f>
        <v>45930</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6" t="s">
        <v>115</v>
      </c>
      <c r="D17" s="979" t="s">
        <v>408</v>
      </c>
      <c r="E17" s="460"/>
      <c r="F17" s="976" t="s">
        <v>115</v>
      </c>
      <c r="G17" s="979" t="s">
        <v>408</v>
      </c>
      <c r="H17" s="432"/>
      <c r="I17" s="447"/>
      <c r="J17" s="457"/>
      <c r="K17" s="410"/>
      <c r="L17" s="461"/>
      <c r="M17" s="447"/>
    </row>
    <row r="18" spans="1:13" ht="13.5" customHeight="1" thickBot="1">
      <c r="A18" s="402"/>
      <c r="B18" s="402"/>
      <c r="C18" s="977"/>
      <c r="D18" s="980"/>
      <c r="E18" s="440"/>
      <c r="F18" s="977"/>
      <c r="G18" s="980"/>
      <c r="H18" s="440"/>
      <c r="I18" s="447"/>
      <c r="J18" s="457"/>
      <c r="K18" s="457"/>
      <c r="L18" s="462"/>
      <c r="M18" s="447"/>
    </row>
    <row r="19" spans="1:13" ht="13">
      <c r="A19" s="402"/>
      <c r="B19" s="402"/>
      <c r="C19" s="463">
        <v>1</v>
      </c>
      <c r="D19" s="464">
        <f t="shared" ref="D19:D50" si="0">VLOOKUP(CONCATENATE("period_",$C19),Assets_20,3,0)</f>
        <v>243826140.63000011</v>
      </c>
      <c r="E19" s="440"/>
      <c r="F19" s="463">
        <v>51</v>
      </c>
      <c r="G19" s="464">
        <f t="shared" ref="G19:G50" si="1">VLOOKUP(CONCATENATE("period_",$F19),Assets_20,3,0)</f>
        <v>1132162.19</v>
      </c>
      <c r="H19" s="440"/>
      <c r="I19" s="447"/>
      <c r="J19" s="457"/>
      <c r="K19" s="457"/>
      <c r="L19" s="411"/>
      <c r="M19" s="447"/>
    </row>
    <row r="20" spans="1:13" ht="13">
      <c r="A20" s="402"/>
      <c r="B20" s="402"/>
      <c r="C20" s="463">
        <v>2</v>
      </c>
      <c r="D20" s="464">
        <f t="shared" si="0"/>
        <v>234908381.72</v>
      </c>
      <c r="E20" s="465"/>
      <c r="F20" s="463">
        <v>52</v>
      </c>
      <c r="G20" s="464">
        <f t="shared" si="1"/>
        <v>974149.51</v>
      </c>
      <c r="H20" s="440"/>
      <c r="I20" s="463"/>
      <c r="J20" s="466"/>
      <c r="K20" s="457"/>
      <c r="L20" s="411"/>
      <c r="M20" s="447"/>
    </row>
    <row r="21" spans="1:13" ht="13">
      <c r="A21" s="402"/>
      <c r="B21" s="402"/>
      <c r="C21" s="463">
        <v>3</v>
      </c>
      <c r="D21" s="464">
        <f t="shared" si="0"/>
        <v>226288044.66999999</v>
      </c>
      <c r="E21" s="440"/>
      <c r="F21" s="463">
        <v>53</v>
      </c>
      <c r="G21" s="464">
        <f t="shared" si="1"/>
        <v>842108.52</v>
      </c>
      <c r="H21" s="440"/>
      <c r="I21" s="463"/>
      <c r="J21" s="466"/>
      <c r="K21" s="410"/>
      <c r="L21" s="411"/>
      <c r="M21" s="447"/>
    </row>
    <row r="22" spans="1:13" ht="13">
      <c r="A22" s="402"/>
      <c r="B22" s="402"/>
      <c r="C22" s="463">
        <v>4</v>
      </c>
      <c r="D22" s="464">
        <f t="shared" si="0"/>
        <v>217790231.05000001</v>
      </c>
      <c r="E22" s="460"/>
      <c r="F22" s="463">
        <v>54</v>
      </c>
      <c r="G22" s="464">
        <f t="shared" si="1"/>
        <v>736276.23</v>
      </c>
      <c r="H22" s="432"/>
      <c r="I22" s="463"/>
      <c r="J22" s="466"/>
      <c r="K22" s="467"/>
      <c r="L22" s="461"/>
      <c r="M22" s="468"/>
    </row>
    <row r="23" spans="1:13" ht="13">
      <c r="A23" s="402"/>
      <c r="B23" s="402"/>
      <c r="C23" s="463">
        <v>5</v>
      </c>
      <c r="D23" s="464">
        <f t="shared" si="0"/>
        <v>209409786.55000001</v>
      </c>
      <c r="E23" s="440"/>
      <c r="F23" s="463">
        <v>55</v>
      </c>
      <c r="G23" s="464">
        <f t="shared" si="1"/>
        <v>648926.34</v>
      </c>
      <c r="H23" s="440"/>
      <c r="I23" s="463"/>
      <c r="J23" s="466"/>
      <c r="K23" s="457"/>
      <c r="L23" s="411"/>
      <c r="M23" s="469"/>
    </row>
    <row r="24" spans="1:13" ht="13">
      <c r="A24" s="402"/>
      <c r="B24" s="402"/>
      <c r="C24" s="463">
        <v>6</v>
      </c>
      <c r="D24" s="464">
        <f t="shared" si="0"/>
        <v>201146623.81999999</v>
      </c>
      <c r="E24" s="440"/>
      <c r="F24" s="463">
        <v>56</v>
      </c>
      <c r="G24" s="464">
        <f t="shared" si="1"/>
        <v>575625.39</v>
      </c>
      <c r="H24" s="440"/>
      <c r="I24" s="463"/>
      <c r="J24" s="466"/>
      <c r="K24" s="457"/>
      <c r="L24" s="411"/>
      <c r="M24" s="447"/>
    </row>
    <row r="25" spans="1:13" ht="13">
      <c r="A25" s="402"/>
      <c r="B25" s="402"/>
      <c r="C25" s="463">
        <v>7</v>
      </c>
      <c r="D25" s="464">
        <f t="shared" si="0"/>
        <v>192972442.91999999</v>
      </c>
      <c r="E25" s="465"/>
      <c r="F25" s="463">
        <v>57</v>
      </c>
      <c r="G25" s="464">
        <f t="shared" si="1"/>
        <v>514031.73</v>
      </c>
      <c r="H25" s="440"/>
      <c r="I25" s="463"/>
      <c r="J25" s="466"/>
      <c r="K25" s="457"/>
      <c r="L25" s="411"/>
      <c r="M25" s="447"/>
    </row>
    <row r="26" spans="1:13" ht="13">
      <c r="A26" s="402"/>
      <c r="B26" s="402"/>
      <c r="C26" s="463">
        <v>8</v>
      </c>
      <c r="D26" s="464">
        <f t="shared" si="0"/>
        <v>184911300.19999999</v>
      </c>
      <c r="E26" s="440"/>
      <c r="F26" s="463">
        <v>58</v>
      </c>
      <c r="G26" s="464">
        <f t="shared" si="1"/>
        <v>460264.7</v>
      </c>
      <c r="H26" s="440"/>
      <c r="I26" s="463"/>
      <c r="J26" s="466"/>
      <c r="K26" s="410"/>
      <c r="L26" s="411"/>
      <c r="M26" s="447"/>
    </row>
    <row r="27" spans="1:13" ht="13">
      <c r="A27" s="402"/>
      <c r="B27" s="402"/>
      <c r="C27" s="463">
        <v>9</v>
      </c>
      <c r="D27" s="464">
        <f t="shared" si="0"/>
        <v>176952476.75</v>
      </c>
      <c r="E27" s="460"/>
      <c r="F27" s="463">
        <v>59</v>
      </c>
      <c r="G27" s="464">
        <f t="shared" si="1"/>
        <v>413335.89</v>
      </c>
      <c r="H27" s="432"/>
      <c r="I27" s="463"/>
      <c r="J27" s="466"/>
      <c r="K27" s="410"/>
      <c r="L27" s="411"/>
      <c r="M27" s="468"/>
    </row>
    <row r="28" spans="1:13" ht="13">
      <c r="A28" s="402"/>
      <c r="B28" s="402"/>
      <c r="C28" s="463">
        <v>10</v>
      </c>
      <c r="D28" s="464">
        <f t="shared" si="0"/>
        <v>169087811.47999999</v>
      </c>
      <c r="E28" s="440"/>
      <c r="F28" s="463">
        <v>60</v>
      </c>
      <c r="G28" s="464">
        <f t="shared" si="1"/>
        <v>374249.51</v>
      </c>
      <c r="H28" s="440"/>
      <c r="I28" s="463"/>
      <c r="J28" s="466"/>
      <c r="K28" s="457"/>
      <c r="L28" s="411"/>
      <c r="M28" s="469"/>
    </row>
    <row r="29" spans="1:13" ht="13">
      <c r="A29" s="402"/>
      <c r="B29" s="402"/>
      <c r="C29" s="463">
        <v>11</v>
      </c>
      <c r="D29" s="464">
        <f t="shared" si="0"/>
        <v>161315264.44</v>
      </c>
      <c r="E29" s="440"/>
      <c r="F29" s="463">
        <v>61</v>
      </c>
      <c r="G29" s="464">
        <f t="shared" si="1"/>
        <v>338855.65</v>
      </c>
      <c r="H29" s="440"/>
      <c r="I29" s="463"/>
      <c r="J29" s="466"/>
      <c r="K29" s="457"/>
      <c r="L29" s="411"/>
      <c r="M29" s="447"/>
    </row>
    <row r="30" spans="1:13" ht="13">
      <c r="A30" s="402"/>
      <c r="B30" s="402"/>
      <c r="C30" s="463">
        <v>12</v>
      </c>
      <c r="D30" s="464">
        <f t="shared" si="0"/>
        <v>153648197.06</v>
      </c>
      <c r="E30" s="465"/>
      <c r="F30" s="463">
        <v>62</v>
      </c>
      <c r="G30" s="464">
        <f t="shared" si="1"/>
        <v>309226.5</v>
      </c>
      <c r="H30" s="440"/>
      <c r="I30" s="463"/>
      <c r="J30" s="466"/>
      <c r="K30" s="457"/>
      <c r="L30" s="411"/>
      <c r="M30" s="447"/>
    </row>
    <row r="31" spans="1:13" ht="13">
      <c r="A31" s="402"/>
      <c r="B31" s="402"/>
      <c r="C31" s="463">
        <v>13</v>
      </c>
      <c r="D31" s="464">
        <f t="shared" si="0"/>
        <v>146086440</v>
      </c>
      <c r="E31" s="440"/>
      <c r="F31" s="463">
        <v>63</v>
      </c>
      <c r="G31" s="464">
        <f t="shared" si="1"/>
        <v>285403.95</v>
      </c>
      <c r="H31" s="440"/>
      <c r="I31" s="463"/>
      <c r="J31" s="466"/>
      <c r="K31" s="410"/>
      <c r="L31" s="411"/>
      <c r="M31" s="447"/>
    </row>
    <row r="32" spans="1:13" ht="13">
      <c r="A32" s="402"/>
      <c r="B32" s="402"/>
      <c r="C32" s="463">
        <v>14</v>
      </c>
      <c r="D32" s="464">
        <f t="shared" si="0"/>
        <v>138630646.88999999</v>
      </c>
      <c r="E32" s="470"/>
      <c r="F32" s="463">
        <v>64</v>
      </c>
      <c r="G32" s="464">
        <f t="shared" si="1"/>
        <v>261603.25</v>
      </c>
      <c r="H32" s="463"/>
      <c r="I32" s="463"/>
      <c r="J32" s="466"/>
      <c r="K32" s="410"/>
      <c r="L32" s="411"/>
      <c r="M32" s="447"/>
    </row>
    <row r="33" spans="1:13" ht="13">
      <c r="A33" s="402"/>
      <c r="B33" s="402"/>
      <c r="C33" s="463">
        <v>15</v>
      </c>
      <c r="D33" s="464">
        <f t="shared" si="0"/>
        <v>131263156.98999999</v>
      </c>
      <c r="E33" s="463"/>
      <c r="F33" s="463">
        <v>65</v>
      </c>
      <c r="G33" s="464">
        <f t="shared" si="1"/>
        <v>240516.06</v>
      </c>
      <c r="H33" s="463"/>
      <c r="I33" s="463"/>
      <c r="J33" s="466"/>
      <c r="K33" s="457"/>
      <c r="L33" s="411"/>
      <c r="M33" s="447"/>
    </row>
    <row r="34" spans="1:13" ht="13">
      <c r="A34" s="402"/>
      <c r="B34" s="402"/>
      <c r="C34" s="463">
        <v>16</v>
      </c>
      <c r="D34" s="464">
        <f t="shared" si="0"/>
        <v>124038747.78</v>
      </c>
      <c r="E34" s="463"/>
      <c r="F34" s="463">
        <v>66</v>
      </c>
      <c r="G34" s="464">
        <f t="shared" si="1"/>
        <v>221146.41</v>
      </c>
      <c r="H34" s="463"/>
      <c r="I34" s="463"/>
      <c r="J34" s="466"/>
      <c r="K34" s="457"/>
      <c r="L34" s="411"/>
      <c r="M34" s="447"/>
    </row>
    <row r="35" spans="1:13" ht="13">
      <c r="A35" s="402"/>
      <c r="B35" s="402"/>
      <c r="C35" s="463">
        <v>17</v>
      </c>
      <c r="D35" s="464">
        <f t="shared" si="0"/>
        <v>116995887.45999999</v>
      </c>
      <c r="E35" s="471"/>
      <c r="F35" s="463">
        <v>67</v>
      </c>
      <c r="G35" s="464">
        <f t="shared" si="1"/>
        <v>202742.6</v>
      </c>
      <c r="H35" s="463"/>
      <c r="I35" s="463"/>
      <c r="J35" s="466"/>
      <c r="K35" s="457"/>
      <c r="L35" s="411"/>
      <c r="M35" s="447"/>
    </row>
    <row r="36" spans="1:13" ht="13">
      <c r="A36" s="402"/>
      <c r="B36" s="402"/>
      <c r="C36" s="463">
        <v>18</v>
      </c>
      <c r="D36" s="464">
        <f t="shared" si="0"/>
        <v>110100448.68000001</v>
      </c>
      <c r="E36" s="463"/>
      <c r="F36" s="463">
        <v>68</v>
      </c>
      <c r="G36" s="464">
        <f t="shared" si="1"/>
        <v>185662.54</v>
      </c>
      <c r="H36" s="463"/>
      <c r="I36" s="463"/>
      <c r="J36" s="466"/>
      <c r="K36" s="410"/>
      <c r="L36" s="411"/>
      <c r="M36" s="447"/>
    </row>
    <row r="37" spans="1:13" ht="13">
      <c r="A37" s="402"/>
      <c r="B37" s="402"/>
      <c r="C37" s="463">
        <v>19</v>
      </c>
      <c r="D37" s="464">
        <f t="shared" si="0"/>
        <v>103315354.87</v>
      </c>
      <c r="E37" s="470"/>
      <c r="F37" s="463">
        <v>69</v>
      </c>
      <c r="G37" s="464">
        <f t="shared" si="1"/>
        <v>170745.16</v>
      </c>
      <c r="H37" s="463"/>
      <c r="I37" s="463"/>
      <c r="J37" s="466"/>
      <c r="K37" s="410"/>
      <c r="L37" s="411"/>
      <c r="M37" s="447"/>
    </row>
    <row r="38" spans="1:13" ht="13">
      <c r="A38" s="402"/>
      <c r="B38" s="402"/>
      <c r="C38" s="463">
        <v>20</v>
      </c>
      <c r="D38" s="464">
        <f t="shared" si="0"/>
        <v>96706680.450000003</v>
      </c>
      <c r="E38" s="463"/>
      <c r="F38" s="463">
        <v>70</v>
      </c>
      <c r="G38" s="464">
        <f t="shared" si="1"/>
        <v>155996.75</v>
      </c>
      <c r="H38" s="463"/>
      <c r="I38" s="463"/>
      <c r="J38" s="443"/>
      <c r="K38" s="457"/>
      <c r="L38" s="411"/>
      <c r="M38" s="447"/>
    </row>
    <row r="39" spans="1:13" ht="13">
      <c r="A39" s="402"/>
      <c r="B39" s="402"/>
      <c r="C39" s="463">
        <v>21</v>
      </c>
      <c r="D39" s="464">
        <f t="shared" si="0"/>
        <v>90261706.670000002</v>
      </c>
      <c r="E39" s="463"/>
      <c r="F39" s="463">
        <v>71</v>
      </c>
      <c r="G39" s="464">
        <f t="shared" si="1"/>
        <v>142204.81</v>
      </c>
      <c r="H39" s="463"/>
      <c r="I39" s="463"/>
      <c r="J39" s="443"/>
      <c r="K39" s="457"/>
      <c r="L39" s="411"/>
      <c r="M39" s="447"/>
    </row>
    <row r="40" spans="1:13" ht="13">
      <c r="A40" s="402"/>
      <c r="B40" s="402"/>
      <c r="C40" s="463">
        <v>22</v>
      </c>
      <c r="D40" s="464">
        <f t="shared" si="0"/>
        <v>83995713.640000001</v>
      </c>
      <c r="E40" s="471"/>
      <c r="F40" s="463">
        <v>72</v>
      </c>
      <c r="G40" s="464">
        <f t="shared" si="1"/>
        <v>129940.4</v>
      </c>
      <c r="H40" s="463"/>
      <c r="I40" s="463"/>
      <c r="J40" s="443"/>
      <c r="K40" s="457"/>
      <c r="L40" s="411"/>
      <c r="M40" s="447"/>
    </row>
    <row r="41" spans="1:13" ht="13">
      <c r="A41" s="402"/>
      <c r="B41" s="402"/>
      <c r="C41" s="463">
        <v>23</v>
      </c>
      <c r="D41" s="464">
        <f t="shared" si="0"/>
        <v>77873292.359999999</v>
      </c>
      <c r="E41" s="472"/>
      <c r="F41" s="463">
        <v>73</v>
      </c>
      <c r="G41" s="464">
        <f t="shared" si="1"/>
        <v>118362.47</v>
      </c>
      <c r="H41" s="440"/>
      <c r="I41" s="463"/>
      <c r="J41" s="443"/>
      <c r="K41" s="443"/>
      <c r="L41" s="402"/>
    </row>
    <row r="42" spans="1:13" ht="13">
      <c r="A42" s="402"/>
      <c r="B42" s="402"/>
      <c r="C42" s="463">
        <v>24</v>
      </c>
      <c r="D42" s="464">
        <f t="shared" si="0"/>
        <v>71903183.849999994</v>
      </c>
      <c r="E42" s="440"/>
      <c r="F42" s="463">
        <v>74</v>
      </c>
      <c r="G42" s="464">
        <f t="shared" si="1"/>
        <v>106726.65</v>
      </c>
      <c r="H42" s="440"/>
      <c r="I42" s="463"/>
      <c r="J42" s="443"/>
      <c r="K42" s="443"/>
      <c r="L42" s="402"/>
    </row>
    <row r="43" spans="1:13" ht="13">
      <c r="A43" s="402"/>
      <c r="B43" s="402"/>
      <c r="C43" s="463">
        <v>25</v>
      </c>
      <c r="D43" s="464">
        <f t="shared" si="0"/>
        <v>66096791.950000003</v>
      </c>
      <c r="E43" s="472"/>
      <c r="F43" s="463">
        <v>75</v>
      </c>
      <c r="G43" s="464">
        <f t="shared" si="1"/>
        <v>95838.81</v>
      </c>
      <c r="H43" s="472"/>
      <c r="I43" s="463"/>
      <c r="J43" s="443"/>
      <c r="K43" s="443"/>
      <c r="L43" s="402"/>
    </row>
    <row r="44" spans="1:13" ht="13">
      <c r="A44" s="402"/>
      <c r="B44" s="402"/>
      <c r="C44" s="463">
        <v>26</v>
      </c>
      <c r="D44" s="464">
        <f t="shared" si="0"/>
        <v>60459611.909999996</v>
      </c>
      <c r="E44" s="440"/>
      <c r="F44" s="463">
        <v>76</v>
      </c>
      <c r="G44" s="464">
        <f t="shared" si="1"/>
        <v>86482.75</v>
      </c>
      <c r="H44" s="440"/>
      <c r="I44" s="463"/>
      <c r="J44" s="443"/>
      <c r="K44" s="443"/>
      <c r="L44" s="402"/>
    </row>
    <row r="45" spans="1:13" ht="13">
      <c r="A45" s="402"/>
      <c r="B45" s="402"/>
      <c r="C45" s="463">
        <v>27</v>
      </c>
      <c r="D45" s="464">
        <f t="shared" si="0"/>
        <v>54957946.380000003</v>
      </c>
      <c r="E45" s="440"/>
      <c r="F45" s="463">
        <v>77</v>
      </c>
      <c r="G45" s="464">
        <f t="shared" si="1"/>
        <v>77982.64</v>
      </c>
      <c r="H45" s="440"/>
      <c r="I45" s="463"/>
      <c r="J45" s="443"/>
      <c r="K45" s="443"/>
      <c r="L45" s="402"/>
    </row>
    <row r="46" spans="1:13" ht="13">
      <c r="A46" s="402"/>
      <c r="B46" s="402"/>
      <c r="C46" s="463">
        <v>28</v>
      </c>
      <c r="D46" s="464">
        <f t="shared" si="0"/>
        <v>49760130.869999997</v>
      </c>
      <c r="E46" s="440"/>
      <c r="F46" s="463">
        <v>78</v>
      </c>
      <c r="G46" s="464">
        <f t="shared" si="1"/>
        <v>70545.710000000006</v>
      </c>
      <c r="H46" s="440"/>
      <c r="I46" s="463"/>
      <c r="J46" s="443"/>
      <c r="K46" s="443"/>
      <c r="L46" s="402"/>
    </row>
    <row r="47" spans="1:13" ht="13">
      <c r="A47" s="402"/>
      <c r="B47" s="402"/>
      <c r="C47" s="463">
        <v>29</v>
      </c>
      <c r="D47" s="464">
        <f t="shared" si="0"/>
        <v>44853887.060000002</v>
      </c>
      <c r="E47" s="440"/>
      <c r="F47" s="463">
        <v>79</v>
      </c>
      <c r="G47" s="464">
        <f t="shared" si="1"/>
        <v>63823.98</v>
      </c>
      <c r="H47" s="440"/>
      <c r="I47" s="463"/>
      <c r="J47" s="443"/>
      <c r="K47" s="443"/>
      <c r="L47" s="402"/>
    </row>
    <row r="48" spans="1:13" ht="13">
      <c r="A48" s="402"/>
      <c r="B48" s="402"/>
      <c r="C48" s="463">
        <v>30</v>
      </c>
      <c r="D48" s="464">
        <f t="shared" si="0"/>
        <v>40203800.939999998</v>
      </c>
      <c r="E48" s="440"/>
      <c r="F48" s="463">
        <v>80</v>
      </c>
      <c r="G48" s="464">
        <f t="shared" si="1"/>
        <v>57173</v>
      </c>
      <c r="H48" s="440"/>
      <c r="I48" s="463"/>
      <c r="J48" s="443"/>
      <c r="K48" s="443"/>
      <c r="L48" s="402"/>
    </row>
    <row r="49" spans="1:12" ht="13">
      <c r="A49" s="402"/>
      <c r="B49" s="402"/>
      <c r="C49" s="463">
        <v>31</v>
      </c>
      <c r="D49" s="464">
        <f t="shared" si="0"/>
        <v>35785920.32</v>
      </c>
      <c r="E49" s="440"/>
      <c r="F49" s="463">
        <v>81</v>
      </c>
      <c r="G49" s="464">
        <f t="shared" si="1"/>
        <v>50850.43</v>
      </c>
      <c r="H49" s="440"/>
      <c r="I49" s="440"/>
      <c r="J49" s="473"/>
      <c r="K49" s="443"/>
      <c r="L49" s="402"/>
    </row>
    <row r="50" spans="1:12" ht="13">
      <c r="A50" s="402"/>
      <c r="B50" s="402"/>
      <c r="C50" s="463">
        <v>32</v>
      </c>
      <c r="D50" s="464">
        <f t="shared" si="0"/>
        <v>31677190.879999999</v>
      </c>
      <c r="E50" s="440"/>
      <c r="F50" s="463">
        <v>82</v>
      </c>
      <c r="G50" s="464">
        <f t="shared" si="1"/>
        <v>45562.01</v>
      </c>
      <c r="H50" s="440"/>
      <c r="I50" s="440"/>
      <c r="J50" s="473"/>
      <c r="K50" s="443"/>
      <c r="L50" s="402"/>
    </row>
    <row r="51" spans="1:12" ht="13">
      <c r="A51" s="402"/>
      <c r="B51" s="402"/>
      <c r="C51" s="463">
        <v>33</v>
      </c>
      <c r="D51" s="464">
        <f t="shared" ref="D51:D68" si="2">VLOOKUP(CONCATENATE("period_",$C51),Assets_20,3,0)</f>
        <v>27885107.73</v>
      </c>
      <c r="E51" s="440"/>
      <c r="F51" s="463">
        <v>83</v>
      </c>
      <c r="G51" s="464">
        <f t="shared" ref="G51:G68" si="3">VLOOKUP(CONCATENATE("period_",$F51),Assets_20,3,0)</f>
        <v>41498.239999999998</v>
      </c>
      <c r="H51" s="440"/>
      <c r="I51" s="440"/>
      <c r="J51" s="473"/>
      <c r="K51" s="443"/>
      <c r="L51" s="402"/>
    </row>
    <row r="52" spans="1:12" ht="13">
      <c r="A52" s="402"/>
      <c r="B52" s="402"/>
      <c r="C52" s="463">
        <v>34</v>
      </c>
      <c r="D52" s="464">
        <f t="shared" si="2"/>
        <v>24359857.170000002</v>
      </c>
      <c r="E52" s="440"/>
      <c r="F52" s="463">
        <v>84</v>
      </c>
      <c r="G52" s="464">
        <f t="shared" si="3"/>
        <v>37849.64</v>
      </c>
      <c r="H52" s="440"/>
      <c r="I52" s="440"/>
      <c r="J52" s="473"/>
      <c r="K52" s="443"/>
      <c r="L52" s="402"/>
    </row>
    <row r="53" spans="1:12" ht="13">
      <c r="A53" s="402"/>
      <c r="B53" s="402"/>
      <c r="C53" s="463">
        <v>35</v>
      </c>
      <c r="D53" s="464">
        <f t="shared" si="2"/>
        <v>21092415.989999998</v>
      </c>
      <c r="E53" s="440"/>
      <c r="F53" s="463">
        <v>85</v>
      </c>
      <c r="G53" s="464">
        <f t="shared" si="3"/>
        <v>34931</v>
      </c>
      <c r="H53" s="440"/>
      <c r="I53" s="440"/>
      <c r="J53" s="473"/>
      <c r="K53" s="443"/>
      <c r="L53" s="402"/>
    </row>
    <row r="54" spans="1:12" ht="13">
      <c r="A54" s="402"/>
      <c r="B54" s="402"/>
      <c r="C54" s="463">
        <v>36</v>
      </c>
      <c r="D54" s="464">
        <f t="shared" si="2"/>
        <v>18115510.379999999</v>
      </c>
      <c r="E54" s="440"/>
      <c r="F54" s="463">
        <v>86</v>
      </c>
      <c r="G54" s="464">
        <f t="shared" si="3"/>
        <v>31998.83</v>
      </c>
      <c r="H54" s="440"/>
      <c r="I54" s="440"/>
      <c r="J54" s="473"/>
      <c r="K54" s="443"/>
      <c r="L54" s="402"/>
    </row>
    <row r="55" spans="1:12" ht="13">
      <c r="A55" s="402"/>
      <c r="B55" s="402"/>
      <c r="C55" s="463">
        <v>37</v>
      </c>
      <c r="D55" s="464">
        <f t="shared" si="2"/>
        <v>15469511.539999999</v>
      </c>
      <c r="E55" s="440"/>
      <c r="F55" s="463">
        <v>87</v>
      </c>
      <c r="G55" s="464">
        <f t="shared" si="3"/>
        <v>29053.06</v>
      </c>
      <c r="H55" s="440"/>
      <c r="I55" s="440"/>
      <c r="J55" s="473"/>
      <c r="K55" s="443"/>
      <c r="L55" s="402"/>
    </row>
    <row r="56" spans="1:12" ht="13">
      <c r="A56" s="402"/>
      <c r="B56" s="402"/>
      <c r="C56" s="463">
        <v>38</v>
      </c>
      <c r="D56" s="464">
        <f t="shared" si="2"/>
        <v>13156554.189999999</v>
      </c>
      <c r="E56" s="440"/>
      <c r="F56" s="463">
        <v>88</v>
      </c>
      <c r="G56" s="464">
        <f t="shared" si="3"/>
        <v>26173.52</v>
      </c>
      <c r="H56" s="440"/>
      <c r="I56" s="440"/>
      <c r="J56" s="473"/>
      <c r="K56" s="443"/>
      <c r="L56" s="402"/>
    </row>
    <row r="57" spans="1:12" ht="13">
      <c r="A57" s="402"/>
      <c r="B57" s="402"/>
      <c r="C57" s="463">
        <v>39</v>
      </c>
      <c r="D57" s="464">
        <f t="shared" si="2"/>
        <v>11118604.449999999</v>
      </c>
      <c r="E57" s="440"/>
      <c r="F57" s="463">
        <v>89</v>
      </c>
      <c r="G57" s="464">
        <f t="shared" si="3"/>
        <v>23280.51</v>
      </c>
      <c r="H57" s="440"/>
      <c r="I57" s="440"/>
      <c r="J57" s="473"/>
      <c r="K57" s="443"/>
      <c r="L57" s="402"/>
    </row>
    <row r="58" spans="1:12" ht="13">
      <c r="A58" s="402"/>
      <c r="B58" s="402"/>
      <c r="C58" s="463">
        <v>40</v>
      </c>
      <c r="D58" s="464">
        <f t="shared" si="2"/>
        <v>9332016.6899999995</v>
      </c>
      <c r="E58" s="440"/>
      <c r="F58" s="463">
        <v>90</v>
      </c>
      <c r="G58" s="464">
        <f t="shared" si="3"/>
        <v>20545.04</v>
      </c>
      <c r="H58" s="440"/>
      <c r="I58" s="440"/>
      <c r="J58" s="473"/>
      <c r="K58" s="443"/>
      <c r="L58" s="402"/>
    </row>
    <row r="59" spans="1:12" ht="13">
      <c r="A59" s="402"/>
      <c r="B59" s="402"/>
      <c r="C59" s="463">
        <v>41</v>
      </c>
      <c r="D59" s="464">
        <f t="shared" si="2"/>
        <v>7791888.5300000003</v>
      </c>
      <c r="E59" s="440"/>
      <c r="F59" s="463">
        <v>91</v>
      </c>
      <c r="G59" s="464">
        <f t="shared" si="3"/>
        <v>17797.02</v>
      </c>
      <c r="H59" s="440"/>
      <c r="I59" s="440"/>
      <c r="J59" s="473"/>
      <c r="K59" s="443"/>
      <c r="L59" s="402"/>
    </row>
    <row r="60" spans="1:12" ht="13">
      <c r="A60" s="402"/>
      <c r="B60" s="402"/>
      <c r="C60" s="463">
        <v>42</v>
      </c>
      <c r="D60" s="464">
        <f t="shared" si="2"/>
        <v>6444506.4699999997</v>
      </c>
      <c r="E60" s="440"/>
      <c r="F60" s="463">
        <v>92</v>
      </c>
      <c r="G60" s="464">
        <f t="shared" si="3"/>
        <v>15036.41</v>
      </c>
      <c r="H60" s="440"/>
      <c r="I60" s="440"/>
      <c r="J60" s="473"/>
      <c r="K60" s="443"/>
      <c r="L60" s="402"/>
    </row>
    <row r="61" spans="1:12" ht="13">
      <c r="A61" s="402"/>
      <c r="B61" s="402"/>
      <c r="C61" s="463">
        <v>43</v>
      </c>
      <c r="D61" s="464">
        <f t="shared" si="2"/>
        <v>5250818.0199999996</v>
      </c>
      <c r="E61" s="440"/>
      <c r="F61" s="463">
        <v>93</v>
      </c>
      <c r="G61" s="464">
        <f t="shared" si="3"/>
        <v>12662.13</v>
      </c>
      <c r="H61" s="440"/>
      <c r="I61" s="440"/>
      <c r="J61" s="473"/>
      <c r="K61" s="443"/>
      <c r="L61" s="402"/>
    </row>
    <row r="62" spans="1:12" ht="13">
      <c r="A62" s="402"/>
      <c r="B62" s="402"/>
      <c r="C62" s="463">
        <v>44</v>
      </c>
      <c r="D62" s="464">
        <f t="shared" si="2"/>
        <v>4246451.32</v>
      </c>
      <c r="E62" s="440"/>
      <c r="F62" s="463">
        <v>94</v>
      </c>
      <c r="G62" s="464">
        <f t="shared" si="3"/>
        <v>10276.81</v>
      </c>
      <c r="H62" s="440"/>
      <c r="I62" s="440"/>
      <c r="J62" s="473"/>
      <c r="K62" s="443"/>
      <c r="L62" s="402"/>
    </row>
    <row r="63" spans="1:12" ht="13">
      <c r="A63" s="402"/>
      <c r="B63" s="402"/>
      <c r="C63" s="463">
        <v>45</v>
      </c>
      <c r="D63" s="464">
        <f t="shared" si="2"/>
        <v>3439082.92</v>
      </c>
      <c r="E63" s="440"/>
      <c r="F63" s="463">
        <v>95</v>
      </c>
      <c r="G63" s="464">
        <f t="shared" si="3"/>
        <v>8372.8700000000008</v>
      </c>
      <c r="H63" s="440"/>
      <c r="I63" s="440"/>
      <c r="J63" s="473"/>
      <c r="K63" s="443"/>
      <c r="L63" s="402"/>
    </row>
    <row r="64" spans="1:12" ht="13">
      <c r="A64" s="402"/>
      <c r="B64" s="402"/>
      <c r="C64" s="463">
        <v>46</v>
      </c>
      <c r="D64" s="464">
        <f t="shared" si="2"/>
        <v>2777098.87</v>
      </c>
      <c r="E64" s="440"/>
      <c r="F64" s="463">
        <v>96</v>
      </c>
      <c r="G64" s="464">
        <f t="shared" si="3"/>
        <v>6460.06</v>
      </c>
      <c r="H64" s="440"/>
      <c r="I64" s="440"/>
      <c r="J64" s="473"/>
      <c r="K64" s="443"/>
      <c r="L64" s="402"/>
    </row>
    <row r="65" spans="1:12" ht="13">
      <c r="A65" s="402"/>
      <c r="B65" s="402"/>
      <c r="C65" s="463">
        <v>47</v>
      </c>
      <c r="D65" s="464">
        <f t="shared" si="2"/>
        <v>2255145.19</v>
      </c>
      <c r="E65" s="440"/>
      <c r="F65" s="463">
        <v>97</v>
      </c>
      <c r="G65" s="464">
        <f t="shared" si="3"/>
        <v>4538.34</v>
      </c>
      <c r="H65" s="440"/>
      <c r="I65" s="440"/>
      <c r="J65" s="473"/>
      <c r="K65" s="443"/>
      <c r="L65" s="402"/>
    </row>
    <row r="66" spans="1:12" ht="13">
      <c r="A66" s="402"/>
      <c r="B66" s="402"/>
      <c r="C66" s="463">
        <v>48</v>
      </c>
      <c r="D66" s="464">
        <f t="shared" si="2"/>
        <v>1850780.85</v>
      </c>
      <c r="E66" s="440"/>
      <c r="F66" s="463">
        <v>98</v>
      </c>
      <c r="G66" s="464">
        <f t="shared" si="3"/>
        <v>2906.69</v>
      </c>
      <c r="H66" s="440"/>
      <c r="I66" s="440"/>
      <c r="J66" s="473"/>
      <c r="K66" s="443"/>
      <c r="L66" s="402"/>
    </row>
    <row r="67" spans="1:12" ht="13">
      <c r="A67" s="402"/>
      <c r="B67" s="402"/>
      <c r="C67" s="463">
        <v>49</v>
      </c>
      <c r="D67" s="464">
        <f t="shared" si="2"/>
        <v>1554887.13</v>
      </c>
      <c r="E67" s="440"/>
      <c r="F67" s="463">
        <v>99</v>
      </c>
      <c r="G67" s="464">
        <f t="shared" si="3"/>
        <v>2225.02</v>
      </c>
      <c r="H67" s="440"/>
      <c r="I67" s="440"/>
      <c r="J67" s="473"/>
      <c r="K67" s="443"/>
      <c r="L67" s="402"/>
    </row>
    <row r="68" spans="1:12" ht="13">
      <c r="A68" s="402"/>
      <c r="B68" s="402"/>
      <c r="C68" s="463">
        <v>50</v>
      </c>
      <c r="D68" s="464">
        <f t="shared" si="2"/>
        <v>1322750.5900000001</v>
      </c>
      <c r="E68" s="440"/>
      <c r="F68" s="463">
        <v>100</v>
      </c>
      <c r="G68" s="464">
        <f t="shared" si="3"/>
        <v>1539.27</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45940</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45944</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59</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45944</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45915</v>
      </c>
      <c r="G6" s="126" t="str">
        <f>'Cover Sheet'!G6</f>
        <v>to</v>
      </c>
      <c r="H6" s="117">
        <f>'Cover Sheet'!H6</f>
        <v>45944</v>
      </c>
      <c r="I6" s="117" t="str">
        <f>'Cover Sheet'!I6</f>
        <v>=</v>
      </c>
      <c r="J6" s="375" t="str">
        <f>'Cover Sheet'!J6</f>
        <v>29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01.09.2025</v>
      </c>
      <c r="G7" s="131" t="str">
        <f>'Cover Sheet'!G7</f>
        <v>to</v>
      </c>
      <c r="H7" s="132">
        <f>'Cover Sheet'!H7</f>
        <v>45930</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1130910.0900000001</v>
      </c>
      <c r="F15" s="21"/>
      <c r="G15" s="101"/>
      <c r="H15" s="101"/>
      <c r="I15" s="987" t="s">
        <v>389</v>
      </c>
      <c r="J15" s="987"/>
      <c r="K15" s="987"/>
      <c r="L15" s="160" t="s">
        <v>239</v>
      </c>
      <c r="M15" s="376">
        <f>VLOOKUP("Principal_collections",calcdata_20,2,0)</f>
        <v>11886362.359999999</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7" t="s">
        <v>504</v>
      </c>
      <c r="J16" s="987"/>
      <c r="K16" s="987"/>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291127.67</v>
      </c>
      <c r="F17" s="21"/>
      <c r="G17" s="101"/>
      <c r="H17" s="101"/>
      <c r="I17" s="987" t="s">
        <v>505</v>
      </c>
      <c r="J17" s="987"/>
      <c r="K17" s="987"/>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7" t="s">
        <v>506</v>
      </c>
      <c r="J18" s="987"/>
      <c r="K18" s="987"/>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7" t="s">
        <v>557</v>
      </c>
      <c r="J19" s="987"/>
      <c r="K19" s="987"/>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7" t="s">
        <v>147</v>
      </c>
      <c r="J20" s="987"/>
      <c r="K20" s="987"/>
      <c r="L20" s="160" t="s">
        <v>239</v>
      </c>
      <c r="M20" s="376">
        <f>VLOOKUP("Amounts_credit_Purchase_Shortfall_Account",calcdata_20,2,0)</f>
        <v>92.229999985022005</v>
      </c>
      <c r="N20" s="101"/>
      <c r="O20" s="101"/>
      <c r="P20" s="101"/>
      <c r="Q20" s="101"/>
      <c r="R20" s="101"/>
      <c r="S20" s="101"/>
      <c r="T20" s="113"/>
      <c r="U20" s="176"/>
    </row>
    <row r="21" spans="1:21" ht="13.5" customHeight="1">
      <c r="A21" s="182"/>
      <c r="B21" s="107"/>
      <c r="C21" s="101" t="s">
        <v>387</v>
      </c>
      <c r="D21" s="166" t="s">
        <v>239</v>
      </c>
      <c r="E21" s="376">
        <f>VLOOKUP("Interests_paid_Swap_Counterparty",calcdata_20,2,0)</f>
        <v>425814.43</v>
      </c>
      <c r="F21" s="101"/>
      <c r="G21" s="101"/>
      <c r="H21" s="101"/>
      <c r="I21" s="987" t="s">
        <v>507</v>
      </c>
      <c r="J21" s="987"/>
      <c r="K21" s="987"/>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7" t="s">
        <v>508</v>
      </c>
      <c r="J22" s="987"/>
      <c r="K22" s="987"/>
      <c r="L22" s="160" t="s">
        <v>239</v>
      </c>
      <c r="M22" s="376">
        <f>VLOOKUP("PDL",calcdata_20,2,0)</f>
        <v>717643.53</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7" t="s">
        <v>241</v>
      </c>
      <c r="J23" s="987"/>
      <c r="K23" s="987"/>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7847852.1899999995</v>
      </c>
      <c r="F24" s="101"/>
      <c r="G24" s="101"/>
      <c r="H24" s="101"/>
      <c r="I24" s="987" t="s">
        <v>237</v>
      </c>
      <c r="J24" s="987"/>
      <c r="K24" s="987"/>
      <c r="L24" s="160" t="s">
        <v>15</v>
      </c>
      <c r="M24" s="377">
        <f>VLOOKUP("Available_Principal_amount",calcdata_20,2,0)</f>
        <v>12604098.119999984</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7847852.1899999995</v>
      </c>
      <c r="F29" s="282"/>
      <c r="G29" s="21"/>
      <c r="H29" s="283"/>
      <c r="I29" s="987" t="s">
        <v>237</v>
      </c>
      <c r="J29" s="987"/>
      <c r="K29" s="987"/>
      <c r="L29" s="284"/>
      <c r="M29" s="387">
        <f>VLOOKUP("Available_Principal_amount",calcdata_20,2,0)</f>
        <v>12604098.119999984</v>
      </c>
      <c r="N29" s="174"/>
      <c r="O29" s="174"/>
      <c r="P29" s="174"/>
      <c r="Q29" s="174"/>
      <c r="R29" s="174"/>
      <c r="S29" s="174"/>
      <c r="T29" s="176"/>
      <c r="U29" s="176"/>
    </row>
    <row r="30" spans="1:21" ht="13.5" customHeight="1">
      <c r="A30" s="182"/>
      <c r="B30" s="182"/>
      <c r="C30" s="92" t="s">
        <v>355</v>
      </c>
      <c r="D30" s="93" t="s">
        <v>35</v>
      </c>
      <c r="E30" s="387">
        <f>VLOOKUP("Senior_expenses",calcdata_20,2,0)</f>
        <v>19838.78</v>
      </c>
      <c r="F30" s="286"/>
      <c r="G30" s="21"/>
      <c r="H30" s="288"/>
      <c r="I30" s="987" t="s">
        <v>356</v>
      </c>
      <c r="J30" s="987"/>
      <c r="K30" s="987"/>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7" t="s">
        <v>477</v>
      </c>
      <c r="J31" s="987"/>
      <c r="K31" s="987"/>
      <c r="L31" s="146" t="s">
        <v>15</v>
      </c>
      <c r="M31" s="387">
        <f>M29-M30</f>
        <v>12604098.119999984</v>
      </c>
      <c r="N31" s="220"/>
      <c r="O31" s="220"/>
      <c r="P31" s="220"/>
      <c r="Q31" s="220"/>
      <c r="R31" s="220"/>
      <c r="S31" s="220"/>
      <c r="T31" s="176"/>
      <c r="U31" s="176"/>
    </row>
    <row r="32" spans="1:21" ht="13.5" customHeight="1">
      <c r="A32" s="182"/>
      <c r="B32" s="182"/>
      <c r="C32" s="92" t="s">
        <v>242</v>
      </c>
      <c r="D32" s="93" t="s">
        <v>35</v>
      </c>
      <c r="E32" s="387">
        <f>VLOOKUP("A_interest_amount_notes",calcdata_20,2,0)</f>
        <v>350859.60000000003</v>
      </c>
      <c r="F32" s="286"/>
      <c r="G32" s="21"/>
      <c r="H32" s="288"/>
      <c r="I32" s="987" t="s">
        <v>243</v>
      </c>
      <c r="J32" s="987"/>
      <c r="K32" s="987"/>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28274.400000000001</v>
      </c>
      <c r="F33" s="286"/>
      <c r="G33" s="21"/>
      <c r="H33" s="288"/>
      <c r="I33" s="987" t="s">
        <v>147</v>
      </c>
      <c r="J33" s="987"/>
      <c r="K33" s="987"/>
      <c r="L33" s="287" t="s">
        <v>35</v>
      </c>
      <c r="M33" s="387">
        <f>VLOOKUP("Purchase_shortfall",calcdata_20,2,0)</f>
        <v>95.819999983068556</v>
      </c>
      <c r="N33" s="220"/>
      <c r="O33" s="220"/>
      <c r="P33" s="220"/>
      <c r="Q33" s="220"/>
      <c r="R33" s="220"/>
      <c r="S33" s="220"/>
      <c r="T33" s="176"/>
      <c r="U33" s="176"/>
    </row>
    <row r="34" spans="1:21" ht="13.5" customHeight="1">
      <c r="A34" s="182"/>
      <c r="B34" s="182"/>
      <c r="C34" s="92" t="s">
        <v>359</v>
      </c>
      <c r="D34" s="93" t="s">
        <v>35</v>
      </c>
      <c r="E34" s="387">
        <f>VLOOKUP("c_interest_amount_notes",calcdata_20,2,0)</f>
        <v>38728.800000000003</v>
      </c>
      <c r="F34" s="286"/>
      <c r="G34" s="21"/>
      <c r="H34" s="288"/>
      <c r="I34" s="987" t="s">
        <v>478</v>
      </c>
      <c r="J34" s="987"/>
      <c r="K34" s="987"/>
      <c r="L34" s="287" t="s">
        <v>35</v>
      </c>
      <c r="M34" s="387">
        <f>VLOOKUP("A_prorata_Principal",calcdata_20,2,0)</f>
        <v>9864001.8000000007</v>
      </c>
      <c r="N34" s="220"/>
      <c r="O34" s="220"/>
      <c r="P34" s="220"/>
      <c r="Q34" s="220"/>
      <c r="R34" s="220"/>
      <c r="S34" s="220"/>
      <c r="T34" s="176"/>
      <c r="U34" s="176"/>
    </row>
    <row r="35" spans="1:21" ht="13.5" customHeight="1">
      <c r="A35" s="182"/>
      <c r="B35" s="182"/>
      <c r="C35" s="92" t="s">
        <v>361</v>
      </c>
      <c r="D35" s="93" t="s">
        <v>35</v>
      </c>
      <c r="E35" s="387">
        <f>VLOOKUP("d_interest_amount_notes",calcdata_20,2,0)</f>
        <v>35048.700000000004</v>
      </c>
      <c r="F35" s="286"/>
      <c r="G35" s="21"/>
      <c r="H35" s="288"/>
      <c r="I35" s="987" t="s">
        <v>479</v>
      </c>
      <c r="J35" s="987"/>
      <c r="K35" s="987"/>
      <c r="L35" s="287" t="s">
        <v>35</v>
      </c>
      <c r="M35" s="387">
        <f>VLOOKUP("b_prorata_Principal",calcdata_20,2,0)</f>
        <v>676941.3</v>
      </c>
      <c r="N35" s="220"/>
      <c r="O35" s="220"/>
      <c r="P35" s="220"/>
      <c r="Q35" s="220"/>
      <c r="R35" s="220"/>
      <c r="S35" s="220"/>
      <c r="T35" s="176"/>
      <c r="U35" s="176"/>
    </row>
    <row r="36" spans="1:21" ht="13.5" customHeight="1">
      <c r="A36" s="182"/>
      <c r="B36" s="182"/>
      <c r="C36" s="92" t="s">
        <v>363</v>
      </c>
      <c r="D36" s="93" t="s">
        <v>35</v>
      </c>
      <c r="E36" s="387">
        <f>VLOOKUP("e_interest_amount_notes",calcdata_20,2,0)</f>
        <v>30839.4</v>
      </c>
      <c r="F36" s="286"/>
      <c r="G36" s="21"/>
      <c r="H36" s="288"/>
      <c r="I36" s="987" t="s">
        <v>480</v>
      </c>
      <c r="J36" s="987"/>
      <c r="K36" s="987"/>
      <c r="L36" s="287" t="s">
        <v>35</v>
      </c>
      <c r="M36" s="387">
        <f>VLOOKUP("c_prorata_Principal",calcdata_20,2,0)</f>
        <v>773647.20000000007</v>
      </c>
      <c r="N36" s="220"/>
      <c r="O36" s="220"/>
      <c r="P36" s="220"/>
      <c r="Q36" s="220"/>
      <c r="R36" s="220"/>
      <c r="S36" s="220"/>
      <c r="T36" s="176"/>
      <c r="U36" s="176"/>
    </row>
    <row r="37" spans="1:21" ht="13.5" customHeight="1">
      <c r="A37" s="182"/>
      <c r="B37" s="182"/>
      <c r="C37" s="92" t="s">
        <v>365</v>
      </c>
      <c r="D37" s="93" t="s">
        <v>35</v>
      </c>
      <c r="E37" s="387">
        <f>VLOOKUP("f_interest_amount_notes",calcdata_20,2,0)</f>
        <v>31927.5</v>
      </c>
      <c r="F37" s="286"/>
      <c r="G37" s="21"/>
      <c r="H37" s="288"/>
      <c r="I37" s="987" t="s">
        <v>481</v>
      </c>
      <c r="J37" s="987"/>
      <c r="K37" s="987"/>
      <c r="L37" s="287" t="s">
        <v>35</v>
      </c>
      <c r="M37" s="387">
        <f>VLOOKUP("d_prorata_Principal",calcdata_20,2,0)</f>
        <v>580235.4</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7" t="s">
        <v>482</v>
      </c>
      <c r="J38" s="987"/>
      <c r="K38" s="987"/>
      <c r="L38" s="287" t="s">
        <v>35</v>
      </c>
      <c r="M38" s="387">
        <f>VLOOKUP("e_prorata_Principal",calcdata_20,2,0)</f>
        <v>386823.60000000003</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7" t="s">
        <v>483</v>
      </c>
      <c r="J39" s="987"/>
      <c r="K39" s="987"/>
      <c r="L39" s="287" t="s">
        <v>35</v>
      </c>
      <c r="M39" s="387">
        <f>VLOOKUP("f_prorata_Principal",calcdata_20,2,0)</f>
        <v>322353</v>
      </c>
      <c r="N39" s="220"/>
      <c r="O39" s="220"/>
      <c r="P39" s="220"/>
      <c r="Q39" s="220"/>
      <c r="R39" s="220"/>
      <c r="S39" s="220"/>
      <c r="T39" s="176"/>
      <c r="U39" s="176"/>
    </row>
    <row r="40" spans="1:21" ht="13.5" customHeight="1">
      <c r="A40" s="182"/>
      <c r="B40" s="182"/>
      <c r="C40" s="92" t="s">
        <v>371</v>
      </c>
      <c r="D40" s="93" t="s">
        <v>35</v>
      </c>
      <c r="E40" s="387">
        <f>VLOOKUP("Elimination_PDL",calcdata_20,2,0)</f>
        <v>717643.53</v>
      </c>
      <c r="F40" s="286"/>
      <c r="G40" s="21"/>
      <c r="H40" s="288"/>
      <c r="I40" s="987" t="s">
        <v>360</v>
      </c>
      <c r="J40" s="987"/>
      <c r="K40" s="987"/>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7" t="s">
        <v>510</v>
      </c>
      <c r="J41" s="987"/>
      <c r="K41" s="987"/>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7" t="s">
        <v>362</v>
      </c>
      <c r="J42" s="987"/>
      <c r="K42" s="987"/>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7" t="s">
        <v>364</v>
      </c>
      <c r="J43" s="987"/>
      <c r="K43" s="987"/>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7" t="s">
        <v>366</v>
      </c>
      <c r="J44" s="987"/>
      <c r="K44" s="987"/>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7" t="s">
        <v>368</v>
      </c>
      <c r="J45" s="987"/>
      <c r="K45" s="987"/>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7" t="s">
        <v>370</v>
      </c>
      <c r="J46" s="987"/>
      <c r="K46" s="987"/>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7" t="s">
        <v>345</v>
      </c>
      <c r="J47" s="987"/>
      <c r="K47" s="987"/>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7" t="s">
        <v>511</v>
      </c>
      <c r="J48" s="987"/>
      <c r="K48" s="987"/>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7" t="s">
        <v>512</v>
      </c>
      <c r="J49" s="987"/>
      <c r="K49" s="987"/>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594691.47999999882</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19838.78</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515678.40000000008</v>
      </c>
      <c r="E59" s="52">
        <f>VLOOKUP("A_Interests_accrued",calcdata_20,2,0)</f>
        <v>350859.60000000003</v>
      </c>
      <c r="F59" s="53"/>
      <c r="G59" s="52">
        <f>VLOOKUP("B_Interests_accrued",calcdata_20,2,0)</f>
        <v>28274.400000000001</v>
      </c>
      <c r="H59" s="54"/>
      <c r="I59" s="52">
        <f>VLOOKUP("C_Interests_accrued",calcdata_20,2,0)</f>
        <v>38728.800000000003</v>
      </c>
      <c r="J59" s="54"/>
      <c r="K59" s="52">
        <f>VLOOKUP("D_Interests_accrued",calcdata_20,2,0)</f>
        <v>35048.700000000004</v>
      </c>
      <c r="L59" s="54"/>
      <c r="M59" s="52">
        <f>VLOOKUP("E_Interests_accrued",calcdata_20,2,0)</f>
        <v>30839.4</v>
      </c>
      <c r="N59" s="52"/>
      <c r="O59" s="52">
        <f>VLOOKUP("F_Interests_accrued",calcdata_20,2,0)</f>
        <v>31927.5</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89349623.959311098</v>
      </c>
      <c r="E60" s="52">
        <f>VLOOKUP("A_Interests_accrued_cum",calcdata_20,2,0)</f>
        <v>52277116.500000007</v>
      </c>
      <c r="F60" s="53"/>
      <c r="G60" s="52">
        <f>VLOOKUP("B_Interests_accrued_cum",calcdata_20,2,0)</f>
        <v>4738456.8</v>
      </c>
      <c r="H60" s="54"/>
      <c r="I60" s="52">
        <f>VLOOKUP("C_Interests_accrued_cum",calcdata_20,2,0)</f>
        <v>7169072.3999999994</v>
      </c>
      <c r="J60" s="54"/>
      <c r="K60" s="52">
        <f>VLOOKUP("D_Interests_accrued_cum",calcdata_20,2,0)</f>
        <v>7020820.7999999989</v>
      </c>
      <c r="L60" s="54"/>
      <c r="M60" s="52">
        <f>VLOOKUP("E_Interests_accrued_cum",calcdata_20,2,0)</f>
        <v>6726477.5999999996</v>
      </c>
      <c r="N60" s="52"/>
      <c r="O60" s="52">
        <f>VLOOKUP("F_Interests_accrued_cum",calcdata_20,2,0)</f>
        <v>7310335.5</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515678.40000000008</v>
      </c>
      <c r="E61" s="52">
        <f>VLOOKUP("A_Interest_Payments",calcdata_20,2,0)</f>
        <v>350859.60000000003</v>
      </c>
      <c r="F61" s="53"/>
      <c r="G61" s="52">
        <f>VLOOKUP("B_Interest_Payments",calcdata_20,2,0)</f>
        <v>28274.400000000001</v>
      </c>
      <c r="H61" s="55"/>
      <c r="I61" s="52">
        <f>VLOOKUP("C_Interest_Payments",calcdata_20,2,0)</f>
        <v>38728.800000000003</v>
      </c>
      <c r="J61" s="55"/>
      <c r="K61" s="52">
        <f>VLOOKUP("D_Interest_Payments",calcdata_20,2,0)</f>
        <v>35048.700000000004</v>
      </c>
      <c r="L61" s="55"/>
      <c r="M61" s="52">
        <f>VLOOKUP("E_Interest_Payments",calcdata_20,2,0)</f>
        <v>30839.4</v>
      </c>
      <c r="N61" s="52"/>
      <c r="O61" s="52">
        <f>VLOOKUP("F_Interest_Payments",calcdata_20,2,0)</f>
        <v>31927.5</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89349623.959311098</v>
      </c>
      <c r="E62" s="52">
        <f>VLOOKUP("A_Interest_Payments_cum",calcdata_20,2,0)</f>
        <v>52277116.500000007</v>
      </c>
      <c r="F62" s="53"/>
      <c r="G62" s="52">
        <f>VLOOKUP("B_Interest_Payments_cum",calcdata_20,2,0)</f>
        <v>4738456.8</v>
      </c>
      <c r="H62" s="55"/>
      <c r="I62" s="52">
        <f>VLOOKUP("C_Interest_Payments_cum",calcdata_20,2,0)</f>
        <v>7169072.3999999994</v>
      </c>
      <c r="J62" s="55"/>
      <c r="K62" s="52">
        <f>VLOOKUP("D_Interest_Payments_cum",calcdata_20,2,0)</f>
        <v>7020820.7999999989</v>
      </c>
      <c r="L62" s="55"/>
      <c r="M62" s="52">
        <f>VLOOKUP("E_Interest_Payments_cum",calcdata_20,2,0)</f>
        <v>6726477.5999999996</v>
      </c>
      <c r="N62" s="52"/>
      <c r="O62" s="52">
        <f>VLOOKUP("F_Interest_Payments_cum",calcdata_20,2,0)</f>
        <v>7310335.5</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2:K32"/>
    <mergeCell ref="I46:K46"/>
    <mergeCell ref="I47:K47"/>
    <mergeCell ref="I35:K35"/>
    <mergeCell ref="I43:K43"/>
    <mergeCell ref="I44:K44"/>
    <mergeCell ref="I45:K45"/>
    <mergeCell ref="I42:K42"/>
    <mergeCell ref="I48:K48"/>
    <mergeCell ref="I49:K49"/>
    <mergeCell ref="I33:K33"/>
    <mergeCell ref="I34:K34"/>
    <mergeCell ref="I36:K36"/>
    <mergeCell ref="I37:K37"/>
    <mergeCell ref="I38:K38"/>
    <mergeCell ref="I39:K39"/>
    <mergeCell ref="I40:K40"/>
    <mergeCell ref="I41:K41"/>
    <mergeCell ref="I31:K31"/>
    <mergeCell ref="I15:K15"/>
    <mergeCell ref="I16:K16"/>
    <mergeCell ref="I21:K21"/>
    <mergeCell ref="I29:K29"/>
    <mergeCell ref="I30:K30"/>
    <mergeCell ref="I19:K19"/>
    <mergeCell ref="I17:K17"/>
    <mergeCell ref="I18:K18"/>
    <mergeCell ref="I20:K20"/>
    <mergeCell ref="I22:K22"/>
    <mergeCell ref="I23:K23"/>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45940</v>
      </c>
      <c r="G2" s="110"/>
      <c r="H2" s="110"/>
      <c r="I2" s="110"/>
      <c r="J2" s="112"/>
      <c r="K2" s="362"/>
    </row>
    <row r="3" spans="1:13" s="106" customFormat="1" ht="18">
      <c r="A3" s="107"/>
      <c r="B3" s="108" t="str">
        <f>'Cover Sheet'!B3</f>
        <v>Monthly Investor Report</v>
      </c>
      <c r="C3" s="108"/>
      <c r="D3" s="115" t="str">
        <f>'Cover Sheet'!D3</f>
        <v>Payment Date</v>
      </c>
      <c r="E3" s="116"/>
      <c r="F3" s="117">
        <f>'Cover Sheet'!F3</f>
        <v>45944</v>
      </c>
      <c r="G3" s="116"/>
      <c r="H3" s="116"/>
      <c r="I3" s="116"/>
      <c r="J3" s="118"/>
      <c r="K3" s="128"/>
    </row>
    <row r="4" spans="1:13" s="106" customFormat="1" ht="13">
      <c r="A4" s="107"/>
      <c r="B4" s="159"/>
      <c r="C4" s="160"/>
      <c r="D4" s="115" t="str">
        <f>'Cover Sheet'!D4</f>
        <v>Period  No</v>
      </c>
      <c r="E4" s="116"/>
      <c r="F4" s="120">
        <f>'Cover Sheet'!F4</f>
        <v>59</v>
      </c>
      <c r="G4" s="116"/>
      <c r="H4" s="121"/>
      <c r="I4" s="116"/>
      <c r="J4" s="122"/>
      <c r="K4" s="362"/>
    </row>
    <row r="5" spans="1:13" s="106" customFormat="1" ht="18">
      <c r="A5" s="107"/>
      <c r="B5" s="162" t="s">
        <v>459</v>
      </c>
      <c r="C5" s="123"/>
      <c r="D5" s="115" t="str">
        <f>'Cover Sheet'!D5</f>
        <v>Monthly Period</v>
      </c>
      <c r="E5" s="116"/>
      <c r="F5" s="124">
        <f>'Cover Sheet'!F5</f>
        <v>45944</v>
      </c>
      <c r="G5" s="116"/>
      <c r="H5" s="121"/>
      <c r="I5" s="116"/>
      <c r="J5" s="122"/>
      <c r="K5" s="12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s="106" customFormat="1" ht="13">
      <c r="A7" s="107"/>
      <c r="B7" s="101"/>
      <c r="C7" s="101"/>
      <c r="D7" s="130" t="str">
        <f>'Cover Sheet'!D7</f>
        <v>Collection Period</v>
      </c>
      <c r="E7" s="131" t="str">
        <f>'Cover Sheet'!E7</f>
        <v>from</v>
      </c>
      <c r="F7" s="132" t="str">
        <f>'Cover Sheet'!F7</f>
        <v>01.09.2025</v>
      </c>
      <c r="G7" s="131" t="str">
        <f>'Cover Sheet'!G7</f>
        <v>to</v>
      </c>
      <c r="H7" s="132">
        <f>'Cover Sheet'!H7</f>
        <v>45930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8" t="s">
        <v>310</v>
      </c>
      <c r="C14" s="988"/>
      <c r="D14" s="988"/>
      <c r="E14" s="988"/>
      <c r="F14" s="988"/>
      <c r="G14" s="988"/>
      <c r="H14" s="367"/>
      <c r="I14" s="367"/>
      <c r="J14" s="21"/>
      <c r="K14" s="113"/>
      <c r="M14" s="177"/>
    </row>
    <row r="15" spans="1:13" ht="12.75" customHeight="1">
      <c r="A15" s="182"/>
      <c r="B15" s="988"/>
      <c r="C15" s="988"/>
      <c r="D15" s="988"/>
      <c r="E15" s="988"/>
      <c r="F15" s="988"/>
      <c r="G15" s="988"/>
      <c r="H15" s="367"/>
      <c r="I15" s="367"/>
      <c r="J15" s="21"/>
      <c r="K15" s="176"/>
      <c r="M15" s="177"/>
    </row>
    <row r="16" spans="1:13" ht="12.75" customHeight="1">
      <c r="A16" s="182"/>
      <c r="B16" s="988"/>
      <c r="C16" s="988"/>
      <c r="D16" s="988"/>
      <c r="E16" s="988"/>
      <c r="F16" s="988"/>
      <c r="G16" s="988"/>
      <c r="H16" s="367"/>
      <c r="I16" s="367"/>
      <c r="J16" s="21"/>
      <c r="K16" s="176"/>
      <c r="M16" s="177"/>
    </row>
    <row r="17" spans="1:13" ht="24" customHeight="1">
      <c r="A17" s="182"/>
      <c r="B17" s="988"/>
      <c r="C17" s="988"/>
      <c r="D17" s="988"/>
      <c r="E17" s="988"/>
      <c r="F17" s="988"/>
      <c r="G17" s="988"/>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4">
        <f>VLOOKUP("Retention_amt",Assets_20,3,0)</f>
        <v>11118378.049999993</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2" t="str">
        <f>'Cover Sheet'!D2</f>
        <v>Calculation Date</v>
      </c>
      <c r="E2" s="993"/>
      <c r="F2" s="243"/>
      <c r="G2" s="111">
        <f>'Cover Sheet'!F2</f>
        <v>45940</v>
      </c>
      <c r="H2" s="355"/>
      <c r="I2" s="243"/>
      <c r="J2" s="243"/>
      <c r="K2" s="245"/>
      <c r="M2" s="247"/>
    </row>
    <row r="3" spans="1:13" s="248" customFormat="1" ht="18">
      <c r="A3" s="240"/>
      <c r="B3" s="241" t="str">
        <f>'Cover Sheet'!B3</f>
        <v>Monthly Investor Report</v>
      </c>
      <c r="C3" s="241"/>
      <c r="D3" s="994" t="str">
        <f>'Cover Sheet'!D3</f>
        <v>Payment Date</v>
      </c>
      <c r="E3" s="995"/>
      <c r="F3" s="251"/>
      <c r="G3" s="117">
        <f>'Cover Sheet'!F3</f>
        <v>45944</v>
      </c>
      <c r="H3" s="356"/>
      <c r="I3" s="250"/>
      <c r="J3" s="250"/>
      <c r="K3" s="252"/>
      <c r="M3" s="247"/>
    </row>
    <row r="4" spans="1:13" s="248" customFormat="1">
      <c r="A4" s="240"/>
      <c r="B4" s="254"/>
      <c r="C4" s="330"/>
      <c r="D4" s="994" t="str">
        <f>'Cover Sheet'!D4</f>
        <v>Period  No</v>
      </c>
      <c r="E4" s="995"/>
      <c r="F4" s="255"/>
      <c r="G4" s="120">
        <f>'Cover Sheet'!F4</f>
        <v>59</v>
      </c>
      <c r="H4" s="357"/>
      <c r="I4" s="256"/>
      <c r="J4" s="250"/>
      <c r="K4" s="257"/>
      <c r="M4" s="247"/>
    </row>
    <row r="5" spans="1:13" s="248" customFormat="1" ht="18">
      <c r="A5" s="240"/>
      <c r="B5" s="258" t="s">
        <v>458</v>
      </c>
      <c r="C5" s="331"/>
      <c r="D5" s="994" t="str">
        <f>'Cover Sheet'!D5</f>
        <v>Monthly Period</v>
      </c>
      <c r="E5" s="995"/>
      <c r="F5" s="358"/>
      <c r="G5" s="124">
        <f>'Cover Sheet'!F5</f>
        <v>45944</v>
      </c>
      <c r="H5" s="250"/>
      <c r="I5" s="256"/>
      <c r="J5" s="250"/>
      <c r="K5" s="257"/>
      <c r="M5" s="247"/>
    </row>
    <row r="6" spans="1:13" s="248" customFormat="1" ht="15" customHeight="1">
      <c r="A6" s="240"/>
      <c r="B6" s="259"/>
      <c r="C6" s="332"/>
      <c r="D6" s="996" t="str">
        <f>'Cover Sheet'!D6</f>
        <v>Interest Period</v>
      </c>
      <c r="E6" s="995"/>
      <c r="F6" s="251" t="s">
        <v>34</v>
      </c>
      <c r="G6" s="117">
        <f>'Cover Sheet'!F6</f>
        <v>45915</v>
      </c>
      <c r="H6" s="251" t="s">
        <v>4</v>
      </c>
      <c r="I6" s="251">
        <f>'Cover Sheet'!H6</f>
        <v>45944</v>
      </c>
      <c r="J6" s="251" t="s">
        <v>15</v>
      </c>
      <c r="K6" s="262" t="str">
        <f>'Cover Sheet'!J6</f>
        <v>29 days</v>
      </c>
      <c r="M6" s="263"/>
    </row>
    <row r="7" spans="1:13" s="248" customFormat="1" ht="13">
      <c r="A7" s="240"/>
      <c r="B7" s="33"/>
      <c r="C7" s="33"/>
      <c r="D7" s="997" t="str">
        <f>'Cover Sheet'!D7</f>
        <v>Collection Period</v>
      </c>
      <c r="E7" s="998"/>
      <c r="F7" s="265" t="s">
        <v>34</v>
      </c>
      <c r="G7" s="132" t="str">
        <f>'Cover Sheet'!F7</f>
        <v>01.09.2025</v>
      </c>
      <c r="H7" s="265" t="s">
        <v>4</v>
      </c>
      <c r="I7" s="265">
        <f>'Cover Sheet'!H7</f>
        <v>45930</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89" t="s">
        <v>257</v>
      </c>
      <c r="E12" s="990"/>
      <c r="F12" s="991"/>
      <c r="G12" s="989" t="s">
        <v>258</v>
      </c>
      <c r="H12" s="990"/>
      <c r="I12" s="991"/>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VLOOKUP($C15,rating_c20,7,FALSE)</f>
        <v>A+</v>
      </c>
      <c r="E15" s="5" t="str">
        <f>VLOOKUP($C15,rating_c20,10,FALSE)</f>
        <v>F1</v>
      </c>
      <c r="F15" s="6" t="str">
        <f>VLOOKUP($C15,rating_c20,11,FALSE)</f>
        <v>STABLE</v>
      </c>
      <c r="G15" s="5" t="str">
        <f>VLOOKUP($C15,rating_c20,3,FALSE)</f>
        <v>A2</v>
      </c>
      <c r="H15" s="6" t="str">
        <f>VLOOKUP($C15,rating_c20,5,FALSE)</f>
        <v>P-1</v>
      </c>
      <c r="I15" s="5" t="str">
        <f>VLOOKUP($C15,rating_c20,6,FALSE)</f>
        <v>POS</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STABLE</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NEG</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30.09.2025,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45940</v>
      </c>
      <c r="G2" s="243"/>
      <c r="H2" s="243"/>
      <c r="I2" s="243"/>
      <c r="J2" s="245"/>
      <c r="K2" s="328"/>
    </row>
    <row r="3" spans="1:16" s="248" customFormat="1" ht="18">
      <c r="A3" s="240"/>
      <c r="B3" s="241" t="str">
        <f>'Cover Sheet'!B3</f>
        <v>Monthly Investor Report</v>
      </c>
      <c r="C3" s="241"/>
      <c r="D3" s="249" t="str">
        <f>'Cover Sheet'!D3</f>
        <v>Payment Date</v>
      </c>
      <c r="E3" s="250"/>
      <c r="F3" s="251">
        <f>'Cover Sheet'!F3</f>
        <v>45944</v>
      </c>
      <c r="G3" s="250"/>
      <c r="H3" s="250"/>
      <c r="I3" s="250"/>
      <c r="J3" s="252"/>
      <c r="K3" s="329"/>
    </row>
    <row r="4" spans="1:16" s="248" customFormat="1" ht="13">
      <c r="A4" s="240"/>
      <c r="B4" s="254"/>
      <c r="C4" s="330"/>
      <c r="D4" s="249" t="str">
        <f>'Cover Sheet'!D4</f>
        <v>Period  No</v>
      </c>
      <c r="E4" s="250"/>
      <c r="F4" s="255">
        <f>'Cover Sheet'!F4</f>
        <v>59</v>
      </c>
      <c r="G4" s="250"/>
      <c r="H4" s="256"/>
      <c r="I4" s="250"/>
      <c r="J4" s="257"/>
      <c r="K4" s="328"/>
    </row>
    <row r="5" spans="1:16" s="248" customFormat="1" ht="18">
      <c r="A5" s="240"/>
      <c r="B5" s="258" t="s">
        <v>457</v>
      </c>
      <c r="C5" s="331"/>
      <c r="D5" s="249" t="str">
        <f>'Cover Sheet'!D5</f>
        <v>Monthly Period</v>
      </c>
      <c r="E5" s="250"/>
      <c r="F5" s="124">
        <f>'Cover Sheet'!F5</f>
        <v>45944</v>
      </c>
      <c r="G5" s="250"/>
      <c r="H5" s="256"/>
      <c r="I5" s="250"/>
      <c r="J5" s="257"/>
      <c r="K5" s="329"/>
    </row>
    <row r="6" spans="1:16" s="248" customFormat="1" ht="15" customHeight="1">
      <c r="A6" s="240"/>
      <c r="B6" s="259"/>
      <c r="C6" s="332"/>
      <c r="D6" s="260" t="str">
        <f>'Cover Sheet'!D6</f>
        <v>Interest Period</v>
      </c>
      <c r="E6" s="251" t="s">
        <v>34</v>
      </c>
      <c r="F6" s="251">
        <f>'Cover Sheet'!F6</f>
        <v>45915</v>
      </c>
      <c r="G6" s="251" t="s">
        <v>4</v>
      </c>
      <c r="H6" s="251">
        <f>'Cover Sheet'!H6</f>
        <v>45944</v>
      </c>
      <c r="I6" s="261" t="s">
        <v>15</v>
      </c>
      <c r="J6" s="262" t="str">
        <f>'Cover Sheet'!J6</f>
        <v>29 days</v>
      </c>
      <c r="K6" s="329"/>
      <c r="M6" s="333"/>
    </row>
    <row r="7" spans="1:16" s="248" customFormat="1" ht="13">
      <c r="A7" s="240"/>
      <c r="B7" s="33"/>
      <c r="C7" s="33"/>
      <c r="D7" s="264" t="str">
        <f>'Cover Sheet'!D7</f>
        <v>Collection Period</v>
      </c>
      <c r="E7" s="265" t="s">
        <v>34</v>
      </c>
      <c r="F7" s="265" t="str">
        <f>'Cover Sheet'!F7</f>
        <v>01.09.2025</v>
      </c>
      <c r="G7" s="265" t="s">
        <v>4</v>
      </c>
      <c r="H7" s="265">
        <f>'Cover Sheet'!H7</f>
        <v>45930</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45940</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45944</v>
      </c>
      <c r="G3" s="250"/>
      <c r="H3" s="250"/>
      <c r="I3" s="250"/>
      <c r="J3" s="252"/>
      <c r="K3" s="253"/>
      <c r="L3" s="253"/>
      <c r="M3" s="33"/>
      <c r="N3" s="247"/>
    </row>
    <row r="4" spans="1:14" s="248" customFormat="1" ht="13">
      <c r="A4" s="240"/>
      <c r="B4" s="254"/>
      <c r="C4" s="254"/>
      <c r="D4" s="249" t="str">
        <f>'Cover Sheet'!D4</f>
        <v>Period  No</v>
      </c>
      <c r="E4" s="250"/>
      <c r="F4" s="255">
        <f>'Cover Sheet'!F4</f>
        <v>59</v>
      </c>
      <c r="G4" s="250"/>
      <c r="H4" s="256"/>
      <c r="I4" s="250"/>
      <c r="J4" s="257"/>
      <c r="K4" s="246"/>
      <c r="L4" s="246"/>
      <c r="M4" s="33"/>
      <c r="N4" s="247"/>
    </row>
    <row r="5" spans="1:14" s="248" customFormat="1" ht="18">
      <c r="A5" s="240"/>
      <c r="B5" s="258" t="s">
        <v>454</v>
      </c>
      <c r="C5" s="258"/>
      <c r="D5" s="249" t="str">
        <f>'Cover Sheet'!D5</f>
        <v>Monthly Period</v>
      </c>
      <c r="E5" s="250"/>
      <c r="F5" s="124">
        <f>'Cover Sheet'!F5</f>
        <v>45944</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45915</v>
      </c>
      <c r="G6" s="251" t="s">
        <v>4</v>
      </c>
      <c r="H6" s="251">
        <f>'Cover Sheet'!H6</f>
        <v>45944</v>
      </c>
      <c r="I6" s="261" t="s">
        <v>15</v>
      </c>
      <c r="J6" s="262" t="str">
        <f>'Cover Sheet'!J6</f>
        <v>29 days</v>
      </c>
      <c r="K6" s="253"/>
      <c r="L6" s="253"/>
      <c r="M6" s="33"/>
      <c r="N6" s="263"/>
    </row>
    <row r="7" spans="1:14" s="248" customFormat="1" ht="13">
      <c r="A7" s="240"/>
      <c r="B7" s="33"/>
      <c r="C7" s="33"/>
      <c r="D7" s="264" t="str">
        <f>'Cover Sheet'!D7</f>
        <v>Collection Period</v>
      </c>
      <c r="E7" s="265" t="s">
        <v>34</v>
      </c>
      <c r="F7" s="265" t="str">
        <f>'Cover Sheet'!F7</f>
        <v>01.09.2025</v>
      </c>
      <c r="G7" s="265" t="s">
        <v>4</v>
      </c>
      <c r="H7" s="265">
        <f>'Cover Sheet'!H7</f>
        <v>45930</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999" t="s">
        <v>257</v>
      </c>
      <c r="E17" s="1000"/>
      <c r="F17" s="1000"/>
      <c r="G17" s="999" t="s">
        <v>258</v>
      </c>
      <c r="H17" s="1000"/>
      <c r="I17" s="1001"/>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215930238.75000021</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1.8769999999999998E-2</v>
      </c>
      <c r="E31" s="87" t="s">
        <v>309</v>
      </c>
      <c r="G31" s="25"/>
      <c r="H31" s="33"/>
      <c r="I31" s="33"/>
      <c r="J31" s="25"/>
      <c r="K31" s="25"/>
      <c r="L31" s="25"/>
      <c r="M31" s="25"/>
      <c r="N31" s="274"/>
    </row>
    <row r="32" spans="1:14">
      <c r="A32" s="285"/>
      <c r="B32" s="45" t="s">
        <v>334</v>
      </c>
      <c r="C32" s="930">
        <f>VLOOKUP("Net_Swap_payments",calcdata_20,2,0)</f>
        <v>-425814.43</v>
      </c>
      <c r="E32" s="87" t="s">
        <v>208</v>
      </c>
      <c r="G32" s="25"/>
      <c r="H32" s="33"/>
      <c r="I32" s="33"/>
      <c r="J32" s="25"/>
      <c r="K32" s="25"/>
      <c r="L32" s="25"/>
      <c r="M32" s="25"/>
      <c r="N32" s="274"/>
    </row>
    <row r="33" spans="1:14">
      <c r="A33" s="285"/>
      <c r="B33" s="45" t="s">
        <v>335</v>
      </c>
      <c r="C33" s="930">
        <f>VLOOKUP("Swap_Notional_amount_next",calcdata_20,2,0)</f>
        <v>203326236.4500002</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30.09.2025, data source: Bloomberg</v>
      </c>
      <c r="C41" s="29"/>
      <c r="D41" s="1002" t="s">
        <v>539</v>
      </c>
      <c r="E41" s="1003"/>
      <c r="F41" s="1003"/>
      <c r="G41" s="1003"/>
      <c r="H41" s="1003"/>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21" t="str">
        <f>'Cover Sheet'!D2</f>
        <v>Calculation Date</v>
      </c>
      <c r="F2" s="1022"/>
      <c r="G2" s="110"/>
      <c r="H2" s="111">
        <f>'Cover Sheet'!F2</f>
        <v>45940</v>
      </c>
      <c r="I2" s="157"/>
      <c r="J2" s="110"/>
      <c r="K2" s="110"/>
      <c r="L2" s="112"/>
      <c r="M2" s="113"/>
      <c r="N2" s="101"/>
      <c r="O2" s="101"/>
    </row>
    <row r="3" spans="1:15" s="106" customFormat="1" ht="18">
      <c r="A3" s="107"/>
      <c r="B3" s="108" t="str">
        <f>'Cover Sheet'!B3</f>
        <v>Monthly Investor Report</v>
      </c>
      <c r="C3" s="108"/>
      <c r="D3" s="101"/>
      <c r="E3" s="1023" t="str">
        <f>'Cover Sheet'!D3</f>
        <v>Payment Date</v>
      </c>
      <c r="F3" s="1024"/>
      <c r="G3" s="117"/>
      <c r="H3" s="117">
        <f>'Cover Sheet'!F3</f>
        <v>45944</v>
      </c>
      <c r="I3" s="158"/>
      <c r="J3" s="116"/>
      <c r="K3" s="116"/>
      <c r="L3" s="118"/>
      <c r="M3" s="113"/>
      <c r="N3" s="101"/>
      <c r="O3" s="101"/>
    </row>
    <row r="4" spans="1:15" s="106" customFormat="1">
      <c r="A4" s="107"/>
      <c r="B4" s="159"/>
      <c r="C4" s="160"/>
      <c r="D4" s="101"/>
      <c r="E4" s="1023" t="str">
        <f>'Cover Sheet'!D4</f>
        <v>Period  No</v>
      </c>
      <c r="F4" s="1024"/>
      <c r="G4" s="120"/>
      <c r="H4" s="120">
        <f>'Cover Sheet'!F4</f>
        <v>59</v>
      </c>
      <c r="I4" s="161"/>
      <c r="J4" s="121"/>
      <c r="K4" s="116"/>
      <c r="L4" s="122"/>
      <c r="M4" s="113"/>
      <c r="N4" s="101"/>
      <c r="O4" s="101"/>
    </row>
    <row r="5" spans="1:15" s="106" customFormat="1" ht="18">
      <c r="A5" s="107"/>
      <c r="B5" s="162" t="s">
        <v>455</v>
      </c>
      <c r="C5" s="123"/>
      <c r="D5" s="101"/>
      <c r="E5" s="1023" t="str">
        <f>'Cover Sheet'!D5</f>
        <v>Monthly Period</v>
      </c>
      <c r="F5" s="1024"/>
      <c r="G5" s="163"/>
      <c r="H5" s="124">
        <f>'Cover Sheet'!F5</f>
        <v>45944</v>
      </c>
      <c r="I5" s="116"/>
      <c r="J5" s="121"/>
      <c r="K5" s="116"/>
      <c r="L5" s="122"/>
      <c r="M5" s="113"/>
      <c r="N5" s="101"/>
      <c r="O5" s="101"/>
    </row>
    <row r="6" spans="1:15" s="106" customFormat="1" ht="15" customHeight="1">
      <c r="A6" s="107"/>
      <c r="B6" s="125"/>
      <c r="C6" s="114"/>
      <c r="D6" s="101"/>
      <c r="E6" s="1017" t="str">
        <f>'Cover Sheet'!D6</f>
        <v>Interest Period</v>
      </c>
      <c r="F6" s="1018"/>
      <c r="G6" s="117" t="s">
        <v>34</v>
      </c>
      <c r="H6" s="117">
        <f>'Cover Sheet'!F6</f>
        <v>45915</v>
      </c>
      <c r="I6" s="117" t="s">
        <v>4</v>
      </c>
      <c r="J6" s="117">
        <f>'Cover Sheet'!$H$6</f>
        <v>45944</v>
      </c>
      <c r="K6" s="117" t="s">
        <v>15</v>
      </c>
      <c r="L6" s="164" t="str">
        <f>'Cover Sheet'!$J$6</f>
        <v>29 days</v>
      </c>
      <c r="M6" s="165"/>
      <c r="N6" s="101"/>
      <c r="O6" s="101"/>
    </row>
    <row r="7" spans="1:15" s="106" customFormat="1" ht="13">
      <c r="A7" s="107"/>
      <c r="B7" s="101"/>
      <c r="C7" s="101"/>
      <c r="D7" s="166"/>
      <c r="E7" s="1019" t="str">
        <f>'Cover Sheet'!D7</f>
        <v>Collection Period</v>
      </c>
      <c r="F7" s="1020"/>
      <c r="G7" s="132" t="s">
        <v>34</v>
      </c>
      <c r="H7" s="132" t="str">
        <f>'Cover Sheet'!F7</f>
        <v>01.09.2025</v>
      </c>
      <c r="I7" s="132" t="s">
        <v>4</v>
      </c>
      <c r="J7" s="132">
        <f>'Cover Sheet'!H7</f>
        <v>45930</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06" t="s">
        <v>257</v>
      </c>
      <c r="E25" s="1007"/>
      <c r="F25" s="1008"/>
      <c r="G25" s="1011" t="s">
        <v>258</v>
      </c>
      <c r="H25" s="1012"/>
      <c r="I25" s="1013"/>
      <c r="J25" s="1014"/>
      <c r="K25" s="1014"/>
      <c r="L25" s="1014"/>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15"/>
      <c r="C27" s="1016"/>
      <c r="D27" s="17"/>
      <c r="E27" s="17"/>
      <c r="F27" s="17"/>
      <c r="G27" s="17"/>
      <c r="H27" s="17"/>
      <c r="I27" s="17"/>
      <c r="J27" s="21"/>
      <c r="K27" s="21"/>
      <c r="L27" s="21"/>
      <c r="M27" s="172"/>
      <c r="N27" s="101"/>
      <c r="O27" s="101"/>
    </row>
    <row r="28" spans="1:15" ht="13">
      <c r="A28" s="182"/>
      <c r="B28" s="1009" t="s">
        <v>108</v>
      </c>
      <c r="C28" s="1010"/>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A3(cr)</v>
      </c>
      <c r="H28" s="1" t="str">
        <f>IF(VLOOKUP(B28,rating_c20,4,FALSE)="-",VLOOKUP(B28,rating_c20,5,FALSE),VLOOKUP(B28,rating_c20,4,FALSE))</f>
        <v>P-2(cr)</v>
      </c>
      <c r="I28" s="1" t="str">
        <f>VLOOKUP($B$28,rating_c20,6,FALSE)</f>
        <v>POS</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04" t="s">
        <v>114</v>
      </c>
      <c r="C30" s="1005"/>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A3(cr)</v>
      </c>
      <c r="H30" s="1" t="str">
        <f>IF(VLOOKUP(B30,rating_c20,4,FALSE)="-",VLOOKUP(B30,rating_c20,5,FALSE),VLOOKUP(B30,rating_c20,4,FALSE))</f>
        <v>P-2(cr)</v>
      </c>
      <c r="I30" s="1" t="str">
        <f>VLOOKUP($B$30,rating_c20,6,FALSE)</f>
        <v>POS</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04" t="s">
        <v>209</v>
      </c>
      <c r="C32" s="1005"/>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30.09.2025,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5" t="str">
        <f>'Cover Sheet'!D2</f>
        <v>Calculation Date</v>
      </c>
      <c r="F2" s="1022"/>
      <c r="G2" s="110"/>
      <c r="H2" s="111">
        <f>'Cover Sheet'!F2</f>
        <v>45940</v>
      </c>
      <c r="I2" s="157"/>
      <c r="J2" s="110"/>
      <c r="K2" s="110"/>
      <c r="L2" s="112"/>
      <c r="M2" s="10"/>
      <c r="N2" s="113"/>
      <c r="O2" s="101"/>
      <c r="P2" s="101"/>
    </row>
    <row r="3" spans="1:16" s="106" customFormat="1" ht="18">
      <c r="A3" s="107"/>
      <c r="B3" s="108" t="str">
        <f>'Cover Sheet'!B3</f>
        <v>Monthly Investor Report</v>
      </c>
      <c r="C3" s="108"/>
      <c r="D3" s="101"/>
      <c r="E3" s="1026" t="str">
        <f>'Cover Sheet'!D3</f>
        <v>Payment Date</v>
      </c>
      <c r="F3" s="1027"/>
      <c r="G3" s="117"/>
      <c r="H3" s="117">
        <f>'Cover Sheet'!F3</f>
        <v>45944</v>
      </c>
      <c r="I3" s="158"/>
      <c r="J3" s="116"/>
      <c r="K3" s="116"/>
      <c r="L3" s="118"/>
      <c r="M3" s="10"/>
      <c r="N3" s="113"/>
      <c r="O3" s="101"/>
      <c r="P3" s="101"/>
    </row>
    <row r="4" spans="1:16" s="106" customFormat="1" ht="15.5">
      <c r="A4" s="107"/>
      <c r="B4" s="159"/>
      <c r="C4" s="160"/>
      <c r="D4" s="101"/>
      <c r="E4" s="1026" t="str">
        <f>'Cover Sheet'!D4</f>
        <v>Period  No</v>
      </c>
      <c r="F4" s="1027"/>
      <c r="G4" s="120"/>
      <c r="H4" s="120">
        <f>'Cover Sheet'!F4</f>
        <v>59</v>
      </c>
      <c r="I4" s="161"/>
      <c r="J4" s="121"/>
      <c r="K4" s="116"/>
      <c r="L4" s="122"/>
      <c r="M4" s="10"/>
      <c r="N4" s="113"/>
      <c r="O4" s="101"/>
      <c r="P4" s="101"/>
    </row>
    <row r="5" spans="1:16" s="106" customFormat="1" ht="18">
      <c r="A5" s="107"/>
      <c r="B5" s="162" t="s">
        <v>456</v>
      </c>
      <c r="C5" s="123"/>
      <c r="D5" s="101"/>
      <c r="E5" s="1026" t="str">
        <f>'Cover Sheet'!D5</f>
        <v>Monthly Period</v>
      </c>
      <c r="F5" s="1027"/>
      <c r="G5" s="163"/>
      <c r="H5" s="124">
        <f>'Cover Sheet'!F5</f>
        <v>45944</v>
      </c>
      <c r="I5" s="116"/>
      <c r="J5" s="121"/>
      <c r="K5" s="116"/>
      <c r="L5" s="122"/>
      <c r="M5" s="10"/>
      <c r="N5" s="113"/>
      <c r="O5" s="101"/>
      <c r="P5" s="101"/>
    </row>
    <row r="6" spans="1:16" s="106" customFormat="1" ht="15" customHeight="1">
      <c r="A6" s="107"/>
      <c r="B6" s="125"/>
      <c r="C6" s="114"/>
      <c r="D6" s="101"/>
      <c r="E6" s="1017" t="str">
        <f>'Cover Sheet'!D6</f>
        <v>Interest Period</v>
      </c>
      <c r="F6" s="1018"/>
      <c r="G6" s="117" t="s">
        <v>34</v>
      </c>
      <c r="H6" s="117">
        <f>'Cover Sheet'!F6</f>
        <v>45915</v>
      </c>
      <c r="I6" s="117" t="s">
        <v>4</v>
      </c>
      <c r="J6" s="117">
        <f>'Cover Sheet'!$H$6</f>
        <v>45944</v>
      </c>
      <c r="K6" s="117" t="s">
        <v>15</v>
      </c>
      <c r="L6" s="164" t="str">
        <f>'Cover Sheet'!$J$6</f>
        <v>29 days</v>
      </c>
      <c r="M6" s="10"/>
      <c r="N6" s="165"/>
      <c r="O6" s="101"/>
      <c r="P6" s="101"/>
    </row>
    <row r="7" spans="1:16" s="106" customFormat="1" ht="15.5">
      <c r="A7" s="107"/>
      <c r="B7" s="101"/>
      <c r="C7" s="101"/>
      <c r="D7" s="166"/>
      <c r="E7" s="1019" t="str">
        <f>'Cover Sheet'!D7</f>
        <v>Collection Period</v>
      </c>
      <c r="F7" s="1020"/>
      <c r="G7" s="132" t="s">
        <v>34</v>
      </c>
      <c r="H7" s="132" t="str">
        <f>'Cover Sheet'!F7</f>
        <v>01.09.2025</v>
      </c>
      <c r="I7" s="132" t="s">
        <v>4</v>
      </c>
      <c r="J7" s="132">
        <f>'Cover Sheet'!H7</f>
        <v>45930</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36"/>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967</v>
      </c>
      <c r="C2">
        <v>10990</v>
      </c>
      <c r="D2">
        <v>10258146.680000035</v>
      </c>
    </row>
    <row r="3" spans="1:4">
      <c r="A3" t="s">
        <v>954</v>
      </c>
      <c r="B3" t="s">
        <v>968</v>
      </c>
      <c r="C3">
        <v>7097</v>
      </c>
      <c r="D3">
        <v>20732391.399999943</v>
      </c>
    </row>
    <row r="4" spans="1:4">
      <c r="A4" t="s">
        <v>954</v>
      </c>
      <c r="B4" t="s">
        <v>969</v>
      </c>
      <c r="C4">
        <v>4878</v>
      </c>
      <c r="D4">
        <v>24056597.710000001</v>
      </c>
    </row>
    <row r="5" spans="1:4">
      <c r="A5" t="s">
        <v>954</v>
      </c>
      <c r="B5" t="s">
        <v>970</v>
      </c>
      <c r="C5">
        <v>3789</v>
      </c>
      <c r="D5">
        <v>26408710.629999954</v>
      </c>
    </row>
    <row r="6" spans="1:4">
      <c r="A6" t="s">
        <v>954</v>
      </c>
      <c r="B6" t="s">
        <v>971</v>
      </c>
      <c r="C6">
        <v>2865</v>
      </c>
      <c r="D6">
        <v>25629557.790000081</v>
      </c>
    </row>
    <row r="7" spans="1:4">
      <c r="A7" t="s">
        <v>954</v>
      </c>
      <c r="B7" t="s">
        <v>972</v>
      </c>
      <c r="C7">
        <v>2086</v>
      </c>
      <c r="D7">
        <v>22792193.809999943</v>
      </c>
    </row>
    <row r="8" spans="1:4">
      <c r="A8" t="s">
        <v>954</v>
      </c>
      <c r="B8" t="s">
        <v>973</v>
      </c>
      <c r="C8">
        <v>1470</v>
      </c>
      <c r="D8">
        <v>19032853.020000011</v>
      </c>
    </row>
    <row r="9" spans="1:4">
      <c r="A9" t="s">
        <v>954</v>
      </c>
      <c r="B9" t="s">
        <v>974</v>
      </c>
      <c r="C9">
        <v>1100</v>
      </c>
      <c r="D9">
        <v>16464230.339999992</v>
      </c>
    </row>
    <row r="10" spans="1:4">
      <c r="A10" t="s">
        <v>954</v>
      </c>
      <c r="B10" t="s">
        <v>975</v>
      </c>
      <c r="C10">
        <v>827</v>
      </c>
      <c r="D10">
        <v>14002744.149999995</v>
      </c>
    </row>
    <row r="11" spans="1:4">
      <c r="A11" t="s">
        <v>954</v>
      </c>
      <c r="B11" t="s">
        <v>976</v>
      </c>
      <c r="C11">
        <v>596</v>
      </c>
      <c r="D11">
        <v>11319842.159999998</v>
      </c>
    </row>
    <row r="12" spans="1:4">
      <c r="A12" t="s">
        <v>954</v>
      </c>
      <c r="B12" t="s">
        <v>977</v>
      </c>
      <c r="C12">
        <v>451</v>
      </c>
      <c r="D12">
        <v>9430599.6300000045</v>
      </c>
    </row>
    <row r="13" spans="1:4">
      <c r="A13" t="s">
        <v>954</v>
      </c>
      <c r="B13" t="s">
        <v>978</v>
      </c>
      <c r="C13">
        <v>402</v>
      </c>
      <c r="D13">
        <v>9243095.9399999958</v>
      </c>
    </row>
    <row r="14" spans="1:4">
      <c r="A14" t="s">
        <v>954</v>
      </c>
      <c r="B14" t="s">
        <v>979</v>
      </c>
      <c r="C14">
        <v>285</v>
      </c>
      <c r="D14">
        <v>7113699.1999999974</v>
      </c>
    </row>
    <row r="15" spans="1:4">
      <c r="A15" t="s">
        <v>954</v>
      </c>
      <c r="B15" t="s">
        <v>980</v>
      </c>
      <c r="C15">
        <v>226</v>
      </c>
      <c r="D15">
        <v>6096260.0300000012</v>
      </c>
    </row>
    <row r="16" spans="1:4">
      <c r="A16" t="s">
        <v>954</v>
      </c>
      <c r="B16" t="s">
        <v>981</v>
      </c>
      <c r="C16">
        <v>155</v>
      </c>
      <c r="D16">
        <v>4479471.2</v>
      </c>
    </row>
    <row r="17" spans="1:4">
      <c r="A17" t="s">
        <v>954</v>
      </c>
      <c r="B17" t="s">
        <v>982</v>
      </c>
      <c r="C17">
        <v>125</v>
      </c>
      <c r="D17">
        <v>3867809.7499999991</v>
      </c>
    </row>
    <row r="18" spans="1:4">
      <c r="A18" t="s">
        <v>954</v>
      </c>
      <c r="B18" t="s">
        <v>983</v>
      </c>
      <c r="C18">
        <v>91</v>
      </c>
      <c r="D18">
        <v>2999422.0100000012</v>
      </c>
    </row>
    <row r="19" spans="1:4">
      <c r="A19" t="s">
        <v>954</v>
      </c>
      <c r="B19" t="s">
        <v>984</v>
      </c>
      <c r="C19">
        <v>76</v>
      </c>
      <c r="D19">
        <v>2649698.7999999989</v>
      </c>
    </row>
    <row r="20" spans="1:4">
      <c r="A20" t="s">
        <v>954</v>
      </c>
      <c r="B20" t="s">
        <v>985</v>
      </c>
      <c r="C20">
        <v>48</v>
      </c>
      <c r="D20">
        <v>1766834.6300000001</v>
      </c>
    </row>
    <row r="21" spans="1:4">
      <c r="A21" t="s">
        <v>954</v>
      </c>
      <c r="B21" t="s">
        <v>986</v>
      </c>
      <c r="C21">
        <v>33</v>
      </c>
      <c r="D21">
        <v>1284933.6900000002</v>
      </c>
    </row>
    <row r="22" spans="1:4">
      <c r="A22" t="s">
        <v>954</v>
      </c>
      <c r="B22" t="s">
        <v>987</v>
      </c>
      <c r="C22">
        <v>24</v>
      </c>
      <c r="D22">
        <v>983935.3400000002</v>
      </c>
    </row>
    <row r="23" spans="1:4">
      <c r="A23" t="s">
        <v>954</v>
      </c>
      <c r="B23" t="s">
        <v>988</v>
      </c>
      <c r="C23">
        <v>14</v>
      </c>
      <c r="D23">
        <v>604172.46</v>
      </c>
    </row>
    <row r="24" spans="1:4">
      <c r="A24" t="s">
        <v>954</v>
      </c>
      <c r="B24" t="s">
        <v>989</v>
      </c>
      <c r="C24">
        <v>11</v>
      </c>
      <c r="D24">
        <v>492759.44000000006</v>
      </c>
    </row>
    <row r="25" spans="1:4">
      <c r="A25" t="s">
        <v>954</v>
      </c>
      <c r="B25" t="s">
        <v>990</v>
      </c>
      <c r="C25">
        <v>10</v>
      </c>
      <c r="D25">
        <v>469583.05</v>
      </c>
    </row>
    <row r="26" spans="1:4">
      <c r="A26" t="s">
        <v>954</v>
      </c>
      <c r="B26" t="s">
        <v>991</v>
      </c>
      <c r="C26">
        <v>8</v>
      </c>
      <c r="D26">
        <v>390480.15</v>
      </c>
    </row>
    <row r="27" spans="1:4">
      <c r="A27" t="s">
        <v>954</v>
      </c>
      <c r="B27" t="s">
        <v>992</v>
      </c>
      <c r="C27">
        <v>7</v>
      </c>
      <c r="D27">
        <v>358576.31</v>
      </c>
    </row>
    <row r="28" spans="1:4">
      <c r="A28" t="s">
        <v>954</v>
      </c>
      <c r="B28" t="s">
        <v>993</v>
      </c>
      <c r="C28">
        <v>4</v>
      </c>
      <c r="D28">
        <v>213348.15</v>
      </c>
    </row>
    <row r="29" spans="1:4">
      <c r="A29" t="s">
        <v>954</v>
      </c>
      <c r="B29" t="s">
        <v>994</v>
      </c>
      <c r="C29">
        <v>2</v>
      </c>
      <c r="D29">
        <v>109500.45999999999</v>
      </c>
    </row>
    <row r="30" spans="1:4">
      <c r="A30" t="s">
        <v>954</v>
      </c>
      <c r="B30" t="s">
        <v>995</v>
      </c>
      <c r="C30">
        <v>2</v>
      </c>
      <c r="D30">
        <v>113053.35</v>
      </c>
    </row>
    <row r="31" spans="1:4">
      <c r="A31" t="s">
        <v>954</v>
      </c>
      <c r="B31" t="s">
        <v>996</v>
      </c>
      <c r="C31">
        <v>2</v>
      </c>
      <c r="D31">
        <v>119076.45999999999</v>
      </c>
    </row>
    <row r="32" spans="1:4">
      <c r="A32" t="s">
        <v>955</v>
      </c>
      <c r="B32" t="s">
        <v>997</v>
      </c>
      <c r="C32">
        <v>0</v>
      </c>
      <c r="D32">
        <v>0</v>
      </c>
    </row>
    <row r="33" spans="1:4">
      <c r="A33" t="s">
        <v>955</v>
      </c>
      <c r="B33" t="s">
        <v>998</v>
      </c>
      <c r="C33">
        <v>0</v>
      </c>
      <c r="D33">
        <v>0</v>
      </c>
    </row>
    <row r="34" spans="1:4">
      <c r="A34" t="s">
        <v>955</v>
      </c>
      <c r="B34" t="s">
        <v>999</v>
      </c>
      <c r="C34">
        <v>0</v>
      </c>
      <c r="D34">
        <v>0</v>
      </c>
    </row>
    <row r="35" spans="1:4">
      <c r="A35" t="s">
        <v>954</v>
      </c>
      <c r="B35" t="s">
        <v>1000</v>
      </c>
      <c r="C35">
        <v>2</v>
      </c>
      <c r="D35">
        <v>134135.94</v>
      </c>
    </row>
    <row r="36" spans="1:4">
      <c r="A36" t="s">
        <v>954</v>
      </c>
      <c r="B36" t="s">
        <v>1001</v>
      </c>
      <c r="C36">
        <v>2</v>
      </c>
      <c r="D36">
        <v>138365.32999999999</v>
      </c>
    </row>
    <row r="37" spans="1:4">
      <c r="A37" t="s">
        <v>954</v>
      </c>
      <c r="B37" t="s">
        <v>1002</v>
      </c>
      <c r="C37">
        <v>1</v>
      </c>
      <c r="D37">
        <v>70061.62</v>
      </c>
    </row>
    <row r="38" spans="1:4">
      <c r="A38" t="s">
        <v>955</v>
      </c>
      <c r="B38" t="s">
        <v>1003</v>
      </c>
      <c r="C38">
        <v>0</v>
      </c>
      <c r="D38">
        <v>0</v>
      </c>
    </row>
    <row r="39" spans="1:4">
      <c r="A39" t="s">
        <v>955</v>
      </c>
      <c r="B39" t="s">
        <v>1004</v>
      </c>
      <c r="C39">
        <v>0</v>
      </c>
      <c r="D39">
        <v>0</v>
      </c>
    </row>
    <row r="40" spans="1:4">
      <c r="A40" t="s">
        <v>955</v>
      </c>
      <c r="B40" t="s">
        <v>1005</v>
      </c>
      <c r="C40">
        <v>0</v>
      </c>
      <c r="D40">
        <v>0</v>
      </c>
    </row>
    <row r="41" spans="1:4">
      <c r="A41" t="s">
        <v>955</v>
      </c>
      <c r="B41" t="s">
        <v>1006</v>
      </c>
      <c r="C41">
        <v>0</v>
      </c>
      <c r="D41">
        <v>0</v>
      </c>
    </row>
    <row r="42" spans="1:4">
      <c r="A42" t="s">
        <v>955</v>
      </c>
      <c r="B42" t="s">
        <v>1007</v>
      </c>
      <c r="C42">
        <v>0</v>
      </c>
      <c r="D42">
        <v>0</v>
      </c>
    </row>
    <row r="43" spans="1:4">
      <c r="A43" t="s">
        <v>954</v>
      </c>
      <c r="B43" t="s">
        <v>1008</v>
      </c>
      <c r="D43">
        <v>95</v>
      </c>
    </row>
    <row r="44" spans="1:4">
      <c r="A44" t="s">
        <v>954</v>
      </c>
      <c r="B44" t="s">
        <v>1009</v>
      </c>
      <c r="C44">
        <v>522</v>
      </c>
      <c r="D44">
        <v>701787.38999999955</v>
      </c>
    </row>
    <row r="45" spans="1:4">
      <c r="A45" t="s">
        <v>954</v>
      </c>
      <c r="B45" t="s">
        <v>1010</v>
      </c>
      <c r="C45">
        <v>578</v>
      </c>
      <c r="D45">
        <v>2002240.71</v>
      </c>
    </row>
    <row r="46" spans="1:4">
      <c r="A46" t="s">
        <v>954</v>
      </c>
      <c r="B46" t="s">
        <v>1011</v>
      </c>
      <c r="C46">
        <v>2705</v>
      </c>
      <c r="D46">
        <v>17227263.019999992</v>
      </c>
    </row>
    <row r="47" spans="1:4">
      <c r="A47" t="s">
        <v>954</v>
      </c>
      <c r="B47" t="s">
        <v>1012</v>
      </c>
      <c r="C47">
        <v>5004</v>
      </c>
      <c r="D47">
        <v>29891687.07999989</v>
      </c>
    </row>
    <row r="48" spans="1:4">
      <c r="A48" t="s">
        <v>954</v>
      </c>
      <c r="B48" t="s">
        <v>1013</v>
      </c>
      <c r="C48">
        <v>8559</v>
      </c>
      <c r="D48">
        <v>50653444.360000059</v>
      </c>
    </row>
    <row r="49" spans="1:4">
      <c r="A49" t="s">
        <v>954</v>
      </c>
      <c r="B49" t="s">
        <v>1014</v>
      </c>
      <c r="C49">
        <v>7319</v>
      </c>
      <c r="D49">
        <v>50784754.559999838</v>
      </c>
    </row>
    <row r="50" spans="1:4">
      <c r="A50" t="s">
        <v>954</v>
      </c>
      <c r="B50" t="s">
        <v>1015</v>
      </c>
      <c r="C50">
        <v>6245</v>
      </c>
      <c r="D50">
        <v>50299722.019999981</v>
      </c>
    </row>
    <row r="51" spans="1:4">
      <c r="A51" t="s">
        <v>954</v>
      </c>
      <c r="B51" t="s">
        <v>1016</v>
      </c>
      <c r="C51">
        <v>4675</v>
      </c>
      <c r="D51">
        <v>29151739.750000037</v>
      </c>
    </row>
    <row r="52" spans="1:4">
      <c r="A52" t="s">
        <v>954</v>
      </c>
      <c r="B52" t="s">
        <v>1017</v>
      </c>
      <c r="C52">
        <v>1373</v>
      </c>
      <c r="D52">
        <v>9171117.9100000057</v>
      </c>
    </row>
    <row r="53" spans="1:4">
      <c r="A53" t="s">
        <v>954</v>
      </c>
      <c r="B53" t="s">
        <v>1018</v>
      </c>
      <c r="C53">
        <v>560</v>
      </c>
      <c r="D53">
        <v>3069131.8299999982</v>
      </c>
    </row>
    <row r="54" spans="1:4">
      <c r="A54" t="s">
        <v>954</v>
      </c>
      <c r="B54" t="s">
        <v>1019</v>
      </c>
      <c r="C54">
        <v>107</v>
      </c>
      <c r="D54">
        <v>665131.36000000022</v>
      </c>
    </row>
    <row r="55" spans="1:4">
      <c r="A55" t="s">
        <v>954</v>
      </c>
      <c r="B55" t="s">
        <v>1020</v>
      </c>
      <c r="C55">
        <v>23</v>
      </c>
      <c r="D55">
        <v>160305.83000000005</v>
      </c>
    </row>
    <row r="56" spans="1:4">
      <c r="A56" t="s">
        <v>954</v>
      </c>
      <c r="B56" t="s">
        <v>1021</v>
      </c>
      <c r="C56">
        <v>8</v>
      </c>
      <c r="D56">
        <v>43920.930000000008</v>
      </c>
    </row>
    <row r="57" spans="1:4">
      <c r="A57" t="s">
        <v>954</v>
      </c>
      <c r="B57" t="s">
        <v>1022</v>
      </c>
      <c r="C57">
        <v>1</v>
      </c>
      <c r="D57">
        <v>3893.88</v>
      </c>
    </row>
    <row r="58" spans="1:4">
      <c r="A58" t="s">
        <v>954</v>
      </c>
      <c r="B58" t="s">
        <v>1023</v>
      </c>
      <c r="D58">
        <v>37679</v>
      </c>
    </row>
    <row r="59" spans="1:4">
      <c r="A59" t="s">
        <v>954</v>
      </c>
      <c r="B59" t="s">
        <v>1024</v>
      </c>
      <c r="D59">
        <v>38863</v>
      </c>
    </row>
    <row r="60" spans="1:4">
      <c r="A60" t="s">
        <v>954</v>
      </c>
      <c r="B60" t="s">
        <v>1025</v>
      </c>
      <c r="C60">
        <v>725</v>
      </c>
      <c r="D60">
        <v>952852.64999999944</v>
      </c>
    </row>
    <row r="61" spans="1:4">
      <c r="A61" t="s">
        <v>954</v>
      </c>
      <c r="B61" t="s">
        <v>1026</v>
      </c>
      <c r="C61">
        <v>2801</v>
      </c>
      <c r="D61">
        <v>8247504.4199999524</v>
      </c>
    </row>
    <row r="62" spans="1:4">
      <c r="A62" t="s">
        <v>954</v>
      </c>
      <c r="B62" t="s">
        <v>1027</v>
      </c>
      <c r="C62">
        <v>3618</v>
      </c>
      <c r="D62">
        <v>17805992.919999957</v>
      </c>
    </row>
    <row r="63" spans="1:4">
      <c r="A63" t="s">
        <v>954</v>
      </c>
      <c r="B63" t="s">
        <v>1028</v>
      </c>
      <c r="C63">
        <v>2876</v>
      </c>
      <c r="D63">
        <v>19631116.470000062</v>
      </c>
    </row>
    <row r="64" spans="1:4">
      <c r="A64" t="s">
        <v>954</v>
      </c>
      <c r="B64" t="s">
        <v>1029</v>
      </c>
      <c r="C64">
        <v>2285</v>
      </c>
      <c r="D64">
        <v>20186007.040000036</v>
      </c>
    </row>
    <row r="65" spans="1:4">
      <c r="A65" t="s">
        <v>954</v>
      </c>
      <c r="B65" t="s">
        <v>1030</v>
      </c>
      <c r="C65">
        <v>3225</v>
      </c>
      <c r="D65">
        <v>34427927.70000004</v>
      </c>
    </row>
    <row r="66" spans="1:4">
      <c r="A66" t="s">
        <v>954</v>
      </c>
      <c r="B66" t="s">
        <v>1031</v>
      </c>
      <c r="C66">
        <v>2110</v>
      </c>
      <c r="D66">
        <v>27022575.300000019</v>
      </c>
    </row>
    <row r="67" spans="1:4">
      <c r="A67" t="s">
        <v>954</v>
      </c>
      <c r="B67" t="s">
        <v>1032</v>
      </c>
      <c r="C67">
        <v>2203</v>
      </c>
      <c r="D67">
        <v>32966087.930000015</v>
      </c>
    </row>
    <row r="68" spans="1:4">
      <c r="A68" t="s">
        <v>954</v>
      </c>
      <c r="B68" t="s">
        <v>1033</v>
      </c>
      <c r="C68">
        <v>1785</v>
      </c>
      <c r="D68">
        <v>30222096.490000028</v>
      </c>
    </row>
    <row r="69" spans="1:4">
      <c r="A69" t="s">
        <v>954</v>
      </c>
      <c r="B69" t="s">
        <v>1034</v>
      </c>
      <c r="C69">
        <v>1561</v>
      </c>
      <c r="D69">
        <v>29451798.059999995</v>
      </c>
    </row>
    <row r="70" spans="1:4">
      <c r="A70" t="s">
        <v>954</v>
      </c>
      <c r="B70" t="s">
        <v>1035</v>
      </c>
      <c r="C70">
        <v>2182</v>
      </c>
      <c r="D70">
        <v>45002369.539999947</v>
      </c>
    </row>
    <row r="71" spans="1:4">
      <c r="A71" t="s">
        <v>954</v>
      </c>
      <c r="B71" t="s">
        <v>1036</v>
      </c>
      <c r="C71">
        <v>1383</v>
      </c>
      <c r="D71">
        <v>31707478.260000017</v>
      </c>
    </row>
    <row r="72" spans="1:4">
      <c r="A72" t="s">
        <v>954</v>
      </c>
      <c r="B72" t="s">
        <v>1037</v>
      </c>
      <c r="C72">
        <v>1666</v>
      </c>
      <c r="D72">
        <v>41545263.060000099</v>
      </c>
    </row>
    <row r="73" spans="1:4">
      <c r="A73" t="s">
        <v>954</v>
      </c>
      <c r="B73" t="s">
        <v>1038</v>
      </c>
      <c r="C73">
        <v>1100</v>
      </c>
      <c r="D73">
        <v>29603432.610000022</v>
      </c>
    </row>
    <row r="74" spans="1:4">
      <c r="A74" t="s">
        <v>954</v>
      </c>
      <c r="B74" t="s">
        <v>1039</v>
      </c>
      <c r="C74">
        <v>976</v>
      </c>
      <c r="D74">
        <v>28267254.740000013</v>
      </c>
    </row>
    <row r="75" spans="1:4">
      <c r="A75" t="s">
        <v>954</v>
      </c>
      <c r="B75" t="s">
        <v>1040</v>
      </c>
      <c r="C75">
        <v>1050</v>
      </c>
      <c r="D75">
        <v>32179989.679999985</v>
      </c>
    </row>
    <row r="76" spans="1:4">
      <c r="A76" t="s">
        <v>954</v>
      </c>
      <c r="B76" t="s">
        <v>1041</v>
      </c>
      <c r="C76">
        <v>658</v>
      </c>
      <c r="D76">
        <v>21630177.03999998</v>
      </c>
    </row>
    <row r="77" spans="1:4">
      <c r="A77" t="s">
        <v>954</v>
      </c>
      <c r="B77" t="s">
        <v>1042</v>
      </c>
      <c r="C77">
        <v>721</v>
      </c>
      <c r="D77">
        <v>25199834.650000013</v>
      </c>
    </row>
    <row r="78" spans="1:4">
      <c r="A78" t="s">
        <v>954</v>
      </c>
      <c r="B78" t="s">
        <v>1043</v>
      </c>
      <c r="C78">
        <v>520</v>
      </c>
      <c r="D78">
        <v>19215923.600000009</v>
      </c>
    </row>
    <row r="79" spans="1:4">
      <c r="A79" t="s">
        <v>954</v>
      </c>
      <c r="B79" t="s">
        <v>1044</v>
      </c>
      <c r="C79">
        <v>475</v>
      </c>
      <c r="D79">
        <v>18498760.20999999</v>
      </c>
    </row>
    <row r="80" spans="1:4">
      <c r="A80" t="s">
        <v>954</v>
      </c>
      <c r="B80" t="s">
        <v>1045</v>
      </c>
      <c r="C80">
        <v>535</v>
      </c>
      <c r="D80">
        <v>21768806.159999989</v>
      </c>
    </row>
    <row r="81" spans="1:4">
      <c r="A81" t="s">
        <v>954</v>
      </c>
      <c r="B81" t="s">
        <v>1046</v>
      </c>
      <c r="C81">
        <v>346</v>
      </c>
      <c r="D81">
        <v>14841463.750000013</v>
      </c>
    </row>
    <row r="82" spans="1:4">
      <c r="A82" t="s">
        <v>954</v>
      </c>
      <c r="B82" t="s">
        <v>1047</v>
      </c>
      <c r="C82">
        <v>361</v>
      </c>
      <c r="D82">
        <v>16231144.959999988</v>
      </c>
    </row>
    <row r="83" spans="1:4">
      <c r="A83" t="s">
        <v>954</v>
      </c>
      <c r="B83" t="s">
        <v>1048</v>
      </c>
      <c r="C83">
        <v>251</v>
      </c>
      <c r="D83">
        <v>11778794.030000003</v>
      </c>
    </row>
    <row r="84" spans="1:4">
      <c r="A84" t="s">
        <v>954</v>
      </c>
      <c r="B84" t="s">
        <v>1049</v>
      </c>
      <c r="C84">
        <v>237</v>
      </c>
      <c r="D84">
        <v>11607101.229999995</v>
      </c>
    </row>
    <row r="85" spans="1:4">
      <c r="A85" t="s">
        <v>954</v>
      </c>
      <c r="B85" t="s">
        <v>1050</v>
      </c>
      <c r="C85">
        <v>407</v>
      </c>
      <c r="D85">
        <v>20533352.419999998</v>
      </c>
    </row>
    <row r="86" spans="1:4">
      <c r="A86" t="s">
        <v>954</v>
      </c>
      <c r="B86" t="s">
        <v>1051</v>
      </c>
      <c r="C86">
        <v>221</v>
      </c>
      <c r="D86">
        <v>11729422.570000006</v>
      </c>
    </row>
    <row r="87" spans="1:4">
      <c r="A87" t="s">
        <v>954</v>
      </c>
      <c r="B87" t="s">
        <v>1052</v>
      </c>
      <c r="C87">
        <v>206</v>
      </c>
      <c r="D87">
        <v>11310796.489999993</v>
      </c>
    </row>
    <row r="88" spans="1:4">
      <c r="A88" t="s">
        <v>954</v>
      </c>
      <c r="B88" t="s">
        <v>1053</v>
      </c>
      <c r="C88">
        <v>146</v>
      </c>
      <c r="D88">
        <v>8311659.7999999989</v>
      </c>
    </row>
    <row r="89" spans="1:4">
      <c r="A89" t="s">
        <v>954</v>
      </c>
      <c r="B89" t="s">
        <v>1054</v>
      </c>
      <c r="C89">
        <v>129</v>
      </c>
      <c r="D89">
        <v>7601229.879999999</v>
      </c>
    </row>
    <row r="90" spans="1:4">
      <c r="A90" t="s">
        <v>954</v>
      </c>
      <c r="B90" t="s">
        <v>1055</v>
      </c>
      <c r="C90">
        <v>239</v>
      </c>
      <c r="D90">
        <v>14430799.329999998</v>
      </c>
    </row>
    <row r="91" spans="1:4">
      <c r="A91" t="s">
        <v>954</v>
      </c>
      <c r="B91" t="s">
        <v>1056</v>
      </c>
      <c r="C91">
        <v>93</v>
      </c>
      <c r="D91">
        <v>5859131.3399999989</v>
      </c>
    </row>
    <row r="92" spans="1:4">
      <c r="A92" t="s">
        <v>954</v>
      </c>
      <c r="B92" t="s">
        <v>1057</v>
      </c>
      <c r="C92">
        <v>99</v>
      </c>
      <c r="D92">
        <v>6413630.4400000004</v>
      </c>
    </row>
    <row r="93" spans="1:4">
      <c r="A93" t="s">
        <v>954</v>
      </c>
      <c r="B93" t="s">
        <v>1058</v>
      </c>
      <c r="C93">
        <v>61</v>
      </c>
      <c r="D93">
        <v>4074039.1199999996</v>
      </c>
    </row>
    <row r="94" spans="1:4">
      <c r="A94" t="s">
        <v>954</v>
      </c>
      <c r="B94" t="s">
        <v>1059</v>
      </c>
      <c r="C94">
        <v>77</v>
      </c>
      <c r="D94">
        <v>5309868.1399999987</v>
      </c>
    </row>
    <row r="95" spans="1:4">
      <c r="A95" t="s">
        <v>954</v>
      </c>
      <c r="B95" t="s">
        <v>1060</v>
      </c>
      <c r="C95">
        <v>67</v>
      </c>
      <c r="D95">
        <v>4750455.5199999996</v>
      </c>
    </row>
    <row r="96" spans="1:4">
      <c r="A96" t="s">
        <v>954</v>
      </c>
      <c r="B96" t="s">
        <v>1061</v>
      </c>
      <c r="C96">
        <v>52</v>
      </c>
      <c r="D96">
        <v>3797802.08</v>
      </c>
    </row>
    <row r="97" spans="1:4">
      <c r="A97" t="s">
        <v>954</v>
      </c>
      <c r="B97" t="s">
        <v>1062</v>
      </c>
      <c r="C97">
        <v>59</v>
      </c>
      <c r="D97">
        <v>4420948.9800000004</v>
      </c>
    </row>
    <row r="98" spans="1:4">
      <c r="A98" t="s">
        <v>954</v>
      </c>
      <c r="B98" t="s">
        <v>1063</v>
      </c>
      <c r="C98">
        <v>17</v>
      </c>
      <c r="D98">
        <v>1311573.05</v>
      </c>
    </row>
    <row r="99" spans="1:4">
      <c r="A99" t="s">
        <v>954</v>
      </c>
      <c r="B99" t="s">
        <v>1064</v>
      </c>
      <c r="C99">
        <v>23</v>
      </c>
      <c r="D99">
        <v>1815656.0600000003</v>
      </c>
    </row>
    <row r="100" spans="1:4">
      <c r="A100" t="s">
        <v>954</v>
      </c>
      <c r="B100" t="s">
        <v>1065</v>
      </c>
      <c r="C100">
        <v>27</v>
      </c>
      <c r="D100">
        <v>2188099.34</v>
      </c>
    </row>
    <row r="101" spans="1:4">
      <c r="A101" t="s">
        <v>954</v>
      </c>
      <c r="B101" t="s">
        <v>1066</v>
      </c>
      <c r="C101">
        <v>21</v>
      </c>
      <c r="D101">
        <v>1742563.56</v>
      </c>
    </row>
    <row r="102" spans="1:4">
      <c r="A102" t="s">
        <v>954</v>
      </c>
      <c r="B102" t="s">
        <v>1067</v>
      </c>
      <c r="C102">
        <v>32</v>
      </c>
      <c r="D102">
        <v>2714683.8600000003</v>
      </c>
    </row>
    <row r="103" spans="1:4">
      <c r="A103" t="s">
        <v>954</v>
      </c>
      <c r="B103" t="s">
        <v>1068</v>
      </c>
      <c r="C103">
        <v>12</v>
      </c>
      <c r="D103">
        <v>1044437.9500000001</v>
      </c>
    </row>
    <row r="104" spans="1:4">
      <c r="A104" t="s">
        <v>954</v>
      </c>
      <c r="B104" t="s">
        <v>1069</v>
      </c>
      <c r="C104">
        <v>9</v>
      </c>
      <c r="D104">
        <v>800259.36</v>
      </c>
    </row>
    <row r="105" spans="1:4">
      <c r="A105" t="s">
        <v>954</v>
      </c>
      <c r="B105" t="s">
        <v>1070</v>
      </c>
      <c r="C105">
        <v>2</v>
      </c>
      <c r="D105">
        <v>181070.93</v>
      </c>
    </row>
    <row r="106" spans="1:4">
      <c r="A106" t="s">
        <v>954</v>
      </c>
      <c r="B106" t="s">
        <v>1071</v>
      </c>
      <c r="C106">
        <v>6</v>
      </c>
      <c r="D106">
        <v>556845.49</v>
      </c>
    </row>
    <row r="107" spans="1:4">
      <c r="A107" t="s">
        <v>954</v>
      </c>
      <c r="B107" t="s">
        <v>1072</v>
      </c>
      <c r="C107">
        <v>3</v>
      </c>
      <c r="D107">
        <v>285313.62</v>
      </c>
    </row>
    <row r="108" spans="1:4">
      <c r="A108" t="s">
        <v>954</v>
      </c>
      <c r="B108" t="s">
        <v>1073</v>
      </c>
      <c r="C108">
        <v>6</v>
      </c>
      <c r="D108">
        <v>581644.27</v>
      </c>
    </row>
    <row r="109" spans="1:4">
      <c r="A109" t="s">
        <v>954</v>
      </c>
      <c r="B109" t="s">
        <v>1074</v>
      </c>
      <c r="C109">
        <v>5</v>
      </c>
      <c r="D109">
        <v>496306.37</v>
      </c>
    </row>
    <row r="110" spans="1:4">
      <c r="A110" t="s">
        <v>954</v>
      </c>
      <c r="B110" t="s">
        <v>1075</v>
      </c>
      <c r="C110">
        <v>10</v>
      </c>
      <c r="D110">
        <v>1087535.8800000001</v>
      </c>
    </row>
    <row r="111" spans="1:4">
      <c r="A111" t="s">
        <v>956</v>
      </c>
      <c r="B111" t="s">
        <v>1076</v>
      </c>
      <c r="D111">
        <v>11118378.049999993</v>
      </c>
    </row>
    <row r="112" spans="1:4">
      <c r="A112" t="s">
        <v>954</v>
      </c>
      <c r="B112" t="s">
        <v>1077</v>
      </c>
      <c r="C112">
        <v>1</v>
      </c>
      <c r="D112">
        <v>70061.62</v>
      </c>
    </row>
    <row r="113" spans="1:4">
      <c r="A113" t="s">
        <v>954</v>
      </c>
      <c r="B113" t="s">
        <v>1078</v>
      </c>
      <c r="C113">
        <v>1</v>
      </c>
      <c r="D113">
        <v>55106.29</v>
      </c>
    </row>
    <row r="114" spans="1:4">
      <c r="A114" t="s">
        <v>954</v>
      </c>
      <c r="B114" t="s">
        <v>1079</v>
      </c>
      <c r="C114">
        <v>1</v>
      </c>
      <c r="D114">
        <v>54394.17</v>
      </c>
    </row>
    <row r="115" spans="1:4">
      <c r="A115" t="s">
        <v>954</v>
      </c>
      <c r="B115" t="s">
        <v>1080</v>
      </c>
      <c r="C115">
        <v>1</v>
      </c>
      <c r="D115">
        <v>53769.03</v>
      </c>
    </row>
    <row r="116" spans="1:4">
      <c r="A116" t="s">
        <v>954</v>
      </c>
      <c r="B116" t="s">
        <v>1081</v>
      </c>
      <c r="C116">
        <v>1</v>
      </c>
      <c r="D116">
        <v>53671.14</v>
      </c>
    </row>
    <row r="117" spans="1:4">
      <c r="A117" t="s">
        <v>954</v>
      </c>
      <c r="B117" t="s">
        <v>1082</v>
      </c>
      <c r="C117">
        <v>1</v>
      </c>
      <c r="D117">
        <v>53250.62</v>
      </c>
    </row>
    <row r="118" spans="1:4">
      <c r="A118" t="s">
        <v>954</v>
      </c>
      <c r="B118" t="s">
        <v>1083</v>
      </c>
      <c r="C118">
        <v>1</v>
      </c>
      <c r="D118">
        <v>52657.36</v>
      </c>
    </row>
    <row r="119" spans="1:4">
      <c r="A119" t="s">
        <v>954</v>
      </c>
      <c r="B119" t="s">
        <v>1084</v>
      </c>
      <c r="C119">
        <v>1</v>
      </c>
      <c r="D119">
        <v>51994.29</v>
      </c>
    </row>
    <row r="120" spans="1:4">
      <c r="A120" t="s">
        <v>954</v>
      </c>
      <c r="B120" t="s">
        <v>1085</v>
      </c>
      <c r="C120">
        <v>1</v>
      </c>
      <c r="D120">
        <v>51979.51</v>
      </c>
    </row>
    <row r="121" spans="1:4">
      <c r="A121" t="s">
        <v>954</v>
      </c>
      <c r="B121" t="s">
        <v>1086</v>
      </c>
      <c r="C121">
        <v>1</v>
      </c>
      <c r="D121">
        <v>51648.18</v>
      </c>
    </row>
    <row r="122" spans="1:4">
      <c r="A122" t="s">
        <v>954</v>
      </c>
      <c r="B122" t="s">
        <v>1087</v>
      </c>
      <c r="C122">
        <v>2</v>
      </c>
      <c r="D122">
        <v>51241.41</v>
      </c>
    </row>
    <row r="123" spans="1:4">
      <c r="A123" t="s">
        <v>954</v>
      </c>
      <c r="B123" t="s">
        <v>1088</v>
      </c>
      <c r="C123">
        <v>1</v>
      </c>
      <c r="D123">
        <v>69675.179999999993</v>
      </c>
    </row>
    <row r="124" spans="1:4">
      <c r="A124" t="s">
        <v>954</v>
      </c>
      <c r="B124" t="s">
        <v>1089</v>
      </c>
      <c r="C124">
        <v>1</v>
      </c>
      <c r="D124">
        <v>51060.27</v>
      </c>
    </row>
    <row r="125" spans="1:4">
      <c r="A125" t="s">
        <v>954</v>
      </c>
      <c r="B125" t="s">
        <v>1090</v>
      </c>
      <c r="C125">
        <v>1</v>
      </c>
      <c r="D125">
        <v>50934.15</v>
      </c>
    </row>
    <row r="126" spans="1:4">
      <c r="A126" t="s">
        <v>954</v>
      </c>
      <c r="B126" t="s">
        <v>1091</v>
      </c>
      <c r="C126">
        <v>1</v>
      </c>
      <c r="D126">
        <v>50837.36</v>
      </c>
    </row>
    <row r="127" spans="1:4">
      <c r="A127" t="s">
        <v>954</v>
      </c>
      <c r="B127" t="s">
        <v>1092</v>
      </c>
      <c r="C127">
        <v>1</v>
      </c>
      <c r="D127">
        <v>50122.55</v>
      </c>
    </row>
    <row r="128" spans="1:4">
      <c r="A128" t="s">
        <v>954</v>
      </c>
      <c r="B128" t="s">
        <v>1093</v>
      </c>
      <c r="C128">
        <v>1</v>
      </c>
      <c r="D128">
        <v>49922.239999999998</v>
      </c>
    </row>
    <row r="129" spans="1:4">
      <c r="A129" t="s">
        <v>954</v>
      </c>
      <c r="B129" t="s">
        <v>1094</v>
      </c>
      <c r="C129">
        <v>1</v>
      </c>
      <c r="D129">
        <v>49461.25</v>
      </c>
    </row>
    <row r="130" spans="1:4">
      <c r="A130" t="s">
        <v>954</v>
      </c>
      <c r="B130" t="s">
        <v>1095</v>
      </c>
      <c r="C130">
        <v>1</v>
      </c>
      <c r="D130">
        <v>68690.149999999994</v>
      </c>
    </row>
    <row r="131" spans="1:4">
      <c r="A131" t="s">
        <v>954</v>
      </c>
      <c r="B131" t="s">
        <v>1096</v>
      </c>
      <c r="C131">
        <v>1</v>
      </c>
      <c r="D131">
        <v>67339.929999999993</v>
      </c>
    </row>
    <row r="132" spans="1:4">
      <c r="A132" t="s">
        <v>954</v>
      </c>
      <c r="B132" t="s">
        <v>1097</v>
      </c>
      <c r="C132">
        <v>1</v>
      </c>
      <c r="D132">
        <v>66796.009999999995</v>
      </c>
    </row>
    <row r="133" spans="1:4">
      <c r="A133" t="s">
        <v>954</v>
      </c>
      <c r="B133" t="s">
        <v>1098</v>
      </c>
      <c r="C133">
        <v>1</v>
      </c>
      <c r="D133">
        <v>59749.78</v>
      </c>
    </row>
    <row r="134" spans="1:4">
      <c r="A134" t="s">
        <v>954</v>
      </c>
      <c r="B134" t="s">
        <v>1099</v>
      </c>
      <c r="C134">
        <v>1</v>
      </c>
      <c r="D134">
        <v>59326.68</v>
      </c>
    </row>
    <row r="135" spans="1:4">
      <c r="A135" t="s">
        <v>954</v>
      </c>
      <c r="B135" t="s">
        <v>1100</v>
      </c>
      <c r="C135">
        <v>1</v>
      </c>
      <c r="D135">
        <v>56826.86</v>
      </c>
    </row>
    <row r="136" spans="1:4">
      <c r="A136" t="s">
        <v>954</v>
      </c>
      <c r="B136" t="s">
        <v>1101</v>
      </c>
      <c r="C136">
        <v>1</v>
      </c>
      <c r="D136">
        <v>56226.49</v>
      </c>
    </row>
    <row r="137" spans="1:4">
      <c r="A137" t="s">
        <v>954</v>
      </c>
      <c r="B137" t="s">
        <v>1102</v>
      </c>
      <c r="C137">
        <v>1797</v>
      </c>
      <c r="D137">
        <v>19092085.940000027</v>
      </c>
    </row>
    <row r="138" spans="1:4">
      <c r="A138" t="s">
        <v>954</v>
      </c>
      <c r="B138" t="s">
        <v>1103</v>
      </c>
      <c r="C138">
        <v>35882</v>
      </c>
      <c r="D138">
        <v>224734054.68999934</v>
      </c>
    </row>
    <row r="139" spans="1:4">
      <c r="A139" t="s">
        <v>954</v>
      </c>
      <c r="B139" t="s">
        <v>1104</v>
      </c>
      <c r="C139">
        <v>4199</v>
      </c>
      <c r="D139">
        <v>29040298.970000021</v>
      </c>
    </row>
    <row r="140" spans="1:4">
      <c r="A140" t="s">
        <v>954</v>
      </c>
      <c r="B140" t="s">
        <v>1105</v>
      </c>
      <c r="C140">
        <v>4580</v>
      </c>
      <c r="D140">
        <v>30940142.680000018</v>
      </c>
    </row>
    <row r="141" spans="1:4">
      <c r="A141" t="s">
        <v>954</v>
      </c>
      <c r="B141" t="s">
        <v>1106</v>
      </c>
      <c r="C141">
        <v>1564</v>
      </c>
      <c r="D141">
        <v>10087948.230000008</v>
      </c>
    </row>
    <row r="142" spans="1:4">
      <c r="A142" t="s">
        <v>954</v>
      </c>
      <c r="B142" t="s">
        <v>1107</v>
      </c>
      <c r="C142">
        <v>1713</v>
      </c>
      <c r="D142">
        <v>10042708.449999999</v>
      </c>
    </row>
    <row r="143" spans="1:4">
      <c r="A143" t="s">
        <v>954</v>
      </c>
      <c r="B143" t="s">
        <v>1108</v>
      </c>
      <c r="C143">
        <v>323</v>
      </c>
      <c r="D143">
        <v>2140753.5600000005</v>
      </c>
    </row>
    <row r="144" spans="1:4">
      <c r="A144" t="s">
        <v>954</v>
      </c>
      <c r="B144" t="s">
        <v>1109</v>
      </c>
      <c r="C144">
        <v>695</v>
      </c>
      <c r="D144">
        <v>4523280.0700000012</v>
      </c>
    </row>
    <row r="145" spans="1:4">
      <c r="A145" t="s">
        <v>954</v>
      </c>
      <c r="B145" t="s">
        <v>1110</v>
      </c>
      <c r="C145">
        <v>2692</v>
      </c>
      <c r="D145">
        <v>17739293.910000011</v>
      </c>
    </row>
    <row r="146" spans="1:4">
      <c r="A146" t="s">
        <v>954</v>
      </c>
      <c r="B146" t="s">
        <v>1111</v>
      </c>
      <c r="C146">
        <v>3853</v>
      </c>
      <c r="D146">
        <v>24415655.720000044</v>
      </c>
    </row>
    <row r="147" spans="1:4">
      <c r="A147" t="s">
        <v>954</v>
      </c>
      <c r="B147" t="s">
        <v>1112</v>
      </c>
      <c r="C147">
        <v>1426</v>
      </c>
      <c r="D147">
        <v>9202518.6199999899</v>
      </c>
    </row>
    <row r="148" spans="1:4">
      <c r="A148" t="s">
        <v>954</v>
      </c>
      <c r="B148" t="s">
        <v>1113</v>
      </c>
      <c r="C148">
        <v>8026</v>
      </c>
      <c r="D148">
        <v>52572440.73999998</v>
      </c>
    </row>
    <row r="149" spans="1:4">
      <c r="A149" t="s">
        <v>954</v>
      </c>
      <c r="B149" t="s">
        <v>1114</v>
      </c>
      <c r="C149">
        <v>1905</v>
      </c>
      <c r="D149">
        <v>12195679.959999999</v>
      </c>
    </row>
    <row r="150" spans="1:4">
      <c r="A150" t="s">
        <v>954</v>
      </c>
      <c r="B150" t="s">
        <v>1115</v>
      </c>
      <c r="C150">
        <v>460</v>
      </c>
      <c r="D150">
        <v>3056440.8100000019</v>
      </c>
    </row>
    <row r="151" spans="1:4">
      <c r="A151" t="s">
        <v>955</v>
      </c>
      <c r="B151" t="s">
        <v>1116</v>
      </c>
      <c r="C151">
        <v>0</v>
      </c>
      <c r="D151">
        <v>0</v>
      </c>
    </row>
    <row r="152" spans="1:4">
      <c r="A152" t="s">
        <v>954</v>
      </c>
      <c r="B152" t="s">
        <v>1117</v>
      </c>
      <c r="C152">
        <v>1922</v>
      </c>
      <c r="D152">
        <v>11298647.269999981</v>
      </c>
    </row>
    <row r="153" spans="1:4">
      <c r="A153" t="s">
        <v>954</v>
      </c>
      <c r="B153" t="s">
        <v>1118</v>
      </c>
      <c r="C153">
        <v>1569</v>
      </c>
      <c r="D153">
        <v>9869245.2300000116</v>
      </c>
    </row>
    <row r="154" spans="1:4">
      <c r="A154" t="s">
        <v>954</v>
      </c>
      <c r="B154" t="s">
        <v>1119</v>
      </c>
      <c r="C154">
        <v>1355</v>
      </c>
      <c r="D154">
        <v>8177334.7400000207</v>
      </c>
    </row>
    <row r="155" spans="1:4">
      <c r="A155" t="s">
        <v>954</v>
      </c>
      <c r="B155" t="s">
        <v>1120</v>
      </c>
      <c r="C155">
        <v>1258</v>
      </c>
      <c r="D155">
        <v>7551404.980000007</v>
      </c>
    </row>
    <row r="156" spans="1:4">
      <c r="A156" t="s">
        <v>954</v>
      </c>
      <c r="B156" t="s">
        <v>1121</v>
      </c>
      <c r="C156">
        <v>139</v>
      </c>
      <c r="D156">
        <v>972346.68999999959</v>
      </c>
    </row>
    <row r="157" spans="1:4">
      <c r="A157" t="s">
        <v>954</v>
      </c>
      <c r="B157" t="s">
        <v>1122</v>
      </c>
      <c r="C157">
        <v>16830</v>
      </c>
      <c r="D157">
        <v>94295506.850000322</v>
      </c>
    </row>
    <row r="158" spans="1:4">
      <c r="A158" t="s">
        <v>954</v>
      </c>
      <c r="B158" t="s">
        <v>1123</v>
      </c>
      <c r="C158">
        <v>20849</v>
      </c>
      <c r="D158">
        <v>149530633.78000018</v>
      </c>
    </row>
    <row r="159" spans="1:4">
      <c r="A159" t="s">
        <v>954</v>
      </c>
      <c r="B159" t="s">
        <v>1124</v>
      </c>
      <c r="C159">
        <v>37679</v>
      </c>
      <c r="D159">
        <v>5.6616420857934904E-2</v>
      </c>
    </row>
    <row r="160" spans="1:4">
      <c r="A160" t="s">
        <v>954</v>
      </c>
      <c r="B160" t="s">
        <v>1125</v>
      </c>
      <c r="C160">
        <v>35749</v>
      </c>
      <c r="D160">
        <v>238577858.22999826</v>
      </c>
    </row>
    <row r="161" spans="1:4">
      <c r="A161" t="s">
        <v>954</v>
      </c>
      <c r="B161" t="s">
        <v>1126</v>
      </c>
      <c r="C161">
        <v>606</v>
      </c>
      <c r="D161">
        <v>4232561.9399999958</v>
      </c>
    </row>
    <row r="162" spans="1:4">
      <c r="A162" t="s">
        <v>954</v>
      </c>
      <c r="B162" t="s">
        <v>1127</v>
      </c>
      <c r="C162">
        <v>100</v>
      </c>
      <c r="D162">
        <v>554268.80000000016</v>
      </c>
    </row>
    <row r="163" spans="1:4">
      <c r="A163" t="s">
        <v>954</v>
      </c>
      <c r="B163" t="s">
        <v>1128</v>
      </c>
      <c r="C163">
        <v>33</v>
      </c>
      <c r="D163">
        <v>172968.79000000004</v>
      </c>
    </row>
    <row r="164" spans="1:4">
      <c r="A164" t="s">
        <v>954</v>
      </c>
      <c r="B164" t="s">
        <v>1129</v>
      </c>
      <c r="C164">
        <v>15</v>
      </c>
      <c r="D164">
        <v>78855.73</v>
      </c>
    </row>
    <row r="165" spans="1:4">
      <c r="A165" t="s">
        <v>954</v>
      </c>
      <c r="B165" t="s">
        <v>1130</v>
      </c>
      <c r="C165">
        <v>7</v>
      </c>
      <c r="D165">
        <v>53811.819999999992</v>
      </c>
    </row>
    <row r="166" spans="1:4">
      <c r="A166" t="s">
        <v>954</v>
      </c>
      <c r="B166" t="s">
        <v>1131</v>
      </c>
      <c r="C166">
        <v>18</v>
      </c>
      <c r="D166">
        <v>155815.32000000004</v>
      </c>
    </row>
    <row r="167" spans="1:4">
      <c r="A167" t="s">
        <v>954</v>
      </c>
      <c r="B167" t="s">
        <v>1132</v>
      </c>
      <c r="C167">
        <v>25</v>
      </c>
      <c r="D167">
        <v>-32552.489999999998</v>
      </c>
    </row>
    <row r="168" spans="1:4">
      <c r="A168" t="s">
        <v>954</v>
      </c>
      <c r="B168" t="s">
        <v>1133</v>
      </c>
      <c r="C168">
        <v>22</v>
      </c>
      <c r="D168">
        <v>-2291.510000000002</v>
      </c>
    </row>
    <row r="169" spans="1:4">
      <c r="A169" t="s">
        <v>954</v>
      </c>
      <c r="B169" t="s">
        <v>1134</v>
      </c>
      <c r="C169">
        <v>16</v>
      </c>
      <c r="D169">
        <v>-13916.42</v>
      </c>
    </row>
    <row r="170" spans="1:4">
      <c r="A170" t="s">
        <v>954</v>
      </c>
      <c r="B170" t="s">
        <v>1135</v>
      </c>
      <c r="C170">
        <v>27</v>
      </c>
      <c r="D170">
        <v>11868.210000000008</v>
      </c>
    </row>
    <row r="171" spans="1:4">
      <c r="A171" t="s">
        <v>954</v>
      </c>
      <c r="B171" t="s">
        <v>1136</v>
      </c>
      <c r="C171">
        <v>16</v>
      </c>
      <c r="D171">
        <v>11307.23</v>
      </c>
    </row>
    <row r="172" spans="1:4">
      <c r="A172" t="s">
        <v>954</v>
      </c>
      <c r="B172" t="s">
        <v>1137</v>
      </c>
      <c r="C172">
        <v>120</v>
      </c>
      <c r="D172">
        <v>172598.34000000003</v>
      </c>
    </row>
    <row r="173" spans="1:4">
      <c r="A173" t="s">
        <v>954</v>
      </c>
      <c r="B173" t="s">
        <v>1138</v>
      </c>
      <c r="C173">
        <v>2086</v>
      </c>
      <c r="D173">
        <v>1977444.0900000003</v>
      </c>
    </row>
    <row r="174" spans="1:4">
      <c r="A174" t="s">
        <v>954</v>
      </c>
      <c r="B174" t="s">
        <v>1139</v>
      </c>
      <c r="C174">
        <v>894</v>
      </c>
      <c r="D174">
        <v>1467632.0799999982</v>
      </c>
    </row>
    <row r="175" spans="1:4">
      <c r="A175" t="s">
        <v>954</v>
      </c>
      <c r="B175" t="s">
        <v>1140</v>
      </c>
      <c r="C175">
        <v>4686</v>
      </c>
      <c r="D175">
        <v>11385136.550000027</v>
      </c>
    </row>
    <row r="176" spans="1:4">
      <c r="A176" t="s">
        <v>954</v>
      </c>
      <c r="B176" t="s">
        <v>1141</v>
      </c>
      <c r="C176">
        <v>1233</v>
      </c>
      <c r="D176">
        <v>5612649.3400000026</v>
      </c>
    </row>
    <row r="177" spans="1:4">
      <c r="A177" t="s">
        <v>954</v>
      </c>
      <c r="B177" t="s">
        <v>1142</v>
      </c>
      <c r="C177">
        <v>9927</v>
      </c>
      <c r="D177">
        <v>45486209.279999897</v>
      </c>
    </row>
    <row r="178" spans="1:4">
      <c r="A178" t="s">
        <v>954</v>
      </c>
      <c r="B178" t="s">
        <v>1143</v>
      </c>
      <c r="C178">
        <v>9178</v>
      </c>
      <c r="D178">
        <v>78199125.760000125</v>
      </c>
    </row>
    <row r="179" spans="1:4">
      <c r="A179" t="s">
        <v>954</v>
      </c>
      <c r="B179" t="s">
        <v>1144</v>
      </c>
      <c r="C179">
        <v>8458</v>
      </c>
      <c r="D179">
        <v>82351064.740000129</v>
      </c>
    </row>
    <row r="180" spans="1:4">
      <c r="A180" t="s">
        <v>954</v>
      </c>
      <c r="B180" t="s">
        <v>1145</v>
      </c>
      <c r="C180">
        <v>17</v>
      </c>
      <c r="D180">
        <v>-16642.010000000002</v>
      </c>
    </row>
    <row r="181" spans="1:4">
      <c r="A181" t="s">
        <v>954</v>
      </c>
      <c r="B181" t="s">
        <v>1146</v>
      </c>
      <c r="C181">
        <v>703</v>
      </c>
      <c r="D181">
        <v>11885694.389999999</v>
      </c>
    </row>
    <row r="182" spans="1:4">
      <c r="A182" t="s">
        <v>954</v>
      </c>
      <c r="B182" t="s">
        <v>1147</v>
      </c>
      <c r="C182">
        <v>271</v>
      </c>
      <c r="D182">
        <v>5330813.0500000017</v>
      </c>
    </row>
    <row r="183" spans="1:4">
      <c r="A183" t="s">
        <v>954</v>
      </c>
      <c r="B183" t="s">
        <v>1148</v>
      </c>
      <c r="C183">
        <v>37679</v>
      </c>
      <c r="D183">
        <v>94.536389199664598</v>
      </c>
    </row>
    <row r="184" spans="1:4">
      <c r="A184" t="s">
        <v>954</v>
      </c>
      <c r="B184" t="s">
        <v>1149</v>
      </c>
      <c r="C184">
        <v>10208</v>
      </c>
      <c r="D184">
        <v>68536647.960000172</v>
      </c>
    </row>
    <row r="185" spans="1:4">
      <c r="A185" t="s">
        <v>954</v>
      </c>
      <c r="B185" t="s">
        <v>1150</v>
      </c>
      <c r="C185">
        <v>27471</v>
      </c>
      <c r="D185">
        <v>175289492.67000055</v>
      </c>
    </row>
    <row r="186" spans="1:4">
      <c r="A186" t="s">
        <v>954</v>
      </c>
      <c r="B186" t="s">
        <v>1151</v>
      </c>
      <c r="C186">
        <v>35113</v>
      </c>
      <c r="D186">
        <v>224541422.16000006</v>
      </c>
    </row>
    <row r="187" spans="1:4">
      <c r="A187" t="s">
        <v>954</v>
      </c>
      <c r="B187" t="s">
        <v>1152</v>
      </c>
      <c r="C187">
        <v>2566</v>
      </c>
      <c r="D187">
        <v>19284718.470000006</v>
      </c>
    </row>
    <row r="188" spans="1:4">
      <c r="A188" t="s">
        <v>954</v>
      </c>
      <c r="B188" t="s">
        <v>1153</v>
      </c>
      <c r="C188">
        <v>37679</v>
      </c>
      <c r="D188">
        <v>243826140.63000011</v>
      </c>
    </row>
    <row r="189" spans="1:4">
      <c r="A189" t="s">
        <v>954</v>
      </c>
      <c r="B189" t="s">
        <v>1154</v>
      </c>
      <c r="C189">
        <v>31841</v>
      </c>
      <c r="D189">
        <v>169087811.47999999</v>
      </c>
    </row>
    <row r="190" spans="1:4">
      <c r="A190" t="s">
        <v>954</v>
      </c>
      <c r="B190" t="s">
        <v>1155</v>
      </c>
      <c r="C190">
        <v>3</v>
      </c>
      <c r="D190">
        <v>1539.27</v>
      </c>
    </row>
    <row r="191" spans="1:4">
      <c r="A191" t="s">
        <v>954</v>
      </c>
      <c r="B191" t="s">
        <v>1156</v>
      </c>
      <c r="C191">
        <v>3</v>
      </c>
      <c r="D191">
        <v>849.4</v>
      </c>
    </row>
    <row r="192" spans="1:4">
      <c r="A192" t="s">
        <v>954</v>
      </c>
      <c r="B192" t="s">
        <v>1157</v>
      </c>
      <c r="C192">
        <v>1</v>
      </c>
      <c r="D192">
        <v>155.38999999999999</v>
      </c>
    </row>
    <row r="193" spans="1:4">
      <c r="A193" t="s">
        <v>954</v>
      </c>
      <c r="B193" t="s">
        <v>1158</v>
      </c>
      <c r="C193">
        <v>0</v>
      </c>
      <c r="D193">
        <v>0</v>
      </c>
    </row>
    <row r="194" spans="1:4">
      <c r="A194" t="s">
        <v>954</v>
      </c>
      <c r="B194" t="s">
        <v>1159</v>
      </c>
      <c r="C194">
        <v>0</v>
      </c>
      <c r="D194">
        <v>0</v>
      </c>
    </row>
    <row r="195" spans="1:4">
      <c r="A195" t="s">
        <v>954</v>
      </c>
      <c r="B195" t="s">
        <v>1160</v>
      </c>
      <c r="C195">
        <v>31267</v>
      </c>
      <c r="D195">
        <v>161315264.44</v>
      </c>
    </row>
    <row r="196" spans="1:4">
      <c r="A196" t="s">
        <v>954</v>
      </c>
      <c r="B196" t="s">
        <v>1161</v>
      </c>
      <c r="C196">
        <v>30688</v>
      </c>
      <c r="D196">
        <v>153648197.06</v>
      </c>
    </row>
    <row r="197" spans="1:4">
      <c r="A197" t="s">
        <v>954</v>
      </c>
      <c r="B197" t="s">
        <v>1162</v>
      </c>
      <c r="C197">
        <v>30131</v>
      </c>
      <c r="D197">
        <v>146086440</v>
      </c>
    </row>
    <row r="198" spans="1:4">
      <c r="A198" t="s">
        <v>954</v>
      </c>
      <c r="B198" t="s">
        <v>1163</v>
      </c>
      <c r="C198">
        <v>29666</v>
      </c>
      <c r="D198">
        <v>138630646.88999999</v>
      </c>
    </row>
    <row r="199" spans="1:4">
      <c r="A199" t="s">
        <v>954</v>
      </c>
      <c r="B199" t="s">
        <v>1164</v>
      </c>
      <c r="C199">
        <v>28887</v>
      </c>
      <c r="D199">
        <v>131263156.98999999</v>
      </c>
    </row>
    <row r="200" spans="1:4">
      <c r="A200" t="s">
        <v>954</v>
      </c>
      <c r="B200" t="s">
        <v>1165</v>
      </c>
      <c r="C200">
        <v>27992</v>
      </c>
      <c r="D200">
        <v>124038747.78</v>
      </c>
    </row>
    <row r="201" spans="1:4">
      <c r="A201" t="s">
        <v>954</v>
      </c>
      <c r="B201" t="s">
        <v>1166</v>
      </c>
      <c r="C201">
        <v>27201</v>
      </c>
      <c r="D201">
        <v>116995887.45999999</v>
      </c>
    </row>
    <row r="202" spans="1:4">
      <c r="A202" t="s">
        <v>954</v>
      </c>
      <c r="B202" t="s">
        <v>1167</v>
      </c>
      <c r="C202">
        <v>26525</v>
      </c>
      <c r="D202">
        <v>110100448.68000001</v>
      </c>
    </row>
    <row r="203" spans="1:4">
      <c r="A203" t="s">
        <v>954</v>
      </c>
      <c r="B203" t="s">
        <v>1168</v>
      </c>
      <c r="C203">
        <v>25604</v>
      </c>
      <c r="D203">
        <v>103315354.87</v>
      </c>
    </row>
    <row r="204" spans="1:4">
      <c r="A204" t="s">
        <v>954</v>
      </c>
      <c r="B204" t="s">
        <v>1169</v>
      </c>
      <c r="C204">
        <v>36736</v>
      </c>
      <c r="D204">
        <v>234908381.72</v>
      </c>
    </row>
    <row r="205" spans="1:4">
      <c r="A205" t="s">
        <v>954</v>
      </c>
      <c r="B205" t="s">
        <v>1170</v>
      </c>
      <c r="C205">
        <v>24735</v>
      </c>
      <c r="D205">
        <v>96706680.450000003</v>
      </c>
    </row>
    <row r="206" spans="1:4">
      <c r="A206" t="s">
        <v>954</v>
      </c>
      <c r="B206" t="s">
        <v>1171</v>
      </c>
      <c r="C206">
        <v>23899</v>
      </c>
      <c r="D206">
        <v>90261706.670000002</v>
      </c>
    </row>
    <row r="207" spans="1:4">
      <c r="A207" t="s">
        <v>954</v>
      </c>
      <c r="B207" t="s">
        <v>1172</v>
      </c>
      <c r="C207">
        <v>23168</v>
      </c>
      <c r="D207">
        <v>83995713.640000001</v>
      </c>
    </row>
    <row r="208" spans="1:4">
      <c r="A208" t="s">
        <v>954</v>
      </c>
      <c r="B208" t="s">
        <v>1173</v>
      </c>
      <c r="C208">
        <v>22375</v>
      </c>
      <c r="D208">
        <v>77873292.359999999</v>
      </c>
    </row>
    <row r="209" spans="1:4">
      <c r="A209" t="s">
        <v>954</v>
      </c>
      <c r="B209" t="s">
        <v>1174</v>
      </c>
      <c r="C209">
        <v>21528</v>
      </c>
      <c r="D209">
        <v>71903183.849999994</v>
      </c>
    </row>
    <row r="210" spans="1:4">
      <c r="A210" t="s">
        <v>954</v>
      </c>
      <c r="B210" t="s">
        <v>1175</v>
      </c>
      <c r="C210">
        <v>20683</v>
      </c>
      <c r="D210">
        <v>66096791.950000003</v>
      </c>
    </row>
    <row r="211" spans="1:4">
      <c r="A211" t="s">
        <v>954</v>
      </c>
      <c r="B211" t="s">
        <v>1176</v>
      </c>
      <c r="C211">
        <v>19993</v>
      </c>
      <c r="D211">
        <v>60459611.909999996</v>
      </c>
    </row>
    <row r="212" spans="1:4">
      <c r="A212" t="s">
        <v>954</v>
      </c>
      <c r="B212" t="s">
        <v>1177</v>
      </c>
      <c r="C212">
        <v>18726</v>
      </c>
      <c r="D212">
        <v>54957946.380000003</v>
      </c>
    </row>
    <row r="213" spans="1:4">
      <c r="A213" t="s">
        <v>954</v>
      </c>
      <c r="B213" t="s">
        <v>1178</v>
      </c>
      <c r="C213">
        <v>17514</v>
      </c>
      <c r="D213">
        <v>49760130.869999997</v>
      </c>
    </row>
    <row r="214" spans="1:4">
      <c r="A214" t="s">
        <v>954</v>
      </c>
      <c r="B214" t="s">
        <v>1179</v>
      </c>
      <c r="C214">
        <v>16433</v>
      </c>
      <c r="D214">
        <v>44853887.060000002</v>
      </c>
    </row>
    <row r="215" spans="1:4">
      <c r="A215" t="s">
        <v>954</v>
      </c>
      <c r="B215" t="s">
        <v>1180</v>
      </c>
      <c r="C215">
        <v>36009</v>
      </c>
      <c r="D215">
        <v>226288044.66999999</v>
      </c>
    </row>
    <row r="216" spans="1:4">
      <c r="A216" t="s">
        <v>954</v>
      </c>
      <c r="B216" t="s">
        <v>1181</v>
      </c>
      <c r="C216">
        <v>15436</v>
      </c>
      <c r="D216">
        <v>40203800.939999998</v>
      </c>
    </row>
    <row r="217" spans="1:4">
      <c r="A217" t="s">
        <v>954</v>
      </c>
      <c r="B217" t="s">
        <v>1182</v>
      </c>
      <c r="C217">
        <v>14220</v>
      </c>
      <c r="D217">
        <v>35785920.32</v>
      </c>
    </row>
    <row r="218" spans="1:4">
      <c r="A218" t="s">
        <v>954</v>
      </c>
      <c r="B218" t="s">
        <v>1183</v>
      </c>
      <c r="C218">
        <v>12939</v>
      </c>
      <c r="D218">
        <v>31677190.879999999</v>
      </c>
    </row>
    <row r="219" spans="1:4">
      <c r="A219" t="s">
        <v>954</v>
      </c>
      <c r="B219" t="s">
        <v>1184</v>
      </c>
      <c r="C219">
        <v>11898</v>
      </c>
      <c r="D219">
        <v>27885107.73</v>
      </c>
    </row>
    <row r="220" spans="1:4">
      <c r="A220" t="s">
        <v>954</v>
      </c>
      <c r="B220" t="s">
        <v>1185</v>
      </c>
      <c r="C220">
        <v>10933</v>
      </c>
      <c r="D220">
        <v>24359857.170000002</v>
      </c>
    </row>
    <row r="221" spans="1:4">
      <c r="A221" t="s">
        <v>954</v>
      </c>
      <c r="B221" t="s">
        <v>1186</v>
      </c>
      <c r="C221">
        <v>9833</v>
      </c>
      <c r="D221">
        <v>21092415.989999998</v>
      </c>
    </row>
    <row r="222" spans="1:4">
      <c r="A222" t="s">
        <v>954</v>
      </c>
      <c r="B222" t="s">
        <v>1187</v>
      </c>
      <c r="C222">
        <v>8578</v>
      </c>
      <c r="D222">
        <v>18115510.379999999</v>
      </c>
    </row>
    <row r="223" spans="1:4">
      <c r="A223" t="s">
        <v>954</v>
      </c>
      <c r="B223" t="s">
        <v>1188</v>
      </c>
      <c r="C223">
        <v>7359</v>
      </c>
      <c r="D223">
        <v>15469511.539999999</v>
      </c>
    </row>
    <row r="224" spans="1:4">
      <c r="A224" t="s">
        <v>954</v>
      </c>
      <c r="B224" t="s">
        <v>1189</v>
      </c>
      <c r="C224">
        <v>6402</v>
      </c>
      <c r="D224">
        <v>13156554.189999999</v>
      </c>
    </row>
    <row r="225" spans="1:4">
      <c r="A225" t="s">
        <v>954</v>
      </c>
      <c r="B225" t="s">
        <v>1190</v>
      </c>
      <c r="C225">
        <v>5562</v>
      </c>
      <c r="D225">
        <v>11118604.449999999</v>
      </c>
    </row>
    <row r="226" spans="1:4">
      <c r="A226" t="s">
        <v>954</v>
      </c>
      <c r="B226" t="s">
        <v>1191</v>
      </c>
      <c r="C226">
        <v>35324</v>
      </c>
      <c r="D226">
        <v>217790231.05000001</v>
      </c>
    </row>
    <row r="227" spans="1:4">
      <c r="A227" t="s">
        <v>954</v>
      </c>
      <c r="B227" t="s">
        <v>1192</v>
      </c>
      <c r="C227">
        <v>4708</v>
      </c>
      <c r="D227">
        <v>9332016.6899999995</v>
      </c>
    </row>
    <row r="228" spans="1:4">
      <c r="A228" t="s">
        <v>954</v>
      </c>
      <c r="B228" t="s">
        <v>1193</v>
      </c>
      <c r="C228">
        <v>4033</v>
      </c>
      <c r="D228">
        <v>7791888.5300000003</v>
      </c>
    </row>
    <row r="229" spans="1:4">
      <c r="A229" t="s">
        <v>954</v>
      </c>
      <c r="B229" t="s">
        <v>1194</v>
      </c>
      <c r="C229">
        <v>3509</v>
      </c>
      <c r="D229">
        <v>6444506.4699999997</v>
      </c>
    </row>
    <row r="230" spans="1:4">
      <c r="A230" t="s">
        <v>954</v>
      </c>
      <c r="B230" t="s">
        <v>1195</v>
      </c>
      <c r="C230">
        <v>2906</v>
      </c>
      <c r="D230">
        <v>5250818.0199999996</v>
      </c>
    </row>
    <row r="231" spans="1:4">
      <c r="A231" t="s">
        <v>954</v>
      </c>
      <c r="B231" t="s">
        <v>1196</v>
      </c>
      <c r="C231">
        <v>2299</v>
      </c>
      <c r="D231">
        <v>4246451.32</v>
      </c>
    </row>
    <row r="232" spans="1:4">
      <c r="A232" t="s">
        <v>954</v>
      </c>
      <c r="B232" t="s">
        <v>1197</v>
      </c>
      <c r="C232">
        <v>1839</v>
      </c>
      <c r="D232">
        <v>3439082.92</v>
      </c>
    </row>
    <row r="233" spans="1:4">
      <c r="A233" t="s">
        <v>954</v>
      </c>
      <c r="B233" t="s">
        <v>1198</v>
      </c>
      <c r="C233">
        <v>1409</v>
      </c>
      <c r="D233">
        <v>2777098.87</v>
      </c>
    </row>
    <row r="234" spans="1:4">
      <c r="A234" t="s">
        <v>954</v>
      </c>
      <c r="B234" t="s">
        <v>1199</v>
      </c>
      <c r="C234">
        <v>1062</v>
      </c>
      <c r="D234">
        <v>2255145.19</v>
      </c>
    </row>
    <row r="235" spans="1:4">
      <c r="A235" t="s">
        <v>954</v>
      </c>
      <c r="B235" t="s">
        <v>1200</v>
      </c>
      <c r="C235">
        <v>737</v>
      </c>
      <c r="D235">
        <v>1850780.85</v>
      </c>
    </row>
    <row r="236" spans="1:4">
      <c r="A236" t="s">
        <v>954</v>
      </c>
      <c r="B236" t="s">
        <v>1201</v>
      </c>
      <c r="C236">
        <v>551</v>
      </c>
      <c r="D236">
        <v>1554887.13</v>
      </c>
    </row>
    <row r="237" spans="1:4">
      <c r="A237" t="s">
        <v>954</v>
      </c>
      <c r="B237" t="s">
        <v>1202</v>
      </c>
      <c r="C237">
        <v>34722</v>
      </c>
      <c r="D237">
        <v>209409786.55000001</v>
      </c>
    </row>
    <row r="238" spans="1:4">
      <c r="A238" t="s">
        <v>954</v>
      </c>
      <c r="B238" t="s">
        <v>1203</v>
      </c>
      <c r="C238">
        <v>465</v>
      </c>
      <c r="D238">
        <v>1322750.5900000001</v>
      </c>
    </row>
    <row r="239" spans="1:4">
      <c r="A239" t="s">
        <v>954</v>
      </c>
      <c r="B239" t="s">
        <v>1204</v>
      </c>
      <c r="C239">
        <v>387</v>
      </c>
      <c r="D239">
        <v>1132162.19</v>
      </c>
    </row>
    <row r="240" spans="1:4">
      <c r="A240" t="s">
        <v>954</v>
      </c>
      <c r="B240" t="s">
        <v>1205</v>
      </c>
      <c r="C240">
        <v>327</v>
      </c>
      <c r="D240">
        <v>974149.51</v>
      </c>
    </row>
    <row r="241" spans="1:4">
      <c r="A241" t="s">
        <v>954</v>
      </c>
      <c r="B241" t="s">
        <v>1206</v>
      </c>
      <c r="C241">
        <v>260</v>
      </c>
      <c r="D241">
        <v>842108.52</v>
      </c>
    </row>
    <row r="242" spans="1:4">
      <c r="A242" t="s">
        <v>954</v>
      </c>
      <c r="B242" t="s">
        <v>1207</v>
      </c>
      <c r="C242">
        <v>213</v>
      </c>
      <c r="D242">
        <v>736276.23</v>
      </c>
    </row>
    <row r="243" spans="1:4">
      <c r="A243" t="s">
        <v>954</v>
      </c>
      <c r="B243" t="s">
        <v>1208</v>
      </c>
      <c r="C243">
        <v>183</v>
      </c>
      <c r="D243">
        <v>648926.34</v>
      </c>
    </row>
    <row r="244" spans="1:4">
      <c r="A244" t="s">
        <v>954</v>
      </c>
      <c r="B244" t="s">
        <v>1209</v>
      </c>
      <c r="C244">
        <v>156</v>
      </c>
      <c r="D244">
        <v>575625.39</v>
      </c>
    </row>
    <row r="245" spans="1:4">
      <c r="A245" t="s">
        <v>954</v>
      </c>
      <c r="B245" t="s">
        <v>1210</v>
      </c>
      <c r="C245">
        <v>134</v>
      </c>
      <c r="D245">
        <v>514031.73</v>
      </c>
    </row>
    <row r="246" spans="1:4">
      <c r="A246" t="s">
        <v>954</v>
      </c>
      <c r="B246" t="s">
        <v>1211</v>
      </c>
      <c r="C246">
        <v>119</v>
      </c>
      <c r="D246">
        <v>460264.7</v>
      </c>
    </row>
    <row r="247" spans="1:4">
      <c r="A247" t="s">
        <v>954</v>
      </c>
      <c r="B247" t="s">
        <v>1212</v>
      </c>
      <c r="C247">
        <v>104</v>
      </c>
      <c r="D247">
        <v>413335.89</v>
      </c>
    </row>
    <row r="248" spans="1:4">
      <c r="A248" t="s">
        <v>954</v>
      </c>
      <c r="B248" t="s">
        <v>1213</v>
      </c>
      <c r="C248">
        <v>34203</v>
      </c>
      <c r="D248">
        <v>201146623.81999999</v>
      </c>
    </row>
    <row r="249" spans="1:4">
      <c r="A249" t="s">
        <v>954</v>
      </c>
      <c r="B249" t="s">
        <v>1214</v>
      </c>
      <c r="C249">
        <v>94</v>
      </c>
      <c r="D249">
        <v>374249.51</v>
      </c>
    </row>
    <row r="250" spans="1:4">
      <c r="A250" t="s">
        <v>954</v>
      </c>
      <c r="B250" t="s">
        <v>1215</v>
      </c>
      <c r="C250">
        <v>78</v>
      </c>
      <c r="D250">
        <v>338855.65</v>
      </c>
    </row>
    <row r="251" spans="1:4">
      <c r="A251" t="s">
        <v>954</v>
      </c>
      <c r="B251" t="s">
        <v>1216</v>
      </c>
      <c r="C251">
        <v>66</v>
      </c>
      <c r="D251">
        <v>309226.5</v>
      </c>
    </row>
    <row r="252" spans="1:4">
      <c r="A252" t="s">
        <v>954</v>
      </c>
      <c r="B252" t="s">
        <v>1217</v>
      </c>
      <c r="C252">
        <v>65</v>
      </c>
      <c r="D252">
        <v>285403.95</v>
      </c>
    </row>
    <row r="253" spans="1:4">
      <c r="A253" t="s">
        <v>954</v>
      </c>
      <c r="B253" t="s">
        <v>1218</v>
      </c>
      <c r="C253">
        <v>58</v>
      </c>
      <c r="D253">
        <v>261603.25</v>
      </c>
    </row>
    <row r="254" spans="1:4">
      <c r="A254" t="s">
        <v>954</v>
      </c>
      <c r="B254" t="s">
        <v>1219</v>
      </c>
      <c r="C254">
        <v>54</v>
      </c>
      <c r="D254">
        <v>240516.06</v>
      </c>
    </row>
    <row r="255" spans="1:4">
      <c r="A255" t="s">
        <v>954</v>
      </c>
      <c r="B255" t="s">
        <v>1220</v>
      </c>
      <c r="C255">
        <v>52</v>
      </c>
      <c r="D255">
        <v>221146.41</v>
      </c>
    </row>
    <row r="256" spans="1:4">
      <c r="A256" t="s">
        <v>954</v>
      </c>
      <c r="B256" t="s">
        <v>1221</v>
      </c>
      <c r="C256">
        <v>49</v>
      </c>
      <c r="D256">
        <v>202742.6</v>
      </c>
    </row>
    <row r="257" spans="1:4">
      <c r="A257" t="s">
        <v>954</v>
      </c>
      <c r="B257" t="s">
        <v>1222</v>
      </c>
      <c r="C257">
        <v>43</v>
      </c>
      <c r="D257">
        <v>185662.54</v>
      </c>
    </row>
    <row r="258" spans="1:4">
      <c r="A258" t="s">
        <v>954</v>
      </c>
      <c r="B258" t="s">
        <v>1223</v>
      </c>
      <c r="C258">
        <v>42</v>
      </c>
      <c r="D258">
        <v>170745.16</v>
      </c>
    </row>
    <row r="259" spans="1:4">
      <c r="A259" t="s">
        <v>954</v>
      </c>
      <c r="B259" t="s">
        <v>1224</v>
      </c>
      <c r="C259">
        <v>33547</v>
      </c>
      <c r="D259">
        <v>192972442.91999999</v>
      </c>
    </row>
    <row r="260" spans="1:4">
      <c r="A260" t="s">
        <v>954</v>
      </c>
      <c r="B260" t="s">
        <v>1225</v>
      </c>
      <c r="C260">
        <v>40</v>
      </c>
      <c r="D260">
        <v>155996.75</v>
      </c>
    </row>
    <row r="261" spans="1:4">
      <c r="A261" t="s">
        <v>954</v>
      </c>
      <c r="B261" t="s">
        <v>1226</v>
      </c>
      <c r="C261">
        <v>36</v>
      </c>
      <c r="D261">
        <v>142204.81</v>
      </c>
    </row>
    <row r="262" spans="1:4">
      <c r="A262" t="s">
        <v>954</v>
      </c>
      <c r="B262" t="s">
        <v>1227</v>
      </c>
      <c r="C262">
        <v>34</v>
      </c>
      <c r="D262">
        <v>129940.4</v>
      </c>
    </row>
    <row r="263" spans="1:4">
      <c r="A263" t="s">
        <v>954</v>
      </c>
      <c r="B263" t="s">
        <v>1228</v>
      </c>
      <c r="C263">
        <v>34</v>
      </c>
      <c r="D263">
        <v>118362.47</v>
      </c>
    </row>
    <row r="264" spans="1:4">
      <c r="A264" t="s">
        <v>954</v>
      </c>
      <c r="B264" t="s">
        <v>1229</v>
      </c>
      <c r="C264">
        <v>33</v>
      </c>
      <c r="D264">
        <v>106726.65</v>
      </c>
    </row>
    <row r="265" spans="1:4">
      <c r="A265" t="s">
        <v>954</v>
      </c>
      <c r="B265" t="s">
        <v>1230</v>
      </c>
      <c r="C265">
        <v>29</v>
      </c>
      <c r="D265">
        <v>95838.81</v>
      </c>
    </row>
    <row r="266" spans="1:4">
      <c r="A266" t="s">
        <v>954</v>
      </c>
      <c r="B266" t="s">
        <v>1231</v>
      </c>
      <c r="C266">
        <v>26</v>
      </c>
      <c r="D266">
        <v>86482.75</v>
      </c>
    </row>
    <row r="267" spans="1:4">
      <c r="A267" t="s">
        <v>954</v>
      </c>
      <c r="B267" t="s">
        <v>1232</v>
      </c>
      <c r="C267">
        <v>23</v>
      </c>
      <c r="D267">
        <v>77982.64</v>
      </c>
    </row>
    <row r="268" spans="1:4">
      <c r="A268" t="s">
        <v>954</v>
      </c>
      <c r="B268" t="s">
        <v>1233</v>
      </c>
      <c r="C268">
        <v>22</v>
      </c>
      <c r="D268">
        <v>70545.710000000006</v>
      </c>
    </row>
    <row r="269" spans="1:4">
      <c r="A269" t="s">
        <v>954</v>
      </c>
      <c r="B269" t="s">
        <v>1234</v>
      </c>
      <c r="C269">
        <v>21</v>
      </c>
      <c r="D269">
        <v>63823.98</v>
      </c>
    </row>
    <row r="270" spans="1:4">
      <c r="A270" t="s">
        <v>954</v>
      </c>
      <c r="B270" t="s">
        <v>1235</v>
      </c>
      <c r="C270">
        <v>32916</v>
      </c>
      <c r="D270">
        <v>184911300.19999999</v>
      </c>
    </row>
    <row r="271" spans="1:4">
      <c r="A271" t="s">
        <v>954</v>
      </c>
      <c r="B271" t="s">
        <v>1236</v>
      </c>
      <c r="C271">
        <v>20</v>
      </c>
      <c r="D271">
        <v>57173</v>
      </c>
    </row>
    <row r="272" spans="1:4">
      <c r="A272" t="s">
        <v>954</v>
      </c>
      <c r="B272" t="s">
        <v>1237</v>
      </c>
      <c r="C272">
        <v>19</v>
      </c>
      <c r="D272">
        <v>50850.43</v>
      </c>
    </row>
    <row r="273" spans="1:4">
      <c r="A273" t="s">
        <v>954</v>
      </c>
      <c r="B273" t="s">
        <v>1238</v>
      </c>
      <c r="C273">
        <v>16</v>
      </c>
      <c r="D273">
        <v>45562.01</v>
      </c>
    </row>
    <row r="274" spans="1:4">
      <c r="A274" t="s">
        <v>954</v>
      </c>
      <c r="B274" t="s">
        <v>1239</v>
      </c>
      <c r="C274">
        <v>14</v>
      </c>
      <c r="D274">
        <v>41498.239999999998</v>
      </c>
    </row>
    <row r="275" spans="1:4">
      <c r="A275" t="s">
        <v>954</v>
      </c>
      <c r="B275" t="s">
        <v>1240</v>
      </c>
      <c r="C275">
        <v>11</v>
      </c>
      <c r="D275">
        <v>37849.64</v>
      </c>
    </row>
    <row r="276" spans="1:4">
      <c r="A276" t="s">
        <v>954</v>
      </c>
      <c r="B276" t="s">
        <v>1241</v>
      </c>
      <c r="C276">
        <v>11</v>
      </c>
      <c r="D276">
        <v>34931</v>
      </c>
    </row>
    <row r="277" spans="1:4">
      <c r="A277" t="s">
        <v>954</v>
      </c>
      <c r="B277" t="s">
        <v>1242</v>
      </c>
      <c r="C277">
        <v>11</v>
      </c>
      <c r="D277">
        <v>31998.83</v>
      </c>
    </row>
    <row r="278" spans="1:4">
      <c r="A278" t="s">
        <v>954</v>
      </c>
      <c r="B278" t="s">
        <v>1243</v>
      </c>
      <c r="C278">
        <v>10</v>
      </c>
      <c r="D278">
        <v>29053.06</v>
      </c>
    </row>
    <row r="279" spans="1:4">
      <c r="A279" t="s">
        <v>954</v>
      </c>
      <c r="B279" t="s">
        <v>1244</v>
      </c>
      <c r="C279">
        <v>10</v>
      </c>
      <c r="D279">
        <v>26173.52</v>
      </c>
    </row>
    <row r="280" spans="1:4">
      <c r="A280" t="s">
        <v>954</v>
      </c>
      <c r="B280" t="s">
        <v>1245</v>
      </c>
      <c r="C280">
        <v>9</v>
      </c>
      <c r="D280">
        <v>23280.51</v>
      </c>
    </row>
    <row r="281" spans="1:4">
      <c r="A281" t="s">
        <v>954</v>
      </c>
      <c r="B281" t="s">
        <v>1246</v>
      </c>
      <c r="C281">
        <v>32358</v>
      </c>
      <c r="D281">
        <v>176952476.75</v>
      </c>
    </row>
    <row r="282" spans="1:4">
      <c r="A282" t="s">
        <v>954</v>
      </c>
      <c r="B282" t="s">
        <v>1247</v>
      </c>
      <c r="C282">
        <v>9</v>
      </c>
      <c r="D282">
        <v>20545.04</v>
      </c>
    </row>
    <row r="283" spans="1:4">
      <c r="A283" t="s">
        <v>954</v>
      </c>
      <c r="B283" t="s">
        <v>1248</v>
      </c>
      <c r="C283">
        <v>9</v>
      </c>
      <c r="D283">
        <v>17797.02</v>
      </c>
    </row>
    <row r="284" spans="1:4">
      <c r="A284" t="s">
        <v>954</v>
      </c>
      <c r="B284" t="s">
        <v>1249</v>
      </c>
      <c r="C284">
        <v>8</v>
      </c>
      <c r="D284">
        <v>15036.41</v>
      </c>
    </row>
    <row r="285" spans="1:4">
      <c r="A285" t="s">
        <v>954</v>
      </c>
      <c r="B285" t="s">
        <v>1250</v>
      </c>
      <c r="C285">
        <v>8</v>
      </c>
      <c r="D285">
        <v>12662.13</v>
      </c>
    </row>
    <row r="286" spans="1:4">
      <c r="A286" t="s">
        <v>954</v>
      </c>
      <c r="B286" t="s">
        <v>1251</v>
      </c>
      <c r="C286">
        <v>6</v>
      </c>
      <c r="D286">
        <v>10276.81</v>
      </c>
    </row>
    <row r="287" spans="1:4">
      <c r="A287" t="s">
        <v>954</v>
      </c>
      <c r="B287" t="s">
        <v>1252</v>
      </c>
      <c r="C287">
        <v>6</v>
      </c>
      <c r="D287">
        <v>8372.8700000000008</v>
      </c>
    </row>
    <row r="288" spans="1:4">
      <c r="A288" t="s">
        <v>954</v>
      </c>
      <c r="B288" t="s">
        <v>1253</v>
      </c>
      <c r="C288">
        <v>6</v>
      </c>
      <c r="D288">
        <v>6460.06</v>
      </c>
    </row>
    <row r="289" spans="1:4">
      <c r="A289" t="s">
        <v>954</v>
      </c>
      <c r="B289" t="s">
        <v>1254</v>
      </c>
      <c r="C289">
        <v>5</v>
      </c>
      <c r="D289">
        <v>4538.34</v>
      </c>
    </row>
    <row r="290" spans="1:4">
      <c r="A290" t="s">
        <v>954</v>
      </c>
      <c r="B290" t="s">
        <v>1255</v>
      </c>
      <c r="C290">
        <v>3</v>
      </c>
      <c r="D290">
        <v>2906.69</v>
      </c>
    </row>
    <row r="291" spans="1:4">
      <c r="A291" t="s">
        <v>954</v>
      </c>
      <c r="B291" t="s">
        <v>1256</v>
      </c>
      <c r="C291">
        <v>3</v>
      </c>
      <c r="D291">
        <v>2225.02</v>
      </c>
    </row>
    <row r="292" spans="1:4">
      <c r="A292" t="s">
        <v>954</v>
      </c>
      <c r="B292" t="s">
        <v>1257</v>
      </c>
      <c r="C292">
        <v>4088</v>
      </c>
      <c r="D292">
        <v>3314578.16</v>
      </c>
    </row>
    <row r="293" spans="1:4">
      <c r="A293" t="s">
        <v>954</v>
      </c>
      <c r="B293" t="s">
        <v>1258</v>
      </c>
      <c r="C293">
        <v>3886</v>
      </c>
      <c r="D293">
        <v>9210751.2500000186</v>
      </c>
    </row>
    <row r="294" spans="1:4">
      <c r="A294" t="s">
        <v>954</v>
      </c>
      <c r="B294" t="s">
        <v>1259</v>
      </c>
      <c r="C294">
        <v>5775</v>
      </c>
      <c r="D294">
        <v>21744169.819999911</v>
      </c>
    </row>
    <row r="295" spans="1:4">
      <c r="A295" t="s">
        <v>954</v>
      </c>
      <c r="B295" t="s">
        <v>1260</v>
      </c>
      <c r="C295">
        <v>6393</v>
      </c>
      <c r="D295">
        <v>35767149.879999869</v>
      </c>
    </row>
    <row r="296" spans="1:4">
      <c r="A296" t="s">
        <v>954</v>
      </c>
      <c r="B296" t="s">
        <v>1261</v>
      </c>
      <c r="C296">
        <v>7689</v>
      </c>
      <c r="D296">
        <v>59503626.349999957</v>
      </c>
    </row>
    <row r="297" spans="1:4">
      <c r="A297" t="s">
        <v>954</v>
      </c>
      <c r="B297" t="s">
        <v>1262</v>
      </c>
      <c r="C297">
        <v>6336</v>
      </c>
      <c r="D297">
        <v>63423162.379999951</v>
      </c>
    </row>
    <row r="298" spans="1:4">
      <c r="A298" t="s">
        <v>954</v>
      </c>
      <c r="B298" t="s">
        <v>1263</v>
      </c>
      <c r="C298">
        <v>2961</v>
      </c>
      <c r="D298">
        <v>39406787.480000086</v>
      </c>
    </row>
    <row r="299" spans="1:4">
      <c r="A299" t="s">
        <v>954</v>
      </c>
      <c r="B299" t="s">
        <v>1264</v>
      </c>
      <c r="C299">
        <v>395</v>
      </c>
      <c r="D299">
        <v>7940299.6300000036</v>
      </c>
    </row>
    <row r="300" spans="1:4">
      <c r="A300" t="s">
        <v>954</v>
      </c>
      <c r="B300" t="s">
        <v>1265</v>
      </c>
      <c r="C300">
        <v>91</v>
      </c>
      <c r="D300">
        <v>1974637.2000000004</v>
      </c>
    </row>
    <row r="301" spans="1:4">
      <c r="A301" t="s">
        <v>954</v>
      </c>
      <c r="B301" t="s">
        <v>1266</v>
      </c>
      <c r="C301">
        <v>25</v>
      </c>
      <c r="D301">
        <v>583753.13000000012</v>
      </c>
    </row>
    <row r="302" spans="1:4">
      <c r="A302" t="s">
        <v>954</v>
      </c>
      <c r="B302" t="s">
        <v>1267</v>
      </c>
      <c r="C302">
        <v>17</v>
      </c>
      <c r="D302">
        <v>406892.90999999992</v>
      </c>
    </row>
    <row r="303" spans="1:4">
      <c r="A303" t="s">
        <v>954</v>
      </c>
      <c r="B303" t="s">
        <v>1268</v>
      </c>
      <c r="C303">
        <v>12</v>
      </c>
      <c r="D303">
        <v>311454.94</v>
      </c>
    </row>
    <row r="304" spans="1:4">
      <c r="A304" t="s">
        <v>954</v>
      </c>
      <c r="B304" t="s">
        <v>1269</v>
      </c>
      <c r="C304">
        <v>2</v>
      </c>
      <c r="D304">
        <v>17511.68</v>
      </c>
    </row>
    <row r="305" spans="1:4">
      <c r="A305" t="s">
        <v>954</v>
      </c>
      <c r="B305" t="s">
        <v>1270</v>
      </c>
      <c r="C305">
        <v>6</v>
      </c>
      <c r="D305">
        <v>168310.52000000002</v>
      </c>
    </row>
    <row r="306" spans="1:4">
      <c r="A306" t="s">
        <v>954</v>
      </c>
      <c r="B306" t="s">
        <v>1271</v>
      </c>
      <c r="C306">
        <v>3</v>
      </c>
      <c r="D306">
        <v>53055.3</v>
      </c>
    </row>
    <row r="307" spans="1:4">
      <c r="A307" t="s">
        <v>954</v>
      </c>
      <c r="B307" t="s">
        <v>1272</v>
      </c>
      <c r="C307">
        <v>37679</v>
      </c>
      <c r="D307">
        <v>32.788094614275224</v>
      </c>
    </row>
    <row r="308" spans="1:4">
      <c r="A308" t="s">
        <v>955</v>
      </c>
      <c r="B308" t="s">
        <v>1273</v>
      </c>
      <c r="C308">
        <v>0</v>
      </c>
      <c r="D308">
        <v>0</v>
      </c>
    </row>
    <row r="309" spans="1:4">
      <c r="A309" t="s">
        <v>955</v>
      </c>
      <c r="B309" t="s">
        <v>1274</v>
      </c>
      <c r="C309">
        <v>0</v>
      </c>
      <c r="D309">
        <v>0</v>
      </c>
    </row>
    <row r="310" spans="1:4">
      <c r="A310" t="s">
        <v>955</v>
      </c>
      <c r="B310" t="s">
        <v>1275</v>
      </c>
      <c r="C310">
        <v>0</v>
      </c>
      <c r="D310">
        <v>0</v>
      </c>
    </row>
    <row r="311" spans="1:4">
      <c r="A311" t="s">
        <v>955</v>
      </c>
      <c r="B311" t="s">
        <v>1276</v>
      </c>
      <c r="C311">
        <v>0</v>
      </c>
      <c r="D311">
        <v>0</v>
      </c>
    </row>
    <row r="312" spans="1:4">
      <c r="A312" t="s">
        <v>955</v>
      </c>
      <c r="B312" t="s">
        <v>1277</v>
      </c>
      <c r="C312">
        <v>0</v>
      </c>
      <c r="D312">
        <v>0</v>
      </c>
    </row>
    <row r="313" spans="1:4">
      <c r="A313" t="s">
        <v>955</v>
      </c>
      <c r="B313" t="s">
        <v>1278</v>
      </c>
      <c r="C313">
        <v>0</v>
      </c>
      <c r="D313">
        <v>0</v>
      </c>
    </row>
    <row r="314" spans="1:4">
      <c r="A314" t="s">
        <v>955</v>
      </c>
      <c r="B314" t="s">
        <v>1279</v>
      </c>
      <c r="C314">
        <v>0</v>
      </c>
      <c r="D314">
        <v>0</v>
      </c>
    </row>
    <row r="315" spans="1:4">
      <c r="A315" t="s">
        <v>955</v>
      </c>
      <c r="B315" t="s">
        <v>1280</v>
      </c>
      <c r="C315">
        <v>0</v>
      </c>
      <c r="D315">
        <v>0</v>
      </c>
    </row>
    <row r="316" spans="1:4">
      <c r="A316" t="s">
        <v>955</v>
      </c>
      <c r="B316" t="s">
        <v>1281</v>
      </c>
      <c r="C316">
        <v>0</v>
      </c>
      <c r="D316">
        <v>0</v>
      </c>
    </row>
    <row r="317" spans="1:4">
      <c r="A317" t="s">
        <v>955</v>
      </c>
      <c r="B317" t="s">
        <v>1282</v>
      </c>
      <c r="C317">
        <v>0</v>
      </c>
      <c r="D317">
        <v>0</v>
      </c>
    </row>
    <row r="318" spans="1:4">
      <c r="A318" t="s">
        <v>955</v>
      </c>
      <c r="B318" t="s">
        <v>1283</v>
      </c>
      <c r="C318">
        <v>0</v>
      </c>
      <c r="D318">
        <v>0</v>
      </c>
    </row>
    <row r="319" spans="1:4">
      <c r="A319" t="s">
        <v>955</v>
      </c>
      <c r="B319" t="s">
        <v>1284</v>
      </c>
      <c r="C319">
        <v>0</v>
      </c>
      <c r="D319">
        <v>0</v>
      </c>
    </row>
    <row r="320" spans="1:4">
      <c r="A320" t="s">
        <v>955</v>
      </c>
      <c r="B320" t="s">
        <v>1285</v>
      </c>
      <c r="C320">
        <v>0</v>
      </c>
      <c r="D320">
        <v>0</v>
      </c>
    </row>
    <row r="321" spans="1:4">
      <c r="A321" t="s">
        <v>955</v>
      </c>
      <c r="B321" t="s">
        <v>1286</v>
      </c>
      <c r="C321">
        <v>0</v>
      </c>
      <c r="D321">
        <v>0</v>
      </c>
    </row>
    <row r="322" spans="1:4">
      <c r="A322" t="s">
        <v>955</v>
      </c>
      <c r="B322" t="s">
        <v>1287</v>
      </c>
      <c r="C322">
        <v>0</v>
      </c>
      <c r="D322">
        <v>0</v>
      </c>
    </row>
    <row r="323" spans="1:4">
      <c r="A323" t="s">
        <v>955</v>
      </c>
      <c r="B323" t="s">
        <v>1288</v>
      </c>
      <c r="C323">
        <v>0</v>
      </c>
      <c r="D323">
        <v>0</v>
      </c>
    </row>
    <row r="324" spans="1:4">
      <c r="A324" t="s">
        <v>954</v>
      </c>
      <c r="B324" t="s">
        <v>1289</v>
      </c>
      <c r="C324">
        <v>694</v>
      </c>
      <c r="D324">
        <v>6575338.7199999988</v>
      </c>
    </row>
    <row r="325" spans="1:4">
      <c r="A325" t="s">
        <v>954</v>
      </c>
      <c r="B325" t="s">
        <v>1290</v>
      </c>
      <c r="C325">
        <v>2342</v>
      </c>
      <c r="D325">
        <v>21614495.719999991</v>
      </c>
    </row>
    <row r="326" spans="1:4">
      <c r="A326" t="s">
        <v>954</v>
      </c>
      <c r="B326" t="s">
        <v>1291</v>
      </c>
      <c r="C326">
        <v>3493</v>
      </c>
      <c r="D326">
        <v>28586507.869999971</v>
      </c>
    </row>
    <row r="327" spans="1:4">
      <c r="A327" t="s">
        <v>954</v>
      </c>
      <c r="B327" t="s">
        <v>1292</v>
      </c>
      <c r="C327">
        <v>4806</v>
      </c>
      <c r="D327">
        <v>33780121.530000024</v>
      </c>
    </row>
    <row r="328" spans="1:4">
      <c r="A328" t="s">
        <v>954</v>
      </c>
      <c r="B328" t="s">
        <v>1293</v>
      </c>
      <c r="C328">
        <v>7325</v>
      </c>
      <c r="D328">
        <v>49171554.909999952</v>
      </c>
    </row>
    <row r="329" spans="1:4">
      <c r="A329" t="s">
        <v>954</v>
      </c>
      <c r="B329" t="s">
        <v>1294</v>
      </c>
      <c r="C329">
        <v>5397</v>
      </c>
      <c r="D329">
        <v>34560300.220000021</v>
      </c>
    </row>
    <row r="330" spans="1:4">
      <c r="A330" t="s">
        <v>954</v>
      </c>
      <c r="B330" t="s">
        <v>1295</v>
      </c>
      <c r="C330">
        <v>5897</v>
      </c>
      <c r="D330">
        <v>33861574.43</v>
      </c>
    </row>
    <row r="331" spans="1:4">
      <c r="A331" t="s">
        <v>954</v>
      </c>
      <c r="B331" t="s">
        <v>1296</v>
      </c>
      <c r="C331">
        <v>4519</v>
      </c>
      <c r="D331">
        <v>22066723.140000064</v>
      </c>
    </row>
    <row r="332" spans="1:4">
      <c r="A332" t="s">
        <v>954</v>
      </c>
      <c r="B332" t="s">
        <v>1297</v>
      </c>
      <c r="C332">
        <v>1084</v>
      </c>
      <c r="D332">
        <v>5854121.2299999949</v>
      </c>
    </row>
    <row r="333" spans="1:4">
      <c r="A333" t="s">
        <v>954</v>
      </c>
      <c r="B333" t="s">
        <v>1298</v>
      </c>
      <c r="C333">
        <v>491</v>
      </c>
      <c r="D333">
        <v>2480675.7999999993</v>
      </c>
    </row>
    <row r="334" spans="1:4">
      <c r="A334" t="s">
        <v>954</v>
      </c>
      <c r="B334" t="s">
        <v>1299</v>
      </c>
      <c r="C334">
        <v>831</v>
      </c>
      <c r="D334">
        <v>3153599.4899999998</v>
      </c>
    </row>
    <row r="335" spans="1:4">
      <c r="A335" t="s">
        <v>954</v>
      </c>
      <c r="B335" t="s">
        <v>1300</v>
      </c>
      <c r="C335">
        <v>800</v>
      </c>
      <c r="D335">
        <v>2121127.5699999975</v>
      </c>
    </row>
    <row r="336" spans="1:4">
      <c r="A336" t="s">
        <v>954</v>
      </c>
      <c r="B336" t="s">
        <v>1301</v>
      </c>
      <c r="C336">
        <v>37679</v>
      </c>
      <c r="D336">
        <v>61.748294585390035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1338</v>
      </c>
      <c r="D2" s="965">
        <v>45937</v>
      </c>
      <c r="E2" t="s">
        <v>1339</v>
      </c>
    </row>
    <row r="3" spans="1:5">
      <c r="A3">
        <v>25</v>
      </c>
      <c r="B3" t="s">
        <v>1340</v>
      </c>
      <c r="D3" s="965">
        <v>45940</v>
      </c>
      <c r="E3" t="s">
        <v>1339</v>
      </c>
    </row>
    <row r="4" spans="1:5">
      <c r="A4">
        <v>25</v>
      </c>
      <c r="B4" t="s">
        <v>1341</v>
      </c>
      <c r="D4" s="965">
        <v>45944</v>
      </c>
      <c r="E4" t="s">
        <v>1339</v>
      </c>
    </row>
    <row r="5" spans="1:5">
      <c r="A5">
        <v>25</v>
      </c>
      <c r="B5" t="s">
        <v>1342</v>
      </c>
      <c r="C5">
        <v>59</v>
      </c>
      <c r="E5" t="s">
        <v>1339</v>
      </c>
    </row>
    <row r="6" spans="1:5">
      <c r="A6">
        <v>25</v>
      </c>
      <c r="B6" t="s">
        <v>1343</v>
      </c>
      <c r="D6" s="965">
        <v>45944</v>
      </c>
      <c r="E6" t="s">
        <v>1339</v>
      </c>
    </row>
    <row r="7" spans="1:5">
      <c r="A7">
        <v>25</v>
      </c>
      <c r="B7" t="s">
        <v>1344</v>
      </c>
      <c r="D7" s="965">
        <v>45915</v>
      </c>
      <c r="E7" t="s">
        <v>1339</v>
      </c>
    </row>
    <row r="8" spans="1:5">
      <c r="A8">
        <v>25</v>
      </c>
      <c r="B8" t="s">
        <v>1345</v>
      </c>
      <c r="C8">
        <v>256430146.51999989</v>
      </c>
      <c r="E8" t="s">
        <v>1339</v>
      </c>
    </row>
    <row r="9" spans="1:5">
      <c r="A9">
        <v>25</v>
      </c>
      <c r="B9" t="s">
        <v>1346</v>
      </c>
      <c r="C9">
        <v>269112740.90999991</v>
      </c>
      <c r="E9" t="s">
        <v>1339</v>
      </c>
    </row>
    <row r="10" spans="1:5">
      <c r="A10">
        <v>25</v>
      </c>
      <c r="B10" t="s">
        <v>1347</v>
      </c>
      <c r="C10">
        <v>11886362.359999999</v>
      </c>
      <c r="E10" t="s">
        <v>1339</v>
      </c>
    </row>
    <row r="11" spans="1:5">
      <c r="A11">
        <v>25</v>
      </c>
      <c r="B11" t="s">
        <v>1348</v>
      </c>
      <c r="C11">
        <v>12059425.41</v>
      </c>
      <c r="E11" t="s">
        <v>1339</v>
      </c>
    </row>
    <row r="12" spans="1:5">
      <c r="A12">
        <v>25</v>
      </c>
      <c r="B12" t="s">
        <v>1349</v>
      </c>
      <c r="C12">
        <v>1130910.0900000001</v>
      </c>
      <c r="E12" t="s">
        <v>1339</v>
      </c>
    </row>
    <row r="13" spans="1:5">
      <c r="A13">
        <v>25</v>
      </c>
      <c r="B13" t="s">
        <v>1350</v>
      </c>
      <c r="C13">
        <v>1188043.74</v>
      </c>
      <c r="E13" t="s">
        <v>1339</v>
      </c>
    </row>
    <row r="14" spans="1:5">
      <c r="A14">
        <v>25</v>
      </c>
      <c r="B14" t="s">
        <v>1351</v>
      </c>
      <c r="C14">
        <v>717643.53</v>
      </c>
      <c r="E14" t="s">
        <v>1339</v>
      </c>
    </row>
    <row r="15" spans="1:5">
      <c r="A15">
        <v>25</v>
      </c>
      <c r="B15" t="s">
        <v>1352</v>
      </c>
      <c r="C15">
        <v>623168.98</v>
      </c>
      <c r="E15" t="s">
        <v>1339</v>
      </c>
    </row>
    <row r="16" spans="1:5">
      <c r="A16">
        <v>25</v>
      </c>
      <c r="B16" t="s">
        <v>1353</v>
      </c>
      <c r="C16">
        <v>0</v>
      </c>
      <c r="E16" t="s">
        <v>1339</v>
      </c>
    </row>
    <row r="17" spans="1:5">
      <c r="A17">
        <v>25</v>
      </c>
      <c r="B17" t="s">
        <v>1354</v>
      </c>
      <c r="C17">
        <v>0</v>
      </c>
      <c r="E17" t="s">
        <v>1339</v>
      </c>
    </row>
    <row r="18" spans="1:5">
      <c r="A18">
        <v>25</v>
      </c>
      <c r="B18" t="s">
        <v>1355</v>
      </c>
      <c r="C18">
        <v>243826140.62999988</v>
      </c>
      <c r="E18" t="s">
        <v>1339</v>
      </c>
    </row>
    <row r="19" spans="1:5">
      <c r="A19">
        <v>25</v>
      </c>
      <c r="B19" t="s">
        <v>1356</v>
      </c>
      <c r="C19">
        <v>256430146.51999989</v>
      </c>
      <c r="E19" t="s">
        <v>1339</v>
      </c>
    </row>
    <row r="20" spans="1:5">
      <c r="A20">
        <v>25</v>
      </c>
      <c r="B20" t="s">
        <v>1357</v>
      </c>
      <c r="C20">
        <v>95.819999983068556</v>
      </c>
      <c r="E20" t="s">
        <v>1339</v>
      </c>
    </row>
    <row r="21" spans="1:5">
      <c r="A21">
        <v>25</v>
      </c>
      <c r="B21" t="s">
        <v>1358</v>
      </c>
      <c r="C21">
        <v>92.229999985022005</v>
      </c>
      <c r="E21" t="s">
        <v>1339</v>
      </c>
    </row>
    <row r="22" spans="1:5">
      <c r="A22">
        <v>25</v>
      </c>
      <c r="B22" t="s">
        <v>1359</v>
      </c>
      <c r="C22">
        <v>243826236.44999987</v>
      </c>
      <c r="E22" t="s">
        <v>1339</v>
      </c>
    </row>
    <row r="23" spans="1:5">
      <c r="A23">
        <v>25</v>
      </c>
      <c r="B23" t="s">
        <v>1360</v>
      </c>
      <c r="C23">
        <v>256430238.74999988</v>
      </c>
      <c r="E23" t="s">
        <v>1339</v>
      </c>
    </row>
    <row r="24" spans="1:5">
      <c r="A24">
        <v>25</v>
      </c>
      <c r="B24" t="s">
        <v>1361</v>
      </c>
      <c r="C24">
        <v>6000000</v>
      </c>
      <c r="E24" t="s">
        <v>1339</v>
      </c>
    </row>
    <row r="25" spans="1:5">
      <c r="A25">
        <v>25</v>
      </c>
      <c r="B25" t="s">
        <v>1362</v>
      </c>
      <c r="C25">
        <v>6000000</v>
      </c>
      <c r="E25" t="s">
        <v>1339</v>
      </c>
    </row>
    <row r="26" spans="1:5">
      <c r="A26">
        <v>25</v>
      </c>
      <c r="B26" t="s">
        <v>1363</v>
      </c>
      <c r="E26" t="s">
        <v>1339</v>
      </c>
    </row>
    <row r="27" spans="1:5">
      <c r="A27">
        <v>25</v>
      </c>
      <c r="B27" t="s">
        <v>1364</v>
      </c>
      <c r="C27">
        <v>6000000</v>
      </c>
      <c r="E27" t="s">
        <v>1339</v>
      </c>
    </row>
    <row r="28" spans="1:5">
      <c r="A28">
        <v>25</v>
      </c>
      <c r="B28" t="s">
        <v>1365</v>
      </c>
      <c r="C28">
        <v>6000000</v>
      </c>
      <c r="E28" t="s">
        <v>1339</v>
      </c>
    </row>
    <row r="29" spans="1:5">
      <c r="A29">
        <v>25</v>
      </c>
      <c r="B29" t="s">
        <v>1366</v>
      </c>
      <c r="C29">
        <v>6000000</v>
      </c>
      <c r="E29" t="s">
        <v>1339</v>
      </c>
    </row>
    <row r="30" spans="1:5">
      <c r="A30">
        <v>25</v>
      </c>
      <c r="B30" t="s">
        <v>1367</v>
      </c>
      <c r="E30" t="s">
        <v>246</v>
      </c>
    </row>
    <row r="31" spans="1:5">
      <c r="A31">
        <v>25</v>
      </c>
      <c r="B31" t="s">
        <v>1368</v>
      </c>
      <c r="E31" t="s">
        <v>246</v>
      </c>
    </row>
    <row r="32" spans="1:5">
      <c r="A32">
        <v>25</v>
      </c>
      <c r="B32" t="s">
        <v>1369</v>
      </c>
      <c r="E32" t="s">
        <v>1339</v>
      </c>
    </row>
    <row r="33" spans="1:5">
      <c r="A33">
        <v>25</v>
      </c>
      <c r="B33" t="s">
        <v>1370</v>
      </c>
      <c r="E33" t="s">
        <v>1339</v>
      </c>
    </row>
    <row r="34" spans="1:5">
      <c r="A34">
        <v>25</v>
      </c>
      <c r="B34" t="s">
        <v>1371</v>
      </c>
      <c r="E34" t="s">
        <v>246</v>
      </c>
    </row>
    <row r="35" spans="1:5">
      <c r="A35">
        <v>25</v>
      </c>
      <c r="B35" t="s">
        <v>1372</v>
      </c>
      <c r="C35">
        <v>0</v>
      </c>
      <c r="E35" t="s">
        <v>246</v>
      </c>
    </row>
    <row r="36" spans="1:5">
      <c r="A36">
        <v>25</v>
      </c>
      <c r="B36" t="s">
        <v>1373</v>
      </c>
      <c r="C36">
        <v>0</v>
      </c>
      <c r="E36" t="s">
        <v>1339</v>
      </c>
    </row>
    <row r="37" spans="1:5">
      <c r="A37">
        <v>25</v>
      </c>
      <c r="B37" t="s">
        <v>1374</v>
      </c>
      <c r="E37" t="s">
        <v>43</v>
      </c>
    </row>
    <row r="38" spans="1:5">
      <c r="A38">
        <v>25</v>
      </c>
      <c r="B38" t="s">
        <v>1375</v>
      </c>
      <c r="E38" t="s">
        <v>246</v>
      </c>
    </row>
    <row r="39" spans="1:5">
      <c r="A39">
        <v>25</v>
      </c>
      <c r="B39" t="s">
        <v>1376</v>
      </c>
      <c r="E39" t="s">
        <v>246</v>
      </c>
    </row>
    <row r="40" spans="1:5">
      <c r="A40">
        <v>25</v>
      </c>
      <c r="B40" t="s">
        <v>1377</v>
      </c>
      <c r="E40" t="s">
        <v>1339</v>
      </c>
    </row>
    <row r="41" spans="1:5">
      <c r="A41">
        <v>25</v>
      </c>
      <c r="B41" t="s">
        <v>1378</v>
      </c>
      <c r="E41" t="s">
        <v>1339</v>
      </c>
    </row>
    <row r="42" spans="1:5">
      <c r="A42">
        <v>25</v>
      </c>
      <c r="B42" t="s">
        <v>1379</v>
      </c>
      <c r="E42" t="s">
        <v>246</v>
      </c>
    </row>
    <row r="43" spans="1:5">
      <c r="A43">
        <v>25</v>
      </c>
      <c r="B43" t="s">
        <v>1380</v>
      </c>
      <c r="C43">
        <v>0</v>
      </c>
      <c r="E43" t="s">
        <v>246</v>
      </c>
    </row>
    <row r="44" spans="1:5">
      <c r="A44">
        <v>25</v>
      </c>
      <c r="B44" t="s">
        <v>1381</v>
      </c>
      <c r="C44">
        <v>0</v>
      </c>
      <c r="E44" t="s">
        <v>1339</v>
      </c>
    </row>
    <row r="45" spans="1:5">
      <c r="A45">
        <v>25</v>
      </c>
      <c r="B45" t="s">
        <v>1382</v>
      </c>
      <c r="E45" t="s">
        <v>43</v>
      </c>
    </row>
    <row r="46" spans="1:5">
      <c r="A46">
        <v>25</v>
      </c>
      <c r="B46" t="s">
        <v>1383</v>
      </c>
      <c r="C46">
        <v>0</v>
      </c>
      <c r="E46" t="s">
        <v>1339</v>
      </c>
    </row>
    <row r="47" spans="1:5">
      <c r="A47">
        <v>25</v>
      </c>
      <c r="B47" t="s">
        <v>1384</v>
      </c>
      <c r="C47">
        <v>717643.53</v>
      </c>
      <c r="E47" t="s">
        <v>1339</v>
      </c>
    </row>
    <row r="48" spans="1:5">
      <c r="A48">
        <v>25</v>
      </c>
      <c r="B48" t="s">
        <v>1385</v>
      </c>
      <c r="C48">
        <v>291127.67</v>
      </c>
      <c r="E48" t="s">
        <v>1339</v>
      </c>
    </row>
    <row r="49" spans="1:5">
      <c r="A49">
        <v>25</v>
      </c>
      <c r="B49" t="s">
        <v>1386</v>
      </c>
      <c r="C49">
        <v>0</v>
      </c>
      <c r="E49" t="s">
        <v>1339</v>
      </c>
    </row>
    <row r="50" spans="1:5">
      <c r="A50">
        <v>25</v>
      </c>
      <c r="B50" t="s">
        <v>1387</v>
      </c>
      <c r="C50">
        <v>119770893.84999998</v>
      </c>
      <c r="E50" t="s">
        <v>1339</v>
      </c>
    </row>
    <row r="51" spans="1:5">
      <c r="A51">
        <v>25</v>
      </c>
      <c r="B51" t="s">
        <v>1388</v>
      </c>
      <c r="C51">
        <v>20147864.991177931</v>
      </c>
      <c r="E51" t="s">
        <v>1339</v>
      </c>
    </row>
    <row r="52" spans="1:5">
      <c r="A52">
        <v>25</v>
      </c>
      <c r="B52" t="s">
        <v>1389</v>
      </c>
      <c r="C52">
        <v>3851</v>
      </c>
      <c r="E52" t="s">
        <v>1339</v>
      </c>
    </row>
    <row r="53" spans="1:5">
      <c r="A53">
        <v>25</v>
      </c>
      <c r="B53" t="s">
        <v>1390</v>
      </c>
      <c r="C53">
        <v>3.6222559211685858E-2</v>
      </c>
      <c r="E53" t="s">
        <v>1339</v>
      </c>
    </row>
    <row r="54" spans="1:5">
      <c r="A54">
        <v>25</v>
      </c>
      <c r="B54" t="s">
        <v>1391</v>
      </c>
      <c r="C54">
        <v>3.633406336873557E-2</v>
      </c>
      <c r="E54" t="s">
        <v>1339</v>
      </c>
    </row>
    <row r="55" spans="1:5">
      <c r="A55">
        <v>25</v>
      </c>
      <c r="B55" t="s">
        <v>1392</v>
      </c>
      <c r="C55">
        <v>3.6490289165555606E-2</v>
      </c>
      <c r="E55" t="s">
        <v>1339</v>
      </c>
    </row>
    <row r="56" spans="1:5">
      <c r="A56">
        <v>25</v>
      </c>
      <c r="B56" t="s">
        <v>1393</v>
      </c>
      <c r="C56">
        <v>0</v>
      </c>
      <c r="E56" t="s">
        <v>1339</v>
      </c>
    </row>
    <row r="57" spans="1:5">
      <c r="A57">
        <v>25</v>
      </c>
      <c r="B57" t="s">
        <v>1394</v>
      </c>
      <c r="C57">
        <v>0</v>
      </c>
      <c r="E57" t="s">
        <v>1339</v>
      </c>
    </row>
    <row r="58" spans="1:5">
      <c r="A58">
        <v>25</v>
      </c>
      <c r="B58" t="s">
        <v>1395</v>
      </c>
      <c r="C58">
        <v>0</v>
      </c>
      <c r="E58" t="s">
        <v>1339</v>
      </c>
    </row>
    <row r="59" spans="1:5">
      <c r="A59">
        <v>25</v>
      </c>
      <c r="B59" t="s">
        <v>1396</v>
      </c>
      <c r="C59">
        <v>0</v>
      </c>
      <c r="E59" t="s">
        <v>1339</v>
      </c>
    </row>
    <row r="60" spans="1:5">
      <c r="A60">
        <v>25</v>
      </c>
      <c r="B60" t="s">
        <v>1397</v>
      </c>
      <c r="C60">
        <v>0</v>
      </c>
      <c r="E60" t="s">
        <v>1339</v>
      </c>
    </row>
    <row r="61" spans="1:5">
      <c r="A61">
        <v>25</v>
      </c>
      <c r="B61" t="s">
        <v>1398</v>
      </c>
      <c r="C61">
        <v>0</v>
      </c>
      <c r="E61" t="s">
        <v>1339</v>
      </c>
    </row>
    <row r="62" spans="1:5">
      <c r="A62">
        <v>25</v>
      </c>
      <c r="B62" t="s">
        <v>1399</v>
      </c>
      <c r="C62">
        <v>0</v>
      </c>
      <c r="E62" t="s">
        <v>1339</v>
      </c>
    </row>
    <row r="63" spans="1:5">
      <c r="A63">
        <v>25</v>
      </c>
      <c r="B63" t="s">
        <v>1400</v>
      </c>
      <c r="C63">
        <v>0</v>
      </c>
      <c r="E63" t="s">
        <v>1339</v>
      </c>
    </row>
    <row r="64" spans="1:5">
      <c r="A64">
        <v>25</v>
      </c>
      <c r="B64" t="s">
        <v>1401</v>
      </c>
      <c r="C64">
        <v>0</v>
      </c>
      <c r="E64" t="s">
        <v>1339</v>
      </c>
    </row>
    <row r="65" spans="1:5">
      <c r="A65">
        <v>25</v>
      </c>
      <c r="B65" t="s">
        <v>1402</v>
      </c>
      <c r="C65">
        <v>0</v>
      </c>
      <c r="E65" t="s">
        <v>1339</v>
      </c>
    </row>
    <row r="66" spans="1:5">
      <c r="A66">
        <v>25</v>
      </c>
      <c r="B66" t="s">
        <v>1403</v>
      </c>
      <c r="C66">
        <v>0</v>
      </c>
      <c r="E66" t="s">
        <v>1339</v>
      </c>
    </row>
    <row r="67" spans="1:5">
      <c r="A67">
        <v>25</v>
      </c>
      <c r="B67" t="s">
        <v>1404</v>
      </c>
      <c r="C67">
        <v>0</v>
      </c>
      <c r="E67" t="s">
        <v>1339</v>
      </c>
    </row>
    <row r="68" spans="1:5">
      <c r="A68">
        <v>25</v>
      </c>
      <c r="B68" t="s">
        <v>1405</v>
      </c>
      <c r="C68">
        <v>0</v>
      </c>
      <c r="E68" t="s">
        <v>1339</v>
      </c>
    </row>
    <row r="69" spans="1:5">
      <c r="A69">
        <v>25</v>
      </c>
      <c r="B69" t="s">
        <v>1406</v>
      </c>
      <c r="C69">
        <v>0</v>
      </c>
      <c r="E69" t="s">
        <v>1339</v>
      </c>
    </row>
    <row r="70" spans="1:5">
      <c r="A70">
        <v>25</v>
      </c>
      <c r="B70" t="s">
        <v>1407</v>
      </c>
      <c r="C70">
        <v>0</v>
      </c>
      <c r="E70" t="s">
        <v>1339</v>
      </c>
    </row>
    <row r="71" spans="1:5">
      <c r="A71">
        <v>25</v>
      </c>
      <c r="B71" t="s">
        <v>1408</v>
      </c>
      <c r="C71">
        <v>0</v>
      </c>
      <c r="E71" t="s">
        <v>1339</v>
      </c>
    </row>
    <row r="72" spans="1:5">
      <c r="A72">
        <v>25</v>
      </c>
      <c r="B72" t="s">
        <v>1409</v>
      </c>
      <c r="C72">
        <v>0</v>
      </c>
      <c r="E72" t="s">
        <v>1339</v>
      </c>
    </row>
    <row r="73" spans="1:5">
      <c r="A73">
        <v>25</v>
      </c>
      <c r="B73" t="s">
        <v>1410</v>
      </c>
      <c r="C73">
        <v>0</v>
      </c>
      <c r="E73" t="s">
        <v>1339</v>
      </c>
    </row>
    <row r="74" spans="1:5">
      <c r="A74">
        <v>25</v>
      </c>
      <c r="B74" t="s">
        <v>1411</v>
      </c>
      <c r="C74">
        <v>0</v>
      </c>
      <c r="E74" t="s">
        <v>1339</v>
      </c>
    </row>
    <row r="75" spans="1:5">
      <c r="A75">
        <v>25</v>
      </c>
      <c r="B75" t="s">
        <v>1412</v>
      </c>
      <c r="C75">
        <v>0</v>
      </c>
      <c r="E75" t="s">
        <v>1339</v>
      </c>
    </row>
    <row r="76" spans="1:5">
      <c r="A76">
        <v>25</v>
      </c>
      <c r="B76" t="s">
        <v>1413</v>
      </c>
      <c r="C76">
        <v>0</v>
      </c>
      <c r="E76" t="s">
        <v>1339</v>
      </c>
    </row>
    <row r="77" spans="1:5">
      <c r="A77">
        <v>25</v>
      </c>
      <c r="B77" t="s">
        <v>1414</v>
      </c>
      <c r="C77">
        <v>0</v>
      </c>
      <c r="E77" t="s">
        <v>1339</v>
      </c>
    </row>
    <row r="78" spans="1:5">
      <c r="A78">
        <v>25</v>
      </c>
      <c r="B78" t="s">
        <v>1415</v>
      </c>
      <c r="C78">
        <v>0</v>
      </c>
      <c r="E78" t="s">
        <v>1339</v>
      </c>
    </row>
    <row r="79" spans="1:5">
      <c r="A79">
        <v>25</v>
      </c>
      <c r="B79" t="s">
        <v>1416</v>
      </c>
      <c r="C79">
        <v>0</v>
      </c>
      <c r="E79" t="s">
        <v>1339</v>
      </c>
    </row>
    <row r="80" spans="1:5">
      <c r="A80">
        <v>25</v>
      </c>
      <c r="B80" t="s">
        <v>1417</v>
      </c>
      <c r="C80">
        <v>0</v>
      </c>
      <c r="E80" t="s">
        <v>1339</v>
      </c>
    </row>
    <row r="81" spans="1:5">
      <c r="A81">
        <v>25</v>
      </c>
      <c r="B81" t="s">
        <v>1418</v>
      </c>
      <c r="C81">
        <v>717643.53</v>
      </c>
      <c r="E81" t="s">
        <v>1339</v>
      </c>
    </row>
    <row r="82" spans="1:5">
      <c r="A82">
        <v>25</v>
      </c>
      <c r="B82" t="s">
        <v>1419</v>
      </c>
      <c r="C82">
        <v>717643.53</v>
      </c>
      <c r="E82" t="s">
        <v>1339</v>
      </c>
    </row>
    <row r="83" spans="1:5">
      <c r="A83">
        <v>25</v>
      </c>
      <c r="B83" t="s">
        <v>1420</v>
      </c>
      <c r="C83">
        <v>0</v>
      </c>
      <c r="E83" t="s">
        <v>1339</v>
      </c>
    </row>
    <row r="84" spans="1:5">
      <c r="A84">
        <v>25</v>
      </c>
      <c r="B84" t="s">
        <v>1421</v>
      </c>
      <c r="C84">
        <v>3.6490289165555606E-2</v>
      </c>
      <c r="E84" t="s">
        <v>1339</v>
      </c>
    </row>
    <row r="85" spans="1:5">
      <c r="A85">
        <v>25</v>
      </c>
      <c r="B85" t="s">
        <v>1422</v>
      </c>
      <c r="C85">
        <v>149.78999998327345</v>
      </c>
      <c r="E85" t="s">
        <v>1339</v>
      </c>
    </row>
    <row r="86" spans="1:5">
      <c r="A86">
        <v>25</v>
      </c>
      <c r="B86" t="s">
        <v>1358</v>
      </c>
      <c r="C86">
        <v>92.229999985022005</v>
      </c>
      <c r="E86" t="s">
        <v>1339</v>
      </c>
    </row>
    <row r="87" spans="1:5">
      <c r="A87">
        <v>25</v>
      </c>
      <c r="B87" t="s">
        <v>1357</v>
      </c>
      <c r="C87">
        <v>95.819999983068556</v>
      </c>
      <c r="E87" t="s">
        <v>1339</v>
      </c>
    </row>
    <row r="88" spans="1:5">
      <c r="A88">
        <v>25</v>
      </c>
      <c r="B88" t="s">
        <v>1423</v>
      </c>
      <c r="C88">
        <v>1.7051994468438837E-2</v>
      </c>
      <c r="E88" t="s">
        <v>1339</v>
      </c>
    </row>
    <row r="89" spans="1:5">
      <c r="A89">
        <v>25</v>
      </c>
      <c r="B89" t="s">
        <v>1424</v>
      </c>
      <c r="C89">
        <v>215930238.75000021</v>
      </c>
      <c r="E89" t="s">
        <v>1339</v>
      </c>
    </row>
    <row r="90" spans="1:5">
      <c r="A90">
        <v>25</v>
      </c>
      <c r="B90" t="s">
        <v>1425</v>
      </c>
      <c r="C90">
        <v>168988882.50000021</v>
      </c>
      <c r="E90" t="s">
        <v>1339</v>
      </c>
    </row>
    <row r="91" spans="1:5">
      <c r="A91">
        <v>25</v>
      </c>
      <c r="B91" t="s">
        <v>1426</v>
      </c>
      <c r="C91">
        <v>11597276.250000009</v>
      </c>
      <c r="E91" t="s">
        <v>1339</v>
      </c>
    </row>
    <row r="92" spans="1:5">
      <c r="A92">
        <v>25</v>
      </c>
      <c r="B92" t="s">
        <v>1427</v>
      </c>
      <c r="C92">
        <v>13254029.999999994</v>
      </c>
      <c r="E92" t="s">
        <v>1339</v>
      </c>
    </row>
    <row r="93" spans="1:5">
      <c r="A93">
        <v>25</v>
      </c>
      <c r="B93" t="s">
        <v>1428</v>
      </c>
      <c r="C93">
        <v>9940522.5</v>
      </c>
      <c r="E93" t="s">
        <v>1339</v>
      </c>
    </row>
    <row r="94" spans="1:5">
      <c r="A94">
        <v>25</v>
      </c>
      <c r="B94" t="s">
        <v>1429</v>
      </c>
      <c r="C94">
        <v>6627014.9999999972</v>
      </c>
      <c r="E94" t="s">
        <v>1339</v>
      </c>
    </row>
    <row r="95" spans="1:5">
      <c r="A95">
        <v>25</v>
      </c>
      <c r="B95" t="s">
        <v>1430</v>
      </c>
      <c r="C95">
        <v>5522512.5</v>
      </c>
      <c r="E95" t="s">
        <v>1339</v>
      </c>
    </row>
    <row r="96" spans="1:5">
      <c r="A96">
        <v>25</v>
      </c>
      <c r="B96" t="s">
        <v>1431</v>
      </c>
      <c r="C96">
        <v>0</v>
      </c>
      <c r="E96" t="s">
        <v>1339</v>
      </c>
    </row>
    <row r="97" spans="1:5">
      <c r="A97">
        <v>25</v>
      </c>
      <c r="B97" t="s">
        <v>243</v>
      </c>
      <c r="C97">
        <v>0</v>
      </c>
      <c r="E97" t="s">
        <v>1339</v>
      </c>
    </row>
    <row r="98" spans="1:5">
      <c r="A98">
        <v>25</v>
      </c>
      <c r="B98" t="s">
        <v>1432</v>
      </c>
      <c r="C98">
        <v>12604002.300000001</v>
      </c>
      <c r="E98" t="s">
        <v>1339</v>
      </c>
    </row>
    <row r="99" spans="1:5">
      <c r="A99">
        <v>25</v>
      </c>
      <c r="B99" t="s">
        <v>1433</v>
      </c>
      <c r="C99">
        <v>12604002.300000001</v>
      </c>
      <c r="E99" t="s">
        <v>1339</v>
      </c>
    </row>
    <row r="100" spans="1:5">
      <c r="A100">
        <v>25</v>
      </c>
      <c r="B100" t="s">
        <v>1434</v>
      </c>
      <c r="C100">
        <v>9864001.8000000007</v>
      </c>
      <c r="E100" t="s">
        <v>1339</v>
      </c>
    </row>
    <row r="101" spans="1:5">
      <c r="A101">
        <v>25</v>
      </c>
      <c r="B101" t="s">
        <v>1435</v>
      </c>
      <c r="C101">
        <v>676941.3</v>
      </c>
      <c r="E101" t="s">
        <v>1339</v>
      </c>
    </row>
    <row r="102" spans="1:5">
      <c r="A102">
        <v>25</v>
      </c>
      <c r="B102" t="s">
        <v>1436</v>
      </c>
      <c r="C102">
        <v>773647.20000000007</v>
      </c>
      <c r="E102" t="s">
        <v>1339</v>
      </c>
    </row>
    <row r="103" spans="1:5">
      <c r="A103">
        <v>25</v>
      </c>
      <c r="B103" t="s">
        <v>1437</v>
      </c>
      <c r="C103">
        <v>580235.4</v>
      </c>
      <c r="E103" t="s">
        <v>1339</v>
      </c>
    </row>
    <row r="104" spans="1:5">
      <c r="A104">
        <v>25</v>
      </c>
      <c r="B104" t="s">
        <v>1438</v>
      </c>
      <c r="C104">
        <v>386823.60000000003</v>
      </c>
      <c r="E104" t="s">
        <v>1339</v>
      </c>
    </row>
    <row r="105" spans="1:5">
      <c r="A105">
        <v>25</v>
      </c>
      <c r="B105" t="s">
        <v>1439</v>
      </c>
      <c r="C105">
        <v>322353</v>
      </c>
      <c r="E105" t="s">
        <v>1339</v>
      </c>
    </row>
    <row r="106" spans="1:5">
      <c r="A106">
        <v>25</v>
      </c>
      <c r="B106" t="s">
        <v>1440</v>
      </c>
      <c r="C106">
        <v>0</v>
      </c>
      <c r="E106" t="s">
        <v>1339</v>
      </c>
    </row>
    <row r="107" spans="1:5">
      <c r="A107">
        <v>25</v>
      </c>
      <c r="B107" t="s">
        <v>1441</v>
      </c>
      <c r="C107">
        <v>0</v>
      </c>
      <c r="E107" t="s">
        <v>1339</v>
      </c>
    </row>
    <row r="108" spans="1:5">
      <c r="A108">
        <v>25</v>
      </c>
      <c r="B108" t="s">
        <v>1442</v>
      </c>
      <c r="C108">
        <v>29</v>
      </c>
      <c r="E108" t="s">
        <v>1339</v>
      </c>
    </row>
    <row r="109" spans="1:5">
      <c r="A109">
        <v>25</v>
      </c>
      <c r="B109" t="s">
        <v>1443</v>
      </c>
      <c r="C109">
        <v>350859.60000000003</v>
      </c>
      <c r="E109" t="s">
        <v>1339</v>
      </c>
    </row>
    <row r="110" spans="1:5">
      <c r="A110">
        <v>25</v>
      </c>
      <c r="B110" t="s">
        <v>1444</v>
      </c>
      <c r="C110">
        <v>28274.400000000001</v>
      </c>
      <c r="E110" t="s">
        <v>1339</v>
      </c>
    </row>
    <row r="111" spans="1:5">
      <c r="A111">
        <v>25</v>
      </c>
      <c r="B111" t="s">
        <v>1445</v>
      </c>
      <c r="C111">
        <v>38728.800000000003</v>
      </c>
      <c r="E111" t="s">
        <v>1339</v>
      </c>
    </row>
    <row r="112" spans="1:5">
      <c r="A112">
        <v>25</v>
      </c>
      <c r="B112" t="s">
        <v>1446</v>
      </c>
      <c r="C112">
        <v>35048.700000000004</v>
      </c>
      <c r="E112" t="s">
        <v>1339</v>
      </c>
    </row>
    <row r="113" spans="1:5">
      <c r="A113">
        <v>25</v>
      </c>
      <c r="B113" t="s">
        <v>1447</v>
      </c>
      <c r="C113">
        <v>30839.4</v>
      </c>
      <c r="E113" t="s">
        <v>1339</v>
      </c>
    </row>
    <row r="114" spans="1:5">
      <c r="A114">
        <v>25</v>
      </c>
      <c r="B114" t="s">
        <v>1448</v>
      </c>
      <c r="C114">
        <v>31927.5</v>
      </c>
      <c r="E114" t="s">
        <v>1339</v>
      </c>
    </row>
    <row r="115" spans="1:5">
      <c r="A115">
        <v>25</v>
      </c>
      <c r="B115" t="s">
        <v>1449</v>
      </c>
      <c r="C115">
        <v>0</v>
      </c>
      <c r="E115" t="s">
        <v>1339</v>
      </c>
    </row>
    <row r="116" spans="1:5">
      <c r="A116">
        <v>25</v>
      </c>
      <c r="B116" t="s">
        <v>1450</v>
      </c>
      <c r="C116">
        <v>1.8769999999999998E-2</v>
      </c>
      <c r="E116" t="s">
        <v>1339</v>
      </c>
    </row>
    <row r="117" spans="1:5">
      <c r="A117">
        <v>25</v>
      </c>
      <c r="B117" t="s">
        <v>1451</v>
      </c>
      <c r="C117">
        <v>1130910.0900000001</v>
      </c>
      <c r="E117" t="s">
        <v>1339</v>
      </c>
    </row>
    <row r="118" spans="1:5">
      <c r="A118">
        <v>25</v>
      </c>
      <c r="B118" t="s">
        <v>1452</v>
      </c>
      <c r="C118">
        <v>0</v>
      </c>
      <c r="E118" t="s">
        <v>1339</v>
      </c>
    </row>
    <row r="119" spans="1:5">
      <c r="A119">
        <v>25</v>
      </c>
      <c r="B119" t="s">
        <v>1453</v>
      </c>
      <c r="C119">
        <v>291127.67</v>
      </c>
      <c r="E119" t="s">
        <v>1339</v>
      </c>
    </row>
    <row r="120" spans="1:5">
      <c r="A120">
        <v>25</v>
      </c>
      <c r="B120" t="s">
        <v>1454</v>
      </c>
      <c r="C120">
        <v>0</v>
      </c>
      <c r="E120" t="s">
        <v>1339</v>
      </c>
    </row>
    <row r="121" spans="1:5">
      <c r="A121">
        <v>25</v>
      </c>
      <c r="B121" t="s">
        <v>1455</v>
      </c>
      <c r="C121">
        <v>0</v>
      </c>
      <c r="E121" t="s">
        <v>1339</v>
      </c>
    </row>
    <row r="122" spans="1:5">
      <c r="A122">
        <v>25</v>
      </c>
      <c r="B122" t="s">
        <v>1456</v>
      </c>
      <c r="C122">
        <v>6000000</v>
      </c>
      <c r="E122" t="s">
        <v>1339</v>
      </c>
    </row>
    <row r="123" spans="1:5">
      <c r="A123">
        <v>25</v>
      </c>
      <c r="B123" t="s">
        <v>1457</v>
      </c>
      <c r="C123">
        <v>425814.43</v>
      </c>
      <c r="E123" t="s">
        <v>1339</v>
      </c>
    </row>
    <row r="124" spans="1:5">
      <c r="A124">
        <v>25</v>
      </c>
      <c r="B124" t="s">
        <v>1458</v>
      </c>
      <c r="C124">
        <v>0</v>
      </c>
      <c r="E124" t="s">
        <v>1339</v>
      </c>
    </row>
    <row r="125" spans="1:5">
      <c r="A125">
        <v>25</v>
      </c>
      <c r="B125" t="s">
        <v>1459</v>
      </c>
      <c r="C125">
        <v>0</v>
      </c>
      <c r="E125" t="s">
        <v>1339</v>
      </c>
    </row>
    <row r="126" spans="1:5">
      <c r="A126">
        <v>25</v>
      </c>
      <c r="B126" t="s">
        <v>1460</v>
      </c>
      <c r="C126">
        <v>7847852.1899999995</v>
      </c>
      <c r="E126" t="s">
        <v>1339</v>
      </c>
    </row>
    <row r="127" spans="1:5">
      <c r="A127">
        <v>25</v>
      </c>
      <c r="B127" t="s">
        <v>1460</v>
      </c>
      <c r="C127">
        <v>7847852.1899999995</v>
      </c>
      <c r="E127" t="s">
        <v>1339</v>
      </c>
    </row>
    <row r="128" spans="1:5">
      <c r="A128">
        <v>25</v>
      </c>
      <c r="B128" t="s">
        <v>1461</v>
      </c>
      <c r="C128">
        <v>19838.78</v>
      </c>
      <c r="E128" t="s">
        <v>1339</v>
      </c>
    </row>
    <row r="129" spans="1:5">
      <c r="A129">
        <v>25</v>
      </c>
      <c r="B129" t="s">
        <v>1462</v>
      </c>
      <c r="C129">
        <v>0</v>
      </c>
      <c r="E129" t="s">
        <v>1339</v>
      </c>
    </row>
    <row r="130" spans="1:5">
      <c r="A130">
        <v>25</v>
      </c>
      <c r="B130" t="s">
        <v>1463</v>
      </c>
      <c r="C130">
        <v>350859.60000000003</v>
      </c>
      <c r="E130" t="s">
        <v>1339</v>
      </c>
    </row>
    <row r="131" spans="1:5">
      <c r="A131">
        <v>25</v>
      </c>
      <c r="B131" t="s">
        <v>1464</v>
      </c>
      <c r="C131">
        <v>28274.400000000001</v>
      </c>
      <c r="E131" t="s">
        <v>1339</v>
      </c>
    </row>
    <row r="132" spans="1:5">
      <c r="A132">
        <v>25</v>
      </c>
      <c r="B132" t="s">
        <v>1465</v>
      </c>
      <c r="C132">
        <v>38728.800000000003</v>
      </c>
      <c r="E132" t="s">
        <v>1339</v>
      </c>
    </row>
    <row r="133" spans="1:5">
      <c r="A133">
        <v>25</v>
      </c>
      <c r="B133" t="s">
        <v>1466</v>
      </c>
      <c r="C133">
        <v>35048.700000000004</v>
      </c>
      <c r="E133" t="s">
        <v>1339</v>
      </c>
    </row>
    <row r="134" spans="1:5">
      <c r="A134">
        <v>25</v>
      </c>
      <c r="B134" t="s">
        <v>1467</v>
      </c>
      <c r="C134">
        <v>30839.4</v>
      </c>
      <c r="E134" t="s">
        <v>1339</v>
      </c>
    </row>
    <row r="135" spans="1:5">
      <c r="A135">
        <v>25</v>
      </c>
      <c r="B135" t="s">
        <v>1468</v>
      </c>
      <c r="C135">
        <v>31927.5</v>
      </c>
      <c r="E135" t="s">
        <v>1339</v>
      </c>
    </row>
    <row r="136" spans="1:5">
      <c r="A136">
        <v>25</v>
      </c>
      <c r="B136" t="s">
        <v>1469</v>
      </c>
      <c r="C136">
        <v>6000000</v>
      </c>
      <c r="E136" t="s">
        <v>1339</v>
      </c>
    </row>
    <row r="137" spans="1:5">
      <c r="A137">
        <v>25</v>
      </c>
      <c r="B137" t="s">
        <v>1470</v>
      </c>
      <c r="C137">
        <v>0</v>
      </c>
      <c r="E137" t="s">
        <v>1339</v>
      </c>
    </row>
    <row r="138" spans="1:5">
      <c r="A138">
        <v>25</v>
      </c>
      <c r="B138" t="s">
        <v>1471</v>
      </c>
      <c r="C138">
        <v>717643.53</v>
      </c>
      <c r="E138" t="s">
        <v>1339</v>
      </c>
    </row>
    <row r="139" spans="1:5">
      <c r="A139">
        <v>25</v>
      </c>
      <c r="B139" t="s">
        <v>1472</v>
      </c>
      <c r="C139">
        <v>0</v>
      </c>
      <c r="E139" t="s">
        <v>1339</v>
      </c>
    </row>
    <row r="140" spans="1:5">
      <c r="A140">
        <v>25</v>
      </c>
      <c r="B140" t="s">
        <v>1473</v>
      </c>
      <c r="C140">
        <v>0</v>
      </c>
      <c r="E140" t="s">
        <v>1339</v>
      </c>
    </row>
    <row r="141" spans="1:5">
      <c r="A141">
        <v>25</v>
      </c>
      <c r="B141" t="s">
        <v>1474</v>
      </c>
      <c r="C141">
        <v>0</v>
      </c>
      <c r="E141" t="s">
        <v>1339</v>
      </c>
    </row>
    <row r="142" spans="1:5">
      <c r="A142">
        <v>25</v>
      </c>
      <c r="B142" t="s">
        <v>1475</v>
      </c>
      <c r="C142">
        <v>0</v>
      </c>
      <c r="E142" t="s">
        <v>1339</v>
      </c>
    </row>
    <row r="143" spans="1:5">
      <c r="A143">
        <v>25</v>
      </c>
      <c r="B143" t="s">
        <v>1476</v>
      </c>
      <c r="C143">
        <v>0</v>
      </c>
      <c r="E143" t="s">
        <v>1339</v>
      </c>
    </row>
    <row r="144" spans="1:5">
      <c r="A144">
        <v>25</v>
      </c>
      <c r="B144" t="s">
        <v>1477</v>
      </c>
      <c r="C144">
        <v>0</v>
      </c>
      <c r="E144" t="s">
        <v>1339</v>
      </c>
    </row>
    <row r="145" spans="1:5">
      <c r="A145">
        <v>25</v>
      </c>
      <c r="B145" t="s">
        <v>1478</v>
      </c>
      <c r="C145">
        <v>0</v>
      </c>
      <c r="E145" t="s">
        <v>1339</v>
      </c>
    </row>
    <row r="146" spans="1:5">
      <c r="A146">
        <v>25</v>
      </c>
      <c r="B146" t="s">
        <v>1479</v>
      </c>
      <c r="C146">
        <v>0</v>
      </c>
      <c r="E146" t="s">
        <v>1339</v>
      </c>
    </row>
    <row r="147" spans="1:5">
      <c r="A147">
        <v>25</v>
      </c>
      <c r="B147" t="s">
        <v>1480</v>
      </c>
      <c r="C147">
        <v>0</v>
      </c>
      <c r="E147" t="s">
        <v>1339</v>
      </c>
    </row>
    <row r="148" spans="1:5">
      <c r="A148">
        <v>25</v>
      </c>
      <c r="B148" t="s">
        <v>1481</v>
      </c>
      <c r="C148">
        <v>0</v>
      </c>
      <c r="E148" t="s">
        <v>1339</v>
      </c>
    </row>
    <row r="149" spans="1:5">
      <c r="A149">
        <v>25</v>
      </c>
      <c r="B149" t="s">
        <v>1482</v>
      </c>
      <c r="C149">
        <v>0</v>
      </c>
      <c r="E149" t="s">
        <v>1339</v>
      </c>
    </row>
    <row r="150" spans="1:5">
      <c r="A150">
        <v>25</v>
      </c>
      <c r="B150" t="s">
        <v>1483</v>
      </c>
      <c r="C150">
        <v>0</v>
      </c>
      <c r="E150" t="s">
        <v>1339</v>
      </c>
    </row>
    <row r="151" spans="1:5">
      <c r="A151">
        <v>25</v>
      </c>
      <c r="B151" t="s">
        <v>1484</v>
      </c>
      <c r="C151">
        <v>594691.47999999882</v>
      </c>
      <c r="E151" t="s">
        <v>1339</v>
      </c>
    </row>
    <row r="152" spans="1:5">
      <c r="A152">
        <v>25</v>
      </c>
      <c r="B152" t="s">
        <v>1485</v>
      </c>
      <c r="C152">
        <v>11886362.359999999</v>
      </c>
      <c r="E152" t="s">
        <v>1339</v>
      </c>
    </row>
    <row r="153" spans="1:5">
      <c r="A153">
        <v>25</v>
      </c>
      <c r="B153" t="s">
        <v>1486</v>
      </c>
      <c r="C153">
        <v>0</v>
      </c>
      <c r="E153" t="s">
        <v>1339</v>
      </c>
    </row>
    <row r="154" spans="1:5">
      <c r="A154">
        <v>25</v>
      </c>
      <c r="B154" t="s">
        <v>1487</v>
      </c>
      <c r="C154">
        <v>0</v>
      </c>
      <c r="E154" t="s">
        <v>1339</v>
      </c>
    </row>
    <row r="155" spans="1:5">
      <c r="A155">
        <v>25</v>
      </c>
      <c r="B155" t="s">
        <v>1488</v>
      </c>
      <c r="C155">
        <v>0</v>
      </c>
      <c r="E155" t="s">
        <v>1339</v>
      </c>
    </row>
    <row r="156" spans="1:5">
      <c r="A156">
        <v>25</v>
      </c>
      <c r="B156" t="s">
        <v>1489</v>
      </c>
      <c r="C156">
        <v>0</v>
      </c>
      <c r="E156" t="s">
        <v>1339</v>
      </c>
    </row>
    <row r="157" spans="1:5">
      <c r="A157">
        <v>25</v>
      </c>
      <c r="B157" t="s">
        <v>1490</v>
      </c>
      <c r="C157">
        <v>92.229999985022005</v>
      </c>
      <c r="E157" t="s">
        <v>1339</v>
      </c>
    </row>
    <row r="158" spans="1:5">
      <c r="A158">
        <v>25</v>
      </c>
      <c r="B158" t="s">
        <v>1491</v>
      </c>
      <c r="C158">
        <v>0</v>
      </c>
      <c r="E158" t="s">
        <v>1339</v>
      </c>
    </row>
    <row r="159" spans="1:5">
      <c r="A159">
        <v>25</v>
      </c>
      <c r="B159" t="s">
        <v>1492</v>
      </c>
      <c r="C159">
        <v>717643.53</v>
      </c>
      <c r="E159" t="s">
        <v>1339</v>
      </c>
    </row>
    <row r="160" spans="1:5">
      <c r="A160">
        <v>25</v>
      </c>
      <c r="B160" t="s">
        <v>1493</v>
      </c>
      <c r="C160">
        <v>0</v>
      </c>
      <c r="E160" t="s">
        <v>1339</v>
      </c>
    </row>
    <row r="161" spans="1:5">
      <c r="A161">
        <v>25</v>
      </c>
      <c r="B161" t="s">
        <v>1494</v>
      </c>
      <c r="C161">
        <v>12604098.119999984</v>
      </c>
      <c r="E161" t="s">
        <v>1339</v>
      </c>
    </row>
    <row r="162" spans="1:5">
      <c r="A162">
        <v>25</v>
      </c>
      <c r="B162" t="s">
        <v>1494</v>
      </c>
      <c r="C162">
        <v>12604098.119999984</v>
      </c>
      <c r="E162" t="s">
        <v>1339</v>
      </c>
    </row>
    <row r="163" spans="1:5">
      <c r="A163">
        <v>25</v>
      </c>
      <c r="B163" t="s">
        <v>1458</v>
      </c>
      <c r="C163">
        <v>0</v>
      </c>
      <c r="E163" t="s">
        <v>1339</v>
      </c>
    </row>
    <row r="164" spans="1:5">
      <c r="A164">
        <v>25</v>
      </c>
      <c r="B164" t="s">
        <v>1495</v>
      </c>
      <c r="E164" t="s">
        <v>1339</v>
      </c>
    </row>
    <row r="165" spans="1:5">
      <c r="A165">
        <v>25</v>
      </c>
      <c r="B165" t="s">
        <v>243</v>
      </c>
      <c r="C165">
        <v>0</v>
      </c>
      <c r="E165" t="s">
        <v>1339</v>
      </c>
    </row>
    <row r="166" spans="1:5">
      <c r="A166">
        <v>25</v>
      </c>
      <c r="B166" t="s">
        <v>1496</v>
      </c>
      <c r="C166">
        <v>95.819999983068556</v>
      </c>
      <c r="E166" t="s">
        <v>1339</v>
      </c>
    </row>
    <row r="167" spans="1:5">
      <c r="A167">
        <v>25</v>
      </c>
      <c r="B167" t="s">
        <v>1497</v>
      </c>
      <c r="C167">
        <v>9864001.8000000007</v>
      </c>
      <c r="E167" t="s">
        <v>1339</v>
      </c>
    </row>
    <row r="168" spans="1:5">
      <c r="A168">
        <v>25</v>
      </c>
      <c r="B168" t="s">
        <v>1498</v>
      </c>
      <c r="C168">
        <v>676941.3</v>
      </c>
      <c r="E168" t="s">
        <v>1339</v>
      </c>
    </row>
    <row r="169" spans="1:5">
      <c r="A169">
        <v>25</v>
      </c>
      <c r="B169" t="s">
        <v>1499</v>
      </c>
      <c r="C169">
        <v>773647.20000000007</v>
      </c>
      <c r="E169" t="s">
        <v>1339</v>
      </c>
    </row>
    <row r="170" spans="1:5">
      <c r="A170">
        <v>25</v>
      </c>
      <c r="B170" t="s">
        <v>1500</v>
      </c>
      <c r="C170">
        <v>580235.4</v>
      </c>
      <c r="E170" t="s">
        <v>1339</v>
      </c>
    </row>
    <row r="171" spans="1:5">
      <c r="A171">
        <v>25</v>
      </c>
      <c r="B171" t="s">
        <v>1501</v>
      </c>
      <c r="C171">
        <v>386823.60000000003</v>
      </c>
      <c r="E171" t="s">
        <v>1339</v>
      </c>
    </row>
    <row r="172" spans="1:5">
      <c r="A172">
        <v>25</v>
      </c>
      <c r="B172" t="s">
        <v>1502</v>
      </c>
      <c r="C172">
        <v>322353</v>
      </c>
      <c r="E172" t="s">
        <v>1339</v>
      </c>
    </row>
    <row r="173" spans="1:5">
      <c r="A173">
        <v>25</v>
      </c>
      <c r="B173" t="s">
        <v>1503</v>
      </c>
      <c r="C173">
        <v>0</v>
      </c>
      <c r="E173" t="s">
        <v>1339</v>
      </c>
    </row>
    <row r="174" spans="1:5">
      <c r="A174">
        <v>25</v>
      </c>
      <c r="B174" t="s">
        <v>1504</v>
      </c>
      <c r="C174">
        <v>0</v>
      </c>
      <c r="E174" t="s">
        <v>1339</v>
      </c>
    </row>
    <row r="175" spans="1:5">
      <c r="A175">
        <v>25</v>
      </c>
      <c r="B175" t="s">
        <v>1505</v>
      </c>
      <c r="C175">
        <v>0</v>
      </c>
      <c r="E175" t="s">
        <v>1339</v>
      </c>
    </row>
    <row r="176" spans="1:5">
      <c r="A176">
        <v>25</v>
      </c>
      <c r="B176" t="s">
        <v>1506</v>
      </c>
      <c r="C176">
        <v>0</v>
      </c>
      <c r="E176" t="s">
        <v>1339</v>
      </c>
    </row>
    <row r="177" spans="1:5">
      <c r="A177">
        <v>25</v>
      </c>
      <c r="B177" t="s">
        <v>1507</v>
      </c>
      <c r="C177">
        <v>0</v>
      </c>
      <c r="E177" t="s">
        <v>1339</v>
      </c>
    </row>
    <row r="178" spans="1:5">
      <c r="A178">
        <v>25</v>
      </c>
      <c r="B178" t="s">
        <v>1508</v>
      </c>
      <c r="C178">
        <v>0</v>
      </c>
      <c r="E178" t="s">
        <v>1339</v>
      </c>
    </row>
    <row r="179" spans="1:5">
      <c r="A179">
        <v>25</v>
      </c>
      <c r="B179" t="s">
        <v>1509</v>
      </c>
      <c r="C179">
        <v>0</v>
      </c>
      <c r="E179" t="s">
        <v>1339</v>
      </c>
    </row>
    <row r="180" spans="1:5">
      <c r="A180">
        <v>25</v>
      </c>
      <c r="B180" t="s">
        <v>1510</v>
      </c>
      <c r="C180">
        <v>0</v>
      </c>
      <c r="E180" t="s">
        <v>1339</v>
      </c>
    </row>
    <row r="181" spans="1:5">
      <c r="A181">
        <v>25</v>
      </c>
      <c r="B181" t="s">
        <v>1511</v>
      </c>
      <c r="C181">
        <v>0</v>
      </c>
      <c r="E181" t="s">
        <v>1339</v>
      </c>
    </row>
    <row r="182" spans="1:5">
      <c r="A182">
        <v>25</v>
      </c>
      <c r="B182" t="s">
        <v>1512</v>
      </c>
      <c r="C182">
        <v>0</v>
      </c>
      <c r="E182" t="s">
        <v>1339</v>
      </c>
    </row>
    <row r="183" spans="1:5">
      <c r="A183">
        <v>25</v>
      </c>
      <c r="B183" t="s">
        <v>1513</v>
      </c>
      <c r="E183" t="s">
        <v>1339</v>
      </c>
    </row>
    <row r="184" spans="1:5">
      <c r="A184">
        <v>25</v>
      </c>
      <c r="B184" t="s">
        <v>1461</v>
      </c>
      <c r="C184">
        <v>19838.78</v>
      </c>
      <c r="E184" t="s">
        <v>1339</v>
      </c>
    </row>
    <row r="185" spans="1:5">
      <c r="A185">
        <v>25</v>
      </c>
      <c r="B185" t="s">
        <v>1514</v>
      </c>
      <c r="C185">
        <v>515678.40000000008</v>
      </c>
      <c r="E185" t="s">
        <v>1339</v>
      </c>
    </row>
    <row r="186" spans="1:5">
      <c r="A186">
        <v>25</v>
      </c>
      <c r="B186" t="s">
        <v>1515</v>
      </c>
      <c r="C186">
        <v>350859.60000000003</v>
      </c>
      <c r="E186" t="s">
        <v>1339</v>
      </c>
    </row>
    <row r="187" spans="1:5">
      <c r="A187">
        <v>25</v>
      </c>
      <c r="B187" t="s">
        <v>1516</v>
      </c>
      <c r="C187">
        <v>28274.400000000001</v>
      </c>
      <c r="E187" t="s">
        <v>1339</v>
      </c>
    </row>
    <row r="188" spans="1:5">
      <c r="A188">
        <v>25</v>
      </c>
      <c r="B188" t="s">
        <v>1517</v>
      </c>
      <c r="C188">
        <v>38728.800000000003</v>
      </c>
      <c r="E188" t="s">
        <v>1339</v>
      </c>
    </row>
    <row r="189" spans="1:5">
      <c r="A189">
        <v>25</v>
      </c>
      <c r="B189" t="s">
        <v>1518</v>
      </c>
      <c r="C189">
        <v>35048.700000000004</v>
      </c>
      <c r="E189" t="s">
        <v>1339</v>
      </c>
    </row>
    <row r="190" spans="1:5">
      <c r="A190">
        <v>25</v>
      </c>
      <c r="B190" t="s">
        <v>1519</v>
      </c>
      <c r="C190">
        <v>30839.4</v>
      </c>
      <c r="E190" t="s">
        <v>1339</v>
      </c>
    </row>
    <row r="191" spans="1:5">
      <c r="A191">
        <v>25</v>
      </c>
      <c r="B191" t="s">
        <v>1520</v>
      </c>
      <c r="C191">
        <v>31927.5</v>
      </c>
      <c r="E191" t="s">
        <v>1339</v>
      </c>
    </row>
    <row r="192" spans="1:5">
      <c r="A192">
        <v>25</v>
      </c>
      <c r="B192" t="s">
        <v>1521</v>
      </c>
      <c r="C192">
        <v>0</v>
      </c>
      <c r="E192" t="s">
        <v>1339</v>
      </c>
    </row>
    <row r="193" spans="1:5">
      <c r="A193">
        <v>25</v>
      </c>
      <c r="B193" t="s">
        <v>1522</v>
      </c>
      <c r="C193">
        <v>0</v>
      </c>
      <c r="E193" t="s">
        <v>1339</v>
      </c>
    </row>
    <row r="194" spans="1:5">
      <c r="A194">
        <v>25</v>
      </c>
      <c r="B194" t="s">
        <v>1523</v>
      </c>
      <c r="C194">
        <v>89349623.959311098</v>
      </c>
      <c r="E194" t="s">
        <v>1339</v>
      </c>
    </row>
    <row r="195" spans="1:5">
      <c r="A195">
        <v>25</v>
      </c>
      <c r="B195" t="s">
        <v>1524</v>
      </c>
      <c r="C195">
        <v>52277116.500000007</v>
      </c>
      <c r="E195" t="s">
        <v>1339</v>
      </c>
    </row>
    <row r="196" spans="1:5">
      <c r="A196">
        <v>25</v>
      </c>
      <c r="B196" t="s">
        <v>1525</v>
      </c>
      <c r="C196">
        <v>4738456.8</v>
      </c>
      <c r="E196" t="s">
        <v>1339</v>
      </c>
    </row>
    <row r="197" spans="1:5">
      <c r="A197">
        <v>25</v>
      </c>
      <c r="B197" t="s">
        <v>1526</v>
      </c>
      <c r="C197">
        <v>7169072.3999999994</v>
      </c>
      <c r="E197" t="s">
        <v>1339</v>
      </c>
    </row>
    <row r="198" spans="1:5">
      <c r="A198">
        <v>25</v>
      </c>
      <c r="B198" t="s">
        <v>1527</v>
      </c>
      <c r="C198">
        <v>7020820.7999999989</v>
      </c>
      <c r="E198" t="s">
        <v>1339</v>
      </c>
    </row>
    <row r="199" spans="1:5">
      <c r="A199">
        <v>25</v>
      </c>
      <c r="B199" t="s">
        <v>1528</v>
      </c>
      <c r="C199">
        <v>6726477.5999999996</v>
      </c>
      <c r="E199" t="s">
        <v>1339</v>
      </c>
    </row>
    <row r="200" spans="1:5">
      <c r="A200">
        <v>25</v>
      </c>
      <c r="B200" t="s">
        <v>1529</v>
      </c>
      <c r="C200">
        <v>7310335.5</v>
      </c>
      <c r="E200" t="s">
        <v>1339</v>
      </c>
    </row>
    <row r="201" spans="1:5">
      <c r="A201">
        <v>25</v>
      </c>
      <c r="B201" t="s">
        <v>1530</v>
      </c>
      <c r="C201">
        <v>4103682.75</v>
      </c>
      <c r="E201" t="s">
        <v>1339</v>
      </c>
    </row>
    <row r="202" spans="1:5">
      <c r="A202">
        <v>25</v>
      </c>
      <c r="B202" t="s">
        <v>1531</v>
      </c>
      <c r="C202">
        <v>3661.6093111111086</v>
      </c>
      <c r="E202" t="s">
        <v>1339</v>
      </c>
    </row>
    <row r="203" spans="1:5">
      <c r="A203">
        <v>25</v>
      </c>
      <c r="B203" t="s">
        <v>1532</v>
      </c>
      <c r="C203">
        <v>515678.40000000008</v>
      </c>
      <c r="E203" t="s">
        <v>1339</v>
      </c>
    </row>
    <row r="204" spans="1:5">
      <c r="A204">
        <v>25</v>
      </c>
      <c r="B204" t="s">
        <v>1533</v>
      </c>
      <c r="C204">
        <v>350859.60000000003</v>
      </c>
      <c r="E204" t="s">
        <v>1339</v>
      </c>
    </row>
    <row r="205" spans="1:5">
      <c r="A205">
        <v>25</v>
      </c>
      <c r="B205" t="s">
        <v>1534</v>
      </c>
      <c r="C205">
        <v>28274.400000000001</v>
      </c>
      <c r="E205" t="s">
        <v>1339</v>
      </c>
    </row>
    <row r="206" spans="1:5">
      <c r="A206">
        <v>25</v>
      </c>
      <c r="B206" t="s">
        <v>1535</v>
      </c>
      <c r="C206">
        <v>38728.800000000003</v>
      </c>
      <c r="E206" t="s">
        <v>1339</v>
      </c>
    </row>
    <row r="207" spans="1:5">
      <c r="A207">
        <v>25</v>
      </c>
      <c r="B207" t="s">
        <v>1536</v>
      </c>
      <c r="C207">
        <v>35048.700000000004</v>
      </c>
      <c r="E207" t="s">
        <v>1339</v>
      </c>
    </row>
    <row r="208" spans="1:5">
      <c r="A208">
        <v>25</v>
      </c>
      <c r="B208" t="s">
        <v>1537</v>
      </c>
      <c r="C208">
        <v>30839.4</v>
      </c>
      <c r="E208" t="s">
        <v>1339</v>
      </c>
    </row>
    <row r="209" spans="1:5">
      <c r="A209">
        <v>25</v>
      </c>
      <c r="B209" t="s">
        <v>1538</v>
      </c>
      <c r="C209">
        <v>31927.5</v>
      </c>
      <c r="E209" t="s">
        <v>1339</v>
      </c>
    </row>
    <row r="210" spans="1:5">
      <c r="A210">
        <v>25</v>
      </c>
      <c r="B210" t="s">
        <v>1539</v>
      </c>
      <c r="C210">
        <v>0</v>
      </c>
      <c r="E210" t="s">
        <v>1339</v>
      </c>
    </row>
    <row r="211" spans="1:5">
      <c r="A211">
        <v>25</v>
      </c>
      <c r="B211" t="s">
        <v>1540</v>
      </c>
      <c r="C211">
        <v>0</v>
      </c>
      <c r="E211" t="s">
        <v>1339</v>
      </c>
    </row>
    <row r="212" spans="1:5">
      <c r="A212">
        <v>25</v>
      </c>
      <c r="B212" t="s">
        <v>1541</v>
      </c>
      <c r="C212">
        <v>89349623.959311098</v>
      </c>
      <c r="E212" t="s">
        <v>1339</v>
      </c>
    </row>
    <row r="213" spans="1:5">
      <c r="A213">
        <v>25</v>
      </c>
      <c r="B213" t="s">
        <v>1542</v>
      </c>
      <c r="C213">
        <v>52277116.500000007</v>
      </c>
      <c r="E213" t="s">
        <v>1339</v>
      </c>
    </row>
    <row r="214" spans="1:5">
      <c r="A214">
        <v>25</v>
      </c>
      <c r="B214" t="s">
        <v>1543</v>
      </c>
      <c r="C214">
        <v>4738456.8</v>
      </c>
      <c r="E214" t="s">
        <v>1339</v>
      </c>
    </row>
    <row r="215" spans="1:5">
      <c r="A215">
        <v>25</v>
      </c>
      <c r="B215" t="s">
        <v>1544</v>
      </c>
      <c r="C215">
        <v>7169072.3999999994</v>
      </c>
      <c r="E215" t="s">
        <v>1339</v>
      </c>
    </row>
    <row r="216" spans="1:5">
      <c r="A216">
        <v>25</v>
      </c>
      <c r="B216" t="s">
        <v>1545</v>
      </c>
      <c r="C216">
        <v>7020820.7999999989</v>
      </c>
      <c r="E216" t="s">
        <v>1339</v>
      </c>
    </row>
    <row r="217" spans="1:5">
      <c r="A217">
        <v>25</v>
      </c>
      <c r="B217" t="s">
        <v>1546</v>
      </c>
      <c r="C217">
        <v>6726477.5999999996</v>
      </c>
      <c r="E217" t="s">
        <v>1339</v>
      </c>
    </row>
    <row r="218" spans="1:5">
      <c r="A218">
        <v>25</v>
      </c>
      <c r="B218" t="s">
        <v>1547</v>
      </c>
      <c r="C218">
        <v>7310335.5</v>
      </c>
      <c r="E218" t="s">
        <v>1339</v>
      </c>
    </row>
    <row r="219" spans="1:5">
      <c r="A219">
        <v>25</v>
      </c>
      <c r="B219" t="s">
        <v>1548</v>
      </c>
      <c r="C219">
        <v>4103682.75</v>
      </c>
      <c r="E219" t="s">
        <v>1339</v>
      </c>
    </row>
    <row r="220" spans="1:5">
      <c r="A220">
        <v>25</v>
      </c>
      <c r="B220" t="s">
        <v>1549</v>
      </c>
      <c r="C220">
        <v>3661.6093111111086</v>
      </c>
      <c r="E220" t="s">
        <v>1339</v>
      </c>
    </row>
    <row r="221" spans="1:5">
      <c r="A221">
        <v>25</v>
      </c>
      <c r="B221" t="s">
        <v>1550</v>
      </c>
      <c r="C221">
        <v>0</v>
      </c>
      <c r="E221" t="s">
        <v>1339</v>
      </c>
    </row>
    <row r="222" spans="1:5">
      <c r="A222">
        <v>25</v>
      </c>
      <c r="B222" t="s">
        <v>1551</v>
      </c>
      <c r="C222">
        <v>0</v>
      </c>
      <c r="E222" t="s">
        <v>1339</v>
      </c>
    </row>
    <row r="223" spans="1:5">
      <c r="A223">
        <v>25</v>
      </c>
      <c r="B223" t="s">
        <v>1552</v>
      </c>
      <c r="C223">
        <v>0</v>
      </c>
      <c r="E223" t="s">
        <v>1339</v>
      </c>
    </row>
    <row r="224" spans="1:5">
      <c r="A224">
        <v>25</v>
      </c>
      <c r="B224" t="s">
        <v>1553</v>
      </c>
      <c r="C224">
        <v>0</v>
      </c>
      <c r="E224" t="s">
        <v>1339</v>
      </c>
    </row>
    <row r="225" spans="1:5">
      <c r="A225">
        <v>25</v>
      </c>
      <c r="B225" t="s">
        <v>1554</v>
      </c>
      <c r="C225">
        <v>0</v>
      </c>
      <c r="E225" t="s">
        <v>1339</v>
      </c>
    </row>
    <row r="226" spans="1:5">
      <c r="A226">
        <v>25</v>
      </c>
      <c r="B226" t="s">
        <v>1555</v>
      </c>
      <c r="C226">
        <v>0</v>
      </c>
      <c r="E226" t="s">
        <v>1339</v>
      </c>
    </row>
    <row r="227" spans="1:5">
      <c r="A227">
        <v>25</v>
      </c>
      <c r="B227" t="s">
        <v>1556</v>
      </c>
      <c r="C227">
        <v>0</v>
      </c>
      <c r="E227" t="s">
        <v>1339</v>
      </c>
    </row>
    <row r="228" spans="1:5">
      <c r="A228">
        <v>25</v>
      </c>
      <c r="B228" t="s">
        <v>1557</v>
      </c>
      <c r="C228">
        <v>0</v>
      </c>
      <c r="E228" t="s">
        <v>1339</v>
      </c>
    </row>
    <row r="229" spans="1:5">
      <c r="A229">
        <v>25</v>
      </c>
      <c r="B229" t="s">
        <v>1558</v>
      </c>
      <c r="C229">
        <v>0</v>
      </c>
      <c r="E229" t="s">
        <v>1339</v>
      </c>
    </row>
    <row r="230" spans="1:5">
      <c r="A230">
        <v>25</v>
      </c>
      <c r="B230" t="s">
        <v>1559</v>
      </c>
      <c r="C230">
        <v>0</v>
      </c>
      <c r="E230" t="s">
        <v>1339</v>
      </c>
    </row>
    <row r="231" spans="1:5">
      <c r="A231">
        <v>25</v>
      </c>
      <c r="B231" t="s">
        <v>1560</v>
      </c>
      <c r="C231">
        <v>0</v>
      </c>
      <c r="E231" t="s">
        <v>1339</v>
      </c>
    </row>
    <row r="232" spans="1:5">
      <c r="A232">
        <v>25</v>
      </c>
      <c r="B232" t="s">
        <v>1561</v>
      </c>
      <c r="C232">
        <v>0</v>
      </c>
      <c r="E232" t="s">
        <v>1339</v>
      </c>
    </row>
    <row r="233" spans="1:5">
      <c r="A233">
        <v>25</v>
      </c>
      <c r="B233" t="s">
        <v>1562</v>
      </c>
      <c r="C233">
        <v>0</v>
      </c>
      <c r="E233" t="s">
        <v>1339</v>
      </c>
    </row>
    <row r="234" spans="1:5">
      <c r="A234">
        <v>25</v>
      </c>
      <c r="B234" t="s">
        <v>1563</v>
      </c>
      <c r="C234">
        <v>0</v>
      </c>
      <c r="E234" t="s">
        <v>1339</v>
      </c>
    </row>
    <row r="235" spans="1:5">
      <c r="A235">
        <v>25</v>
      </c>
      <c r="B235" t="s">
        <v>1564</v>
      </c>
      <c r="C235">
        <v>0</v>
      </c>
      <c r="E235" t="s">
        <v>1339</v>
      </c>
    </row>
    <row r="236" spans="1:5">
      <c r="A236">
        <v>25</v>
      </c>
      <c r="B236" t="s">
        <v>1565</v>
      </c>
      <c r="C236">
        <v>0</v>
      </c>
      <c r="E236" t="s">
        <v>1339</v>
      </c>
    </row>
    <row r="237" spans="1:5">
      <c r="A237">
        <v>25</v>
      </c>
      <c r="B237" t="s">
        <v>1566</v>
      </c>
      <c r="C237">
        <v>0</v>
      </c>
      <c r="E237" t="s">
        <v>1339</v>
      </c>
    </row>
    <row r="238" spans="1:5">
      <c r="A238">
        <v>25</v>
      </c>
      <c r="B238" t="s">
        <v>1567</v>
      </c>
      <c r="C238">
        <v>0</v>
      </c>
      <c r="E238" t="s">
        <v>1339</v>
      </c>
    </row>
    <row r="239" spans="1:5">
      <c r="A239">
        <v>25</v>
      </c>
      <c r="B239" t="s">
        <v>1568</v>
      </c>
      <c r="C239">
        <v>0</v>
      </c>
      <c r="E239" t="s">
        <v>1339</v>
      </c>
    </row>
    <row r="240" spans="1:5">
      <c r="A240">
        <v>25</v>
      </c>
      <c r="B240" t="s">
        <v>1569</v>
      </c>
      <c r="C240">
        <v>215930238.75000021</v>
      </c>
      <c r="E240" t="s">
        <v>1339</v>
      </c>
    </row>
    <row r="241" spans="1:5">
      <c r="A241">
        <v>25</v>
      </c>
      <c r="B241" t="s">
        <v>1570</v>
      </c>
      <c r="C241">
        <v>-5.7099999999999998E-3</v>
      </c>
      <c r="E241" t="s">
        <v>1339</v>
      </c>
    </row>
    <row r="242" spans="1:5">
      <c r="A242">
        <v>25</v>
      </c>
      <c r="B242" t="s">
        <v>1571</v>
      </c>
      <c r="C242">
        <v>1.8769999999999998E-2</v>
      </c>
      <c r="E242" t="s">
        <v>1339</v>
      </c>
    </row>
    <row r="243" spans="1:5">
      <c r="A243">
        <v>25</v>
      </c>
      <c r="B243" t="s">
        <v>1572</v>
      </c>
      <c r="C243">
        <v>-425814.43</v>
      </c>
      <c r="E243" t="s">
        <v>1339</v>
      </c>
    </row>
    <row r="244" spans="1:5">
      <c r="A244">
        <v>25</v>
      </c>
      <c r="B244" t="s">
        <v>1573</v>
      </c>
      <c r="C244">
        <v>203326236.4500002</v>
      </c>
      <c r="E244" t="s">
        <v>1339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45940</v>
      </c>
      <c r="G2" s="110"/>
      <c r="H2" s="110"/>
      <c r="I2" s="110"/>
      <c r="J2" s="112"/>
      <c r="K2" s="113"/>
      <c r="L2" s="903"/>
    </row>
    <row r="3" spans="1:13" ht="18">
      <c r="A3" s="107"/>
      <c r="B3" s="108" t="str">
        <f>'Cover Sheet'!B3</f>
        <v>Monthly Investor Report</v>
      </c>
      <c r="C3" s="902"/>
      <c r="D3" s="115" t="str">
        <f>'Cover Sheet'!D3</f>
        <v>Payment Date</v>
      </c>
      <c r="E3" s="116"/>
      <c r="F3" s="117">
        <f>'Cover Sheet'!F3</f>
        <v>45944</v>
      </c>
      <c r="G3" s="116"/>
      <c r="H3" s="116"/>
      <c r="I3" s="116"/>
      <c r="J3" s="118"/>
      <c r="K3" s="113"/>
      <c r="L3" s="904"/>
    </row>
    <row r="4" spans="1:13" ht="13">
      <c r="A4" s="107"/>
      <c r="B4" s="160"/>
      <c r="C4" s="119"/>
      <c r="D4" s="115" t="str">
        <f>'Cover Sheet'!D4</f>
        <v>Period  No</v>
      </c>
      <c r="E4" s="116"/>
      <c r="F4" s="120">
        <f>'Cover Sheet'!F4</f>
        <v>59</v>
      </c>
      <c r="G4" s="116"/>
      <c r="H4" s="121"/>
      <c r="I4" s="116"/>
      <c r="J4" s="122"/>
      <c r="K4" s="113"/>
      <c r="L4" s="903"/>
    </row>
    <row r="5" spans="1:13" ht="18">
      <c r="A5" s="107"/>
      <c r="B5" s="123" t="s">
        <v>447</v>
      </c>
      <c r="C5" s="905"/>
      <c r="D5" s="115" t="str">
        <f>'Cover Sheet'!D5</f>
        <v>Monthly Period</v>
      </c>
      <c r="E5" s="116"/>
      <c r="F5" s="124">
        <f>'Cover Sheet'!F5</f>
        <v>45944</v>
      </c>
      <c r="G5" s="116"/>
      <c r="H5" s="121"/>
      <c r="I5" s="116"/>
      <c r="J5" s="122"/>
      <c r="K5" s="113"/>
      <c r="L5" s="904"/>
    </row>
    <row r="6" spans="1:13"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ht="13">
      <c r="A7" s="107"/>
      <c r="B7" s="906"/>
      <c r="C7" s="906"/>
      <c r="D7" s="130" t="str">
        <f>'Cover Sheet'!D7</f>
        <v>Collection Period</v>
      </c>
      <c r="E7" s="131" t="str">
        <f>'Cover Sheet'!E7</f>
        <v>from</v>
      </c>
      <c r="F7" s="132" t="str">
        <f>'Cover Sheet'!F7</f>
        <v>01.09.2025</v>
      </c>
      <c r="G7" s="131" t="str">
        <f>'Cover Sheet'!G7</f>
        <v>to</v>
      </c>
      <c r="H7" s="132">
        <f>'Cover Sheet'!H7</f>
        <v>45930</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6" t="s">
        <v>115</v>
      </c>
      <c r="C13" s="976" t="s">
        <v>532</v>
      </c>
      <c r="D13" s="976" t="s">
        <v>37</v>
      </c>
      <c r="E13" s="976" t="s">
        <v>38</v>
      </c>
      <c r="F13" s="976" t="s">
        <v>39</v>
      </c>
      <c r="G13" s="979" t="s">
        <v>449</v>
      </c>
      <c r="H13" s="978"/>
      <c r="I13" s="975"/>
      <c r="J13" s="975"/>
      <c r="K13" s="113"/>
    </row>
    <row r="14" spans="1:13" ht="18" customHeight="1" thickBot="1">
      <c r="A14" s="107"/>
      <c r="B14" s="977"/>
      <c r="C14" s="977"/>
      <c r="D14" s="977"/>
      <c r="E14" s="977"/>
      <c r="F14" s="977"/>
      <c r="G14" s="980"/>
      <c r="H14" s="978"/>
      <c r="I14" s="975"/>
      <c r="J14" s="975"/>
      <c r="K14" s="113"/>
    </row>
    <row r="15" spans="1:13" ht="15" customHeight="1">
      <c r="A15" s="107"/>
      <c r="B15" s="966">
        <v>1</v>
      </c>
      <c r="C15" s="967">
        <f t="shared" ref="C15:C46" si="0">IF($F$4&gt;=B15,VLOOKUP(CONCATENATE("portfolio_",$B15),portfolio_p.p._20,2,0),"")</f>
        <v>1799999933.0899999</v>
      </c>
      <c r="D15" s="967">
        <f t="shared" ref="D15:D46" si="1">IF($F$4&gt;=B15,VLOOKUP(CONCATENATE("portfolio_",$B15),portfolio_p.p._20,3,0),"")</f>
        <v>28004372.020000003</v>
      </c>
      <c r="E15" s="967">
        <f t="shared" ref="E15:E46" si="2">IF($F$4&gt;=B15,VLOOKUP(CONCATENATE("portfolio_",$B15),portfolio_p.p._20,4,0),"")</f>
        <v>37328045.899999999</v>
      </c>
      <c r="F15" s="967">
        <f t="shared" ref="F15:F46" si="3">IF($F$4&gt;=B15,VLOOKUP(CONCATENATE("portfolio_",$B15),portfolio_p.p._20,5,0),"")</f>
        <v>65332417.920000002</v>
      </c>
      <c r="G15" s="968">
        <f t="shared" ref="G15:G46" si="4">IF($F$4&gt;=B15,VLOOKUP(CONCATENATE("portfolio_",$B15),portfolio_p.p._20,6,0),"")</f>
        <v>0.22234338848232582</v>
      </c>
      <c r="H15" s="137"/>
      <c r="I15" s="101"/>
      <c r="J15" s="136"/>
      <c r="K15" s="113"/>
    </row>
    <row r="16" spans="1:13" ht="15" customHeight="1">
      <c r="A16" s="107"/>
      <c r="B16" s="969">
        <v>2</v>
      </c>
      <c r="C16" s="955">
        <f t="shared" si="0"/>
        <v>1799999978.5700002</v>
      </c>
      <c r="D16" s="955">
        <f t="shared" si="1"/>
        <v>27656379.759999998</v>
      </c>
      <c r="E16" s="955">
        <f t="shared" si="2"/>
        <v>32092572.149999999</v>
      </c>
      <c r="F16" s="955">
        <f t="shared" si="3"/>
        <v>59748951.909999996</v>
      </c>
      <c r="G16" s="970">
        <f t="shared" si="4"/>
        <v>0.19416860446843809</v>
      </c>
      <c r="H16" s="137"/>
      <c r="I16" s="101"/>
      <c r="J16" s="136"/>
      <c r="K16" s="113"/>
    </row>
    <row r="17" spans="1:12" ht="15" customHeight="1">
      <c r="A17" s="107"/>
      <c r="B17" s="969">
        <v>3</v>
      </c>
      <c r="C17" s="955">
        <f t="shared" si="0"/>
        <v>1799999995.6100001</v>
      </c>
      <c r="D17" s="955">
        <f t="shared" si="1"/>
        <v>30260180.499999985</v>
      </c>
      <c r="E17" s="955">
        <f t="shared" si="2"/>
        <v>40849586.790000007</v>
      </c>
      <c r="F17" s="955">
        <f t="shared" si="3"/>
        <v>71109767.289999992</v>
      </c>
      <c r="G17" s="970">
        <f t="shared" si="4"/>
        <v>0.2407835061877559</v>
      </c>
      <c r="H17" s="137"/>
      <c r="I17" s="101"/>
      <c r="J17" s="136"/>
      <c r="K17" s="113"/>
    </row>
    <row r="18" spans="1:12" ht="15" customHeight="1">
      <c r="A18" s="107"/>
      <c r="B18" s="969">
        <v>4</v>
      </c>
      <c r="C18" s="955">
        <f t="shared" si="0"/>
        <v>1799999991.5</v>
      </c>
      <c r="D18" s="955">
        <f t="shared" si="1"/>
        <v>29666354.109999999</v>
      </c>
      <c r="E18" s="955">
        <f t="shared" si="2"/>
        <v>42585774.689999998</v>
      </c>
      <c r="F18" s="955">
        <f t="shared" si="3"/>
        <v>72252128.799999997</v>
      </c>
      <c r="G18" s="970">
        <f t="shared" si="4"/>
        <v>0.24972653386196042</v>
      </c>
      <c r="H18" s="137"/>
      <c r="I18" s="101"/>
      <c r="J18" s="136"/>
      <c r="K18" s="113"/>
    </row>
    <row r="19" spans="1:12" ht="15" customHeight="1">
      <c r="A19" s="107"/>
      <c r="B19" s="969">
        <v>5</v>
      </c>
      <c r="C19" s="955">
        <f t="shared" si="0"/>
        <v>1799999993.9699998</v>
      </c>
      <c r="D19" s="955">
        <f t="shared" si="1"/>
        <v>29272948.699999996</v>
      </c>
      <c r="E19" s="955">
        <f t="shared" si="2"/>
        <v>52031411.07</v>
      </c>
      <c r="F19" s="955">
        <f t="shared" si="3"/>
        <v>81304359.769999996</v>
      </c>
      <c r="G19" s="970">
        <f t="shared" si="4"/>
        <v>0.29671164382801685</v>
      </c>
      <c r="H19" s="137"/>
      <c r="I19" s="101"/>
      <c r="J19" s="136"/>
      <c r="K19" s="113"/>
    </row>
    <row r="20" spans="1:12" ht="15" customHeight="1">
      <c r="A20" s="107"/>
      <c r="B20" s="969">
        <v>6</v>
      </c>
      <c r="C20" s="955">
        <f t="shared" si="0"/>
        <v>1799999998.4199996</v>
      </c>
      <c r="D20" s="955">
        <f t="shared" si="1"/>
        <v>28945451.649999999</v>
      </c>
      <c r="E20" s="955">
        <f t="shared" si="2"/>
        <v>45554564.240000002</v>
      </c>
      <c r="F20" s="955">
        <f t="shared" si="3"/>
        <v>74500015.890000001</v>
      </c>
      <c r="G20" s="970">
        <f t="shared" si="4"/>
        <v>0.26479520619498165</v>
      </c>
      <c r="H20" s="137"/>
      <c r="I20" s="101"/>
      <c r="J20" s="136"/>
      <c r="K20" s="113"/>
    </row>
    <row r="21" spans="1:12" ht="15" customHeight="1">
      <c r="A21" s="107"/>
      <c r="B21" s="969">
        <v>7</v>
      </c>
      <c r="C21" s="955">
        <f t="shared" si="0"/>
        <v>1799999986.5399995</v>
      </c>
      <c r="D21" s="955">
        <f t="shared" si="1"/>
        <v>29236040.560000002</v>
      </c>
      <c r="E21" s="955">
        <f t="shared" si="2"/>
        <v>43340599.829999998</v>
      </c>
      <c r="F21" s="955">
        <f t="shared" si="3"/>
        <v>72576640.390000001</v>
      </c>
      <c r="G21" s="970">
        <f t="shared" si="4"/>
        <v>0.25358440259872528</v>
      </c>
      <c r="H21" s="101"/>
      <c r="I21" s="101"/>
      <c r="J21" s="101"/>
      <c r="K21" s="113"/>
    </row>
    <row r="22" spans="1:12" ht="15" customHeight="1">
      <c r="A22" s="107"/>
      <c r="B22" s="969">
        <v>8</v>
      </c>
      <c r="C22" s="955">
        <f t="shared" si="0"/>
        <v>1799999989.6299996</v>
      </c>
      <c r="D22" s="955">
        <f t="shared" si="1"/>
        <v>29279001.03999991</v>
      </c>
      <c r="E22" s="955">
        <f t="shared" si="2"/>
        <v>50076352.280000083</v>
      </c>
      <c r="F22" s="955">
        <f t="shared" si="3"/>
        <v>79355353.319999993</v>
      </c>
      <c r="G22" s="970">
        <f t="shared" si="4"/>
        <v>0.28721403679433843</v>
      </c>
      <c r="H22" s="101"/>
      <c r="I22" s="101"/>
      <c r="J22" s="907"/>
      <c r="K22" s="113"/>
      <c r="L22" s="908"/>
    </row>
    <row r="23" spans="1:12" ht="15" customHeight="1">
      <c r="A23" s="107"/>
      <c r="B23" s="969">
        <v>9</v>
      </c>
      <c r="C23" s="955">
        <f t="shared" si="0"/>
        <v>1799999997.6199999</v>
      </c>
      <c r="D23" s="955">
        <f t="shared" si="1"/>
        <v>29869284.359999947</v>
      </c>
      <c r="E23" s="955">
        <f t="shared" si="2"/>
        <v>62441257.360000052</v>
      </c>
      <c r="F23" s="955">
        <f t="shared" si="3"/>
        <v>92310541.719999999</v>
      </c>
      <c r="G23" s="970">
        <f t="shared" si="4"/>
        <v>0.34535796239374195</v>
      </c>
      <c r="H23" s="101"/>
      <c r="I23" s="101"/>
      <c r="J23" s="909"/>
      <c r="K23" s="113"/>
    </row>
    <row r="24" spans="1:12" ht="15" customHeight="1">
      <c r="A24" s="107"/>
      <c r="B24" s="969">
        <v>10</v>
      </c>
      <c r="C24" s="955">
        <f t="shared" si="0"/>
        <v>1799999984.6999998</v>
      </c>
      <c r="D24" s="955">
        <f t="shared" si="1"/>
        <v>29621444.89000003</v>
      </c>
      <c r="E24" s="955">
        <f t="shared" si="2"/>
        <v>51566098.319999978</v>
      </c>
      <c r="F24" s="955">
        <f t="shared" si="3"/>
        <v>81187543.210000008</v>
      </c>
      <c r="G24" s="970">
        <f t="shared" si="4"/>
        <v>0.29446175163235555</v>
      </c>
      <c r="H24" s="910"/>
      <c r="I24" s="910"/>
      <c r="J24" s="911"/>
      <c r="K24" s="113"/>
    </row>
    <row r="25" spans="1:12" ht="15" customHeight="1">
      <c r="A25" s="107"/>
      <c r="B25" s="969">
        <v>11</v>
      </c>
      <c r="C25" s="955">
        <f t="shared" si="0"/>
        <v>1799999992.8399997</v>
      </c>
      <c r="D25" s="955">
        <f t="shared" si="1"/>
        <v>30177669.470000006</v>
      </c>
      <c r="E25" s="955">
        <f t="shared" si="2"/>
        <v>47987492.899999999</v>
      </c>
      <c r="F25" s="955">
        <f t="shared" si="3"/>
        <v>78165162.370000005</v>
      </c>
      <c r="G25" s="970">
        <f t="shared" si="4"/>
        <v>0.276936625098684</v>
      </c>
      <c r="H25" s="896"/>
      <c r="I25" s="896"/>
      <c r="J25" s="895"/>
      <c r="K25" s="113"/>
    </row>
    <row r="26" spans="1:12" ht="15" customHeight="1">
      <c r="A26" s="107"/>
      <c r="B26" s="969">
        <v>12</v>
      </c>
      <c r="C26" s="955">
        <f t="shared" si="0"/>
        <v>1799999993.5799999</v>
      </c>
      <c r="D26" s="955">
        <f t="shared" si="1"/>
        <v>30876744.159999937</v>
      </c>
      <c r="E26" s="955">
        <f t="shared" si="2"/>
        <v>47465290.02000007</v>
      </c>
      <c r="F26" s="955">
        <f t="shared" si="3"/>
        <v>78342034.180000007</v>
      </c>
      <c r="G26" s="970">
        <f t="shared" si="4"/>
        <v>0.27434619569214269</v>
      </c>
      <c r="H26" s="896"/>
      <c r="I26" s="896"/>
      <c r="J26" s="898"/>
      <c r="K26" s="113"/>
    </row>
    <row r="27" spans="1:12" ht="15" customHeight="1">
      <c r="A27" s="107"/>
      <c r="B27" s="969">
        <v>13</v>
      </c>
      <c r="C27" s="955">
        <f t="shared" si="0"/>
        <v>1799999958.8</v>
      </c>
      <c r="D27" s="955">
        <f t="shared" si="1"/>
        <v>29556876.670000002</v>
      </c>
      <c r="E27" s="955">
        <f t="shared" si="2"/>
        <v>45760187.189999998</v>
      </c>
      <c r="F27" s="955">
        <f t="shared" si="3"/>
        <v>75317063.859999999</v>
      </c>
      <c r="G27" s="970">
        <f t="shared" si="4"/>
        <v>0.26582854679317836</v>
      </c>
      <c r="H27" s="896"/>
      <c r="I27" s="896"/>
      <c r="J27" s="315"/>
      <c r="K27" s="113"/>
    </row>
    <row r="28" spans="1:12" ht="15" customHeight="1">
      <c r="A28" s="107"/>
      <c r="B28" s="969">
        <v>14</v>
      </c>
      <c r="C28" s="955">
        <f t="shared" si="0"/>
        <v>1721647673.05</v>
      </c>
      <c r="D28" s="955">
        <f t="shared" si="1"/>
        <v>28588769.789999947</v>
      </c>
      <c r="E28" s="955">
        <f t="shared" si="2"/>
        <v>30693631.430000052</v>
      </c>
      <c r="F28" s="955">
        <f t="shared" si="3"/>
        <v>59282401.219999999</v>
      </c>
      <c r="G28" s="970">
        <f t="shared" si="4"/>
        <v>0.19415727431021979</v>
      </c>
      <c r="H28" s="896"/>
      <c r="I28" s="896"/>
      <c r="J28" s="895"/>
      <c r="K28" s="113"/>
    </row>
    <row r="29" spans="1:12" ht="15" customHeight="1">
      <c r="A29" s="107"/>
      <c r="B29" s="969">
        <v>15</v>
      </c>
      <c r="C29" s="955">
        <f t="shared" si="0"/>
        <v>1658715590.6799998</v>
      </c>
      <c r="D29" s="955">
        <f t="shared" si="1"/>
        <v>28499176.780000001</v>
      </c>
      <c r="E29" s="955">
        <f t="shared" si="2"/>
        <v>47084893.549999997</v>
      </c>
      <c r="F29" s="955">
        <f t="shared" si="3"/>
        <v>75584070.329999998</v>
      </c>
      <c r="G29" s="970">
        <f t="shared" si="4"/>
        <v>0.29217931468353797</v>
      </c>
      <c r="H29" s="896"/>
      <c r="I29" s="896"/>
      <c r="J29" s="895"/>
      <c r="K29" s="113"/>
    </row>
    <row r="30" spans="1:12" ht="15" customHeight="1">
      <c r="A30" s="107"/>
      <c r="B30" s="969">
        <v>16</v>
      </c>
      <c r="C30" s="955">
        <f t="shared" si="0"/>
        <v>1579516526.0799999</v>
      </c>
      <c r="D30" s="955">
        <f t="shared" si="1"/>
        <v>27185727.459999889</v>
      </c>
      <c r="E30" s="955">
        <f t="shared" si="2"/>
        <v>44025413.580000103</v>
      </c>
      <c r="F30" s="955">
        <f t="shared" si="3"/>
        <v>71211141.039999992</v>
      </c>
      <c r="G30" s="970">
        <f t="shared" si="4"/>
        <v>0.28767597111489629</v>
      </c>
      <c r="H30" s="896"/>
      <c r="I30" s="896"/>
      <c r="J30" s="895"/>
      <c r="K30" s="113"/>
    </row>
    <row r="31" spans="1:12" ht="15" customHeight="1">
      <c r="A31" s="107"/>
      <c r="B31" s="969">
        <v>17</v>
      </c>
      <c r="C31" s="955">
        <f t="shared" si="0"/>
        <v>1504720267.3</v>
      </c>
      <c r="D31" s="955">
        <f t="shared" si="1"/>
        <v>26381970.379999928</v>
      </c>
      <c r="E31" s="955">
        <f t="shared" si="2"/>
        <v>42816372.780000068</v>
      </c>
      <c r="F31" s="955">
        <f t="shared" si="3"/>
        <v>69198343.159999996</v>
      </c>
      <c r="G31" s="970">
        <f t="shared" si="4"/>
        <v>0.29277658709498711</v>
      </c>
      <c r="H31" s="896"/>
      <c r="I31" s="896"/>
      <c r="J31" s="895"/>
      <c r="K31" s="113"/>
    </row>
    <row r="32" spans="1:12" ht="15" customHeight="1">
      <c r="A32" s="107"/>
      <c r="B32" s="969">
        <v>18</v>
      </c>
      <c r="C32" s="955">
        <f t="shared" si="0"/>
        <v>1432703420.5699999</v>
      </c>
      <c r="D32" s="955">
        <f t="shared" si="1"/>
        <v>26625784.189999931</v>
      </c>
      <c r="E32" s="955">
        <f t="shared" si="2"/>
        <v>34486040.660000063</v>
      </c>
      <c r="F32" s="955">
        <f t="shared" si="3"/>
        <v>61111824.849999994</v>
      </c>
      <c r="G32" s="970">
        <f t="shared" si="4"/>
        <v>0.25351552427605717</v>
      </c>
      <c r="H32" s="896"/>
      <c r="I32" s="896"/>
      <c r="J32" s="895"/>
      <c r="K32" s="113"/>
    </row>
    <row r="33" spans="1:11" ht="15" customHeight="1">
      <c r="A33" s="107"/>
      <c r="B33" s="969">
        <v>19</v>
      </c>
      <c r="C33" s="955">
        <f t="shared" si="0"/>
        <v>1366855787.27</v>
      </c>
      <c r="D33" s="955">
        <f t="shared" si="1"/>
        <v>24783879.790000021</v>
      </c>
      <c r="E33" s="955">
        <f t="shared" si="2"/>
        <v>37217290.409999982</v>
      </c>
      <c r="F33" s="955">
        <f t="shared" si="3"/>
        <v>62001170.200000003</v>
      </c>
      <c r="G33" s="970">
        <f t="shared" si="4"/>
        <v>0.28198979417096592</v>
      </c>
      <c r="H33" s="896"/>
      <c r="I33" s="896"/>
      <c r="J33" s="895"/>
      <c r="K33" s="113"/>
    </row>
    <row r="34" spans="1:11" ht="15" customHeight="1">
      <c r="A34" s="107"/>
      <c r="B34" s="969">
        <v>20</v>
      </c>
      <c r="C34" s="955">
        <f t="shared" si="0"/>
        <v>1301382552.8299999</v>
      </c>
      <c r="D34" s="955">
        <f t="shared" si="1"/>
        <v>23445035.290000025</v>
      </c>
      <c r="E34" s="955">
        <f t="shared" si="2"/>
        <v>31526190.429999974</v>
      </c>
      <c r="F34" s="955">
        <f t="shared" si="3"/>
        <v>54971225.719999999</v>
      </c>
      <c r="G34" s="970">
        <f t="shared" si="4"/>
        <v>0.25493282367114412</v>
      </c>
      <c r="H34" s="896"/>
      <c r="I34" s="896"/>
      <c r="J34" s="895"/>
      <c r="K34" s="113"/>
    </row>
    <row r="35" spans="1:11" ht="15" customHeight="1">
      <c r="A35" s="107"/>
      <c r="B35" s="969">
        <v>21</v>
      </c>
      <c r="C35" s="955">
        <f t="shared" si="0"/>
        <v>1243335118.53</v>
      </c>
      <c r="D35" s="955">
        <f t="shared" si="1"/>
        <v>23488188.23000003</v>
      </c>
      <c r="E35" s="955">
        <f t="shared" si="2"/>
        <v>27123684.869999964</v>
      </c>
      <c r="F35" s="955">
        <f t="shared" si="3"/>
        <v>50611873.099999994</v>
      </c>
      <c r="G35" s="970">
        <f t="shared" si="4"/>
        <v>0.23254914342101018</v>
      </c>
      <c r="H35" s="896"/>
      <c r="I35" s="896"/>
      <c r="J35" s="895"/>
      <c r="K35" s="113"/>
    </row>
    <row r="36" spans="1:11" ht="15" customHeight="1">
      <c r="A36" s="107"/>
      <c r="B36" s="969">
        <v>22</v>
      </c>
      <c r="C36" s="955">
        <f t="shared" si="0"/>
        <v>1189492514.1999998</v>
      </c>
      <c r="D36" s="955">
        <f t="shared" si="1"/>
        <v>22033853.800000031</v>
      </c>
      <c r="E36" s="955">
        <f t="shared" si="2"/>
        <v>26062473.989999969</v>
      </c>
      <c r="F36" s="955">
        <f t="shared" si="3"/>
        <v>48096327.789999999</v>
      </c>
      <c r="G36" s="970">
        <f t="shared" si="4"/>
        <v>0.23344606018301084</v>
      </c>
      <c r="H36" s="896"/>
      <c r="I36" s="896"/>
      <c r="J36" s="895"/>
      <c r="K36" s="113"/>
    </row>
    <row r="37" spans="1:11" s="68" customFormat="1" ht="15" customHeight="1">
      <c r="A37" s="912"/>
      <c r="B37" s="969">
        <v>23</v>
      </c>
      <c r="C37" s="955">
        <f t="shared" si="0"/>
        <v>1137704113.1299999</v>
      </c>
      <c r="D37" s="955">
        <f t="shared" si="1"/>
        <v>21376728.610000011</v>
      </c>
      <c r="E37" s="955">
        <f t="shared" si="2"/>
        <v>22264065.199999992</v>
      </c>
      <c r="F37" s="955">
        <f t="shared" si="3"/>
        <v>43640793.810000002</v>
      </c>
      <c r="G37" s="970">
        <f t="shared" si="4"/>
        <v>0.21113469107206151</v>
      </c>
      <c r="H37" s="913"/>
      <c r="I37" s="913"/>
      <c r="J37" s="914"/>
      <c r="K37" s="170"/>
    </row>
    <row r="38" spans="1:11" s="68" customFormat="1" ht="15" customHeight="1">
      <c r="A38" s="912"/>
      <c r="B38" s="969">
        <v>24</v>
      </c>
      <c r="C38" s="955">
        <f t="shared" si="0"/>
        <v>1091302713.23</v>
      </c>
      <c r="D38" s="955">
        <f t="shared" si="1"/>
        <v>20896411.550000001</v>
      </c>
      <c r="E38" s="955">
        <f t="shared" si="2"/>
        <v>17461551.760000002</v>
      </c>
      <c r="F38" s="955">
        <f t="shared" si="3"/>
        <v>38357963.310000002</v>
      </c>
      <c r="G38" s="970">
        <f t="shared" si="4"/>
        <v>0.1759800175602646</v>
      </c>
      <c r="H38" s="910"/>
      <c r="I38" s="910"/>
      <c r="J38" s="895"/>
      <c r="K38" s="170"/>
    </row>
    <row r="39" spans="1:11" s="68" customFormat="1" ht="15" customHeight="1">
      <c r="A39" s="912"/>
      <c r="B39" s="969">
        <v>25</v>
      </c>
      <c r="C39" s="955">
        <f t="shared" si="0"/>
        <v>1050040105.16</v>
      </c>
      <c r="D39" s="955">
        <f t="shared" si="1"/>
        <v>20553036.440000013</v>
      </c>
      <c r="E39" s="955">
        <f t="shared" si="2"/>
        <v>14978129.25999999</v>
      </c>
      <c r="F39" s="955">
        <f t="shared" si="3"/>
        <v>35531165.700000003</v>
      </c>
      <c r="G39" s="970">
        <f t="shared" si="4"/>
        <v>0.15836146117015115</v>
      </c>
      <c r="H39" s="910"/>
      <c r="I39" s="910"/>
      <c r="J39" s="895"/>
      <c r="K39" s="170"/>
    </row>
    <row r="40" spans="1:11" ht="15" customHeight="1">
      <c r="A40" s="107"/>
      <c r="B40" s="969">
        <v>26</v>
      </c>
      <c r="C40" s="955">
        <f t="shared" si="0"/>
        <v>1011546703.21</v>
      </c>
      <c r="D40" s="955">
        <f t="shared" si="1"/>
        <v>19883570.130000003</v>
      </c>
      <c r="E40" s="955">
        <f t="shared" si="2"/>
        <v>9981424.5499999952</v>
      </c>
      <c r="F40" s="955">
        <f t="shared" si="3"/>
        <v>29864994.68</v>
      </c>
      <c r="G40" s="970">
        <f t="shared" si="4"/>
        <v>0.11219035864259508</v>
      </c>
      <c r="H40" s="896"/>
      <c r="I40" s="896"/>
      <c r="J40" s="915"/>
      <c r="K40" s="113"/>
    </row>
    <row r="41" spans="1:11" ht="15" customHeight="1">
      <c r="A41" s="107"/>
      <c r="B41" s="969">
        <v>27</v>
      </c>
      <c r="C41" s="955">
        <f t="shared" si="0"/>
        <v>979508496.29000008</v>
      </c>
      <c r="D41" s="955">
        <f t="shared" si="1"/>
        <v>19747624.75</v>
      </c>
      <c r="E41" s="955">
        <f t="shared" si="2"/>
        <v>16740256.789999997</v>
      </c>
      <c r="F41" s="955">
        <f t="shared" si="3"/>
        <v>36487881.539999999</v>
      </c>
      <c r="G41" s="970">
        <f t="shared" si="4"/>
        <v>0.18686515711438367</v>
      </c>
      <c r="H41" s="896"/>
      <c r="I41" s="896"/>
      <c r="J41" s="898"/>
      <c r="K41" s="113"/>
    </row>
    <row r="42" spans="1:11" ht="15" customHeight="1">
      <c r="A42" s="107"/>
      <c r="B42" s="969">
        <v>28</v>
      </c>
      <c r="C42" s="955">
        <f t="shared" si="0"/>
        <v>940396572.93000007</v>
      </c>
      <c r="D42" s="955">
        <f t="shared" si="1"/>
        <v>19164568.530000001</v>
      </c>
      <c r="E42" s="955">
        <f t="shared" si="2"/>
        <v>14265507.469999997</v>
      </c>
      <c r="F42" s="955">
        <f t="shared" si="3"/>
        <v>33430076</v>
      </c>
      <c r="G42" s="970">
        <f t="shared" si="4"/>
        <v>0.16759060729436059</v>
      </c>
      <c r="H42" s="101"/>
      <c r="I42" s="101"/>
      <c r="J42" s="160"/>
      <c r="K42" s="113"/>
    </row>
    <row r="43" spans="1:11" ht="15" customHeight="1">
      <c r="A43" s="107"/>
      <c r="B43" s="969">
        <v>29</v>
      </c>
      <c r="C43" s="955">
        <f t="shared" si="0"/>
        <v>904083465.13000011</v>
      </c>
      <c r="D43" s="955">
        <f t="shared" si="1"/>
        <v>18959919.519999996</v>
      </c>
      <c r="E43" s="955">
        <f t="shared" si="2"/>
        <v>14103398.550000004</v>
      </c>
      <c r="F43" s="955">
        <f t="shared" si="3"/>
        <v>33063318.07</v>
      </c>
      <c r="G43" s="970">
        <f t="shared" si="4"/>
        <v>0.17194146551605116</v>
      </c>
      <c r="H43" s="101"/>
      <c r="I43" s="101"/>
      <c r="J43" s="160"/>
      <c r="K43" s="113"/>
    </row>
    <row r="44" spans="1:11" ht="15" customHeight="1">
      <c r="A44" s="107"/>
      <c r="B44" s="969">
        <v>30</v>
      </c>
      <c r="C44" s="955">
        <f t="shared" si="0"/>
        <v>867754835.41000021</v>
      </c>
      <c r="D44" s="955">
        <f t="shared" si="1"/>
        <v>18442913.190000013</v>
      </c>
      <c r="E44" s="955">
        <f t="shared" si="2"/>
        <v>10244883.259999992</v>
      </c>
      <c r="F44" s="955">
        <f t="shared" si="3"/>
        <v>28687796.450000003</v>
      </c>
      <c r="G44" s="970">
        <f t="shared" si="4"/>
        <v>0.13282745244842409</v>
      </c>
      <c r="H44" s="101"/>
      <c r="I44" s="101"/>
      <c r="J44" s="160"/>
      <c r="K44" s="113"/>
    </row>
    <row r="45" spans="1:11" ht="15" customHeight="1">
      <c r="A45" s="107"/>
      <c r="B45" s="969">
        <v>31</v>
      </c>
      <c r="C45" s="955">
        <f t="shared" si="0"/>
        <v>837573133.32000017</v>
      </c>
      <c r="D45" s="955">
        <f t="shared" si="1"/>
        <v>17521972.500000007</v>
      </c>
      <c r="E45" s="955">
        <f t="shared" si="2"/>
        <v>12252968.869999992</v>
      </c>
      <c r="F45" s="955">
        <f t="shared" si="3"/>
        <v>29774941.369999997</v>
      </c>
      <c r="G45" s="970">
        <f t="shared" si="4"/>
        <v>0.16209146310244138</v>
      </c>
      <c r="H45" s="101"/>
      <c r="I45" s="101"/>
      <c r="J45" s="160"/>
      <c r="K45" s="113"/>
    </row>
    <row r="46" spans="1:11" ht="15" customHeight="1">
      <c r="A46" s="107"/>
      <c r="B46" s="969">
        <v>32</v>
      </c>
      <c r="C46" s="955">
        <f t="shared" si="0"/>
        <v>805344476.12000012</v>
      </c>
      <c r="D46" s="955">
        <f t="shared" si="1"/>
        <v>17333857.710000008</v>
      </c>
      <c r="E46" s="955">
        <f t="shared" si="2"/>
        <v>11466605.819999993</v>
      </c>
      <c r="F46" s="955">
        <f t="shared" si="3"/>
        <v>28800463.530000001</v>
      </c>
      <c r="G46" s="970">
        <f t="shared" si="4"/>
        <v>0.1580929597284374</v>
      </c>
      <c r="H46" s="101"/>
      <c r="I46" s="101"/>
      <c r="J46" s="160"/>
      <c r="K46" s="113"/>
    </row>
    <row r="47" spans="1:11" ht="15" customHeight="1">
      <c r="A47" s="107"/>
      <c r="B47" s="969">
        <v>33</v>
      </c>
      <c r="C47" s="955">
        <f t="shared" ref="C47:C78" si="5">IF($F$4&gt;=B47,VLOOKUP(CONCATENATE("portfolio_",$B47),portfolio_p.p._20,2,0),"")</f>
        <v>774337554.89999998</v>
      </c>
      <c r="D47" s="955">
        <f t="shared" ref="D47:D78" si="6">IF($F$4&gt;=B47,VLOOKUP(CONCATENATE("portfolio_",$B47),portfolio_p.p._20,3,0),"")</f>
        <v>16768072.819999991</v>
      </c>
      <c r="E47" s="955">
        <f t="shared" ref="E47:E78" si="7">IF($F$4&gt;=B47,VLOOKUP(CONCATENATE("portfolio_",$B47),portfolio_p.p._20,4,0),"")</f>
        <v>11233018.290000008</v>
      </c>
      <c r="F47" s="955">
        <f t="shared" ref="F47:F78" si="8">IF($F$4&gt;=B47,VLOOKUP(CONCATENATE("portfolio_",$B47),portfolio_p.p._20,5,0),"")</f>
        <v>28001091.109999999</v>
      </c>
      <c r="G47" s="970">
        <f t="shared" ref="G47:G78" si="9">IF($F$4&gt;=B47,VLOOKUP(CONCATENATE("portfolio_",$B47),portfolio_p.p._20,6,0),"")</f>
        <v>0.16084043050028773</v>
      </c>
      <c r="H47" s="101"/>
      <c r="I47" s="101"/>
      <c r="J47" s="160"/>
      <c r="K47" s="113"/>
    </row>
    <row r="48" spans="1:11" ht="15" customHeight="1">
      <c r="A48" s="107"/>
      <c r="B48" s="969">
        <v>34</v>
      </c>
      <c r="C48" s="955">
        <f t="shared" si="5"/>
        <v>744253182.51999998</v>
      </c>
      <c r="D48" s="955">
        <f t="shared" si="6"/>
        <v>16558540.009999992</v>
      </c>
      <c r="E48" s="955">
        <f t="shared" si="7"/>
        <v>11174524.560000008</v>
      </c>
      <c r="F48" s="955">
        <f t="shared" si="8"/>
        <v>27733064.57</v>
      </c>
      <c r="G48" s="970">
        <f t="shared" si="9"/>
        <v>0.16601448362724636</v>
      </c>
      <c r="H48" s="101"/>
      <c r="I48" s="101"/>
      <c r="J48" s="160"/>
      <c r="K48" s="113"/>
    </row>
    <row r="49" spans="1:11" ht="15" customHeight="1">
      <c r="A49" s="107"/>
      <c r="B49" s="969">
        <v>35</v>
      </c>
      <c r="C49" s="955">
        <f t="shared" si="5"/>
        <v>714652736.21999991</v>
      </c>
      <c r="D49" s="955">
        <f t="shared" si="6"/>
        <v>16488206.139999997</v>
      </c>
      <c r="E49" s="955">
        <f t="shared" si="7"/>
        <v>6880698.320000004</v>
      </c>
      <c r="F49" s="955">
        <f t="shared" si="8"/>
        <v>23368904.460000001</v>
      </c>
      <c r="G49" s="970">
        <f t="shared" si="9"/>
        <v>0.1096103966598081</v>
      </c>
      <c r="H49" s="101"/>
      <c r="I49" s="101"/>
      <c r="J49" s="160"/>
      <c r="K49" s="113"/>
    </row>
    <row r="50" spans="1:11" ht="15" customHeight="1">
      <c r="A50" s="107"/>
      <c r="B50" s="969">
        <v>36</v>
      </c>
      <c r="C50" s="955">
        <f t="shared" si="5"/>
        <v>689208813.98999989</v>
      </c>
      <c r="D50" s="955">
        <f t="shared" si="6"/>
        <v>15952962.620000008</v>
      </c>
      <c r="E50" s="955">
        <f t="shared" si="7"/>
        <v>7342513.8199999919</v>
      </c>
      <c r="F50" s="955">
        <f t="shared" si="8"/>
        <v>23295476.440000001</v>
      </c>
      <c r="G50" s="970">
        <f t="shared" si="9"/>
        <v>0.12061136486941704</v>
      </c>
      <c r="H50" s="101"/>
      <c r="I50" s="101"/>
      <c r="J50" s="160"/>
      <c r="K50" s="113"/>
    </row>
    <row r="51" spans="1:11" ht="15" customHeight="1">
      <c r="A51" s="107"/>
      <c r="B51" s="969">
        <v>37</v>
      </c>
      <c r="C51" s="955">
        <f t="shared" si="5"/>
        <v>664036503.01999986</v>
      </c>
      <c r="D51" s="955">
        <f t="shared" si="6"/>
        <v>15429784.109999999</v>
      </c>
      <c r="E51" s="955">
        <f t="shared" si="7"/>
        <v>6956068.9400000004</v>
      </c>
      <c r="F51" s="955">
        <f t="shared" si="8"/>
        <v>22385853.050000001</v>
      </c>
      <c r="G51" s="970">
        <f t="shared" si="9"/>
        <v>0.11870972273954117</v>
      </c>
      <c r="H51" s="101"/>
      <c r="I51" s="101"/>
      <c r="J51" s="160"/>
      <c r="K51" s="113"/>
    </row>
    <row r="52" spans="1:11" ht="15" customHeight="1">
      <c r="A52" s="107"/>
      <c r="B52" s="969">
        <v>38</v>
      </c>
      <c r="C52" s="955">
        <f t="shared" si="5"/>
        <v>640143017.51999986</v>
      </c>
      <c r="D52" s="955">
        <f t="shared" si="6"/>
        <v>15255509.430000002</v>
      </c>
      <c r="E52" s="955">
        <f t="shared" si="7"/>
        <v>4508080.209999999</v>
      </c>
      <c r="F52" s="955">
        <f t="shared" si="8"/>
        <v>19763589.640000001</v>
      </c>
      <c r="G52" s="970">
        <f t="shared" si="9"/>
        <v>8.1310047092067239E-2</v>
      </c>
      <c r="H52" s="101"/>
      <c r="I52" s="101"/>
      <c r="J52" s="160"/>
      <c r="K52" s="113"/>
    </row>
    <row r="53" spans="1:11" ht="15" customHeight="1">
      <c r="A53" s="107"/>
      <c r="B53" s="969">
        <v>39</v>
      </c>
      <c r="C53" s="955">
        <f t="shared" si="5"/>
        <v>618529801.1099999</v>
      </c>
      <c r="D53" s="955">
        <f t="shared" si="6"/>
        <v>15218681.960000001</v>
      </c>
      <c r="E53" s="955">
        <f t="shared" si="7"/>
        <v>8160241.1900000004</v>
      </c>
      <c r="F53" s="955">
        <f t="shared" si="8"/>
        <v>23378923.150000002</v>
      </c>
      <c r="G53" s="970">
        <f t="shared" si="9"/>
        <v>0.14731848077192744</v>
      </c>
      <c r="H53" s="101"/>
      <c r="I53" s="101"/>
      <c r="J53" s="160"/>
      <c r="K53" s="113"/>
    </row>
    <row r="54" spans="1:11" ht="15" customHeight="1">
      <c r="A54" s="107"/>
      <c r="B54" s="969">
        <v>40</v>
      </c>
      <c r="C54" s="955">
        <f t="shared" si="5"/>
        <v>593148563.19999993</v>
      </c>
      <c r="D54" s="955">
        <f t="shared" si="6"/>
        <v>14451149.369999997</v>
      </c>
      <c r="E54" s="955">
        <f t="shared" si="7"/>
        <v>6947331.4200000009</v>
      </c>
      <c r="F54" s="955">
        <f t="shared" si="8"/>
        <v>21398480.789999999</v>
      </c>
      <c r="G54" s="970">
        <f t="shared" si="9"/>
        <v>0.13184168859359191</v>
      </c>
      <c r="H54" s="101"/>
      <c r="I54" s="101"/>
      <c r="J54" s="160"/>
      <c r="K54" s="113"/>
    </row>
    <row r="55" spans="1:11" ht="15" customHeight="1">
      <c r="A55" s="107"/>
      <c r="B55" s="969">
        <v>41</v>
      </c>
      <c r="C55" s="955">
        <f t="shared" si="5"/>
        <v>570129389.5799998</v>
      </c>
      <c r="D55" s="955">
        <f t="shared" si="6"/>
        <v>14338922.149999997</v>
      </c>
      <c r="E55" s="955">
        <f t="shared" si="7"/>
        <v>6971384.2400000039</v>
      </c>
      <c r="F55" s="955">
        <f t="shared" si="8"/>
        <v>21310306.390000001</v>
      </c>
      <c r="G55" s="970">
        <f t="shared" si="9"/>
        <v>0.13725590359841389</v>
      </c>
      <c r="H55" s="101"/>
      <c r="I55" s="101"/>
      <c r="J55" s="160"/>
      <c r="K55" s="113"/>
    </row>
    <row r="56" spans="1:11" ht="15" customHeight="1">
      <c r="A56" s="107"/>
      <c r="B56" s="969">
        <v>42</v>
      </c>
      <c r="C56" s="955">
        <f t="shared" si="5"/>
        <v>547537466.84999979</v>
      </c>
      <c r="D56" s="955">
        <f t="shared" si="6"/>
        <v>13875942.959999993</v>
      </c>
      <c r="E56" s="955">
        <f t="shared" si="7"/>
        <v>6931744.9200000046</v>
      </c>
      <c r="F56" s="955">
        <f t="shared" si="8"/>
        <v>20807687.879999999</v>
      </c>
      <c r="G56" s="970">
        <f t="shared" si="9"/>
        <v>0.14177423532382438</v>
      </c>
      <c r="H56" s="101"/>
      <c r="I56" s="101"/>
      <c r="J56" s="160"/>
      <c r="K56" s="113"/>
    </row>
    <row r="57" spans="1:11" ht="15" customHeight="1">
      <c r="A57" s="107"/>
      <c r="B57" s="969">
        <v>43</v>
      </c>
      <c r="C57" s="955">
        <f t="shared" si="5"/>
        <v>525478887.65999985</v>
      </c>
      <c r="D57" s="955">
        <f t="shared" si="6"/>
        <v>13394198.890000004</v>
      </c>
      <c r="E57" s="955">
        <f t="shared" si="7"/>
        <v>6448230.299999997</v>
      </c>
      <c r="F57" s="955">
        <f t="shared" si="8"/>
        <v>19842429.190000001</v>
      </c>
      <c r="G57" s="970">
        <f t="shared" si="9"/>
        <v>0.1377109569398377</v>
      </c>
      <c r="H57" s="101"/>
      <c r="I57" s="101"/>
      <c r="J57" s="160"/>
      <c r="K57" s="113"/>
    </row>
    <row r="58" spans="1:11" ht="15" customHeight="1">
      <c r="A58" s="107"/>
      <c r="B58" s="969">
        <v>44</v>
      </c>
      <c r="C58" s="955">
        <f t="shared" si="5"/>
        <v>504470040.88999987</v>
      </c>
      <c r="D58" s="955">
        <f t="shared" si="6"/>
        <v>13279658.990000008</v>
      </c>
      <c r="E58" s="955">
        <f t="shared" si="7"/>
        <v>5690703.8499999922</v>
      </c>
      <c r="F58" s="955">
        <f t="shared" si="8"/>
        <v>18970362.84</v>
      </c>
      <c r="G58" s="970">
        <f t="shared" si="9"/>
        <v>0.12727606593913154</v>
      </c>
      <c r="H58" s="101"/>
      <c r="I58" s="101"/>
      <c r="J58" s="160"/>
      <c r="K58" s="113"/>
    </row>
    <row r="59" spans="1:11" ht="15" customHeight="1">
      <c r="A59" s="107"/>
      <c r="B59" s="969">
        <v>45</v>
      </c>
      <c r="C59" s="955">
        <f t="shared" si="5"/>
        <v>483797256.39999992</v>
      </c>
      <c r="D59" s="955">
        <f t="shared" si="6"/>
        <v>13035463.549999997</v>
      </c>
      <c r="E59" s="955">
        <f t="shared" si="7"/>
        <v>6586923.1200000057</v>
      </c>
      <c r="F59" s="955">
        <f t="shared" si="8"/>
        <v>19622386.670000002</v>
      </c>
      <c r="G59" s="970">
        <f t="shared" si="9"/>
        <v>0.1516847871625675</v>
      </c>
      <c r="H59" s="101"/>
      <c r="I59" s="101"/>
      <c r="J59" s="160"/>
      <c r="K59" s="113"/>
    </row>
    <row r="60" spans="1:11" ht="15" customHeight="1">
      <c r="A60" s="107"/>
      <c r="B60" s="969">
        <v>46</v>
      </c>
      <c r="C60" s="955">
        <f t="shared" si="5"/>
        <v>462729654.5399999</v>
      </c>
      <c r="D60" s="955">
        <f t="shared" si="6"/>
        <v>12551419.970000004</v>
      </c>
      <c r="E60" s="955">
        <f t="shared" si="7"/>
        <v>5527303.2999999952</v>
      </c>
      <c r="F60" s="955">
        <f t="shared" si="8"/>
        <v>18078723.27</v>
      </c>
      <c r="G60" s="970">
        <f t="shared" si="9"/>
        <v>0.13428793451762377</v>
      </c>
      <c r="H60" s="101"/>
      <c r="I60" s="101"/>
      <c r="J60" s="101"/>
      <c r="K60" s="113"/>
    </row>
    <row r="61" spans="1:11" ht="15" customHeight="1">
      <c r="A61" s="107"/>
      <c r="B61" s="969">
        <v>47</v>
      </c>
      <c r="C61" s="955">
        <f t="shared" si="5"/>
        <v>443196259.30999994</v>
      </c>
      <c r="D61" s="955">
        <f t="shared" si="6"/>
        <v>12176477.020000003</v>
      </c>
      <c r="E61" s="955">
        <f t="shared" si="7"/>
        <v>5092917.0399999982</v>
      </c>
      <c r="F61" s="955">
        <f t="shared" si="8"/>
        <v>17269394.060000002</v>
      </c>
      <c r="G61" s="970">
        <f t="shared" si="9"/>
        <v>0.12950603876520195</v>
      </c>
      <c r="H61" s="101"/>
      <c r="I61" s="101"/>
      <c r="J61" s="101"/>
      <c r="K61" s="113"/>
    </row>
    <row r="62" spans="1:11" ht="15" customHeight="1">
      <c r="A62" s="107"/>
      <c r="B62" s="969">
        <v>48</v>
      </c>
      <c r="C62" s="955">
        <f t="shared" si="5"/>
        <v>424915466.89999992</v>
      </c>
      <c r="D62" s="955">
        <f t="shared" si="6"/>
        <v>12221607.010000002</v>
      </c>
      <c r="E62" s="955">
        <f t="shared" si="7"/>
        <v>4601998.4999999963</v>
      </c>
      <c r="F62" s="955">
        <f t="shared" si="8"/>
        <v>16823605.509999998</v>
      </c>
      <c r="G62" s="970">
        <f t="shared" si="9"/>
        <v>0.12249580060519583</v>
      </c>
      <c r="H62" s="101"/>
      <c r="I62" s="101"/>
      <c r="J62" s="101"/>
      <c r="K62" s="113"/>
    </row>
    <row r="63" spans="1:11" ht="15" customHeight="1">
      <c r="A63" s="107"/>
      <c r="B63" s="969">
        <v>49</v>
      </c>
      <c r="C63" s="955">
        <f t="shared" si="5"/>
        <v>406972073.68999988</v>
      </c>
      <c r="D63" s="955">
        <f t="shared" si="6"/>
        <v>11638694.550000001</v>
      </c>
      <c r="E63" s="955">
        <f t="shared" si="7"/>
        <v>4210609.2499999981</v>
      </c>
      <c r="F63" s="955">
        <f t="shared" si="8"/>
        <v>15849303.799999999</v>
      </c>
      <c r="G63" s="970">
        <f t="shared" si="9"/>
        <v>0.11732743859473116</v>
      </c>
      <c r="H63" s="101"/>
      <c r="I63" s="101"/>
      <c r="J63" s="101"/>
      <c r="K63" s="113"/>
    </row>
    <row r="64" spans="1:11" ht="15" customHeight="1">
      <c r="A64" s="107"/>
      <c r="B64" s="969">
        <v>50</v>
      </c>
      <c r="C64" s="955">
        <f t="shared" si="5"/>
        <v>389757980.49999988</v>
      </c>
      <c r="D64" s="955">
        <f t="shared" si="6"/>
        <v>11258049.42</v>
      </c>
      <c r="E64" s="955">
        <f t="shared" si="7"/>
        <v>2706553.8399999994</v>
      </c>
      <c r="F64" s="955">
        <f t="shared" si="8"/>
        <v>13964603.26</v>
      </c>
      <c r="G64" s="970">
        <f t="shared" si="9"/>
        <v>8.0220184499211644E-2</v>
      </c>
      <c r="H64" s="101"/>
      <c r="I64" s="101"/>
      <c r="J64" s="101"/>
      <c r="K64" s="113"/>
    </row>
    <row r="65" spans="1:11" ht="15" customHeight="1">
      <c r="A65" s="107"/>
      <c r="B65" s="969">
        <v>51</v>
      </c>
      <c r="C65" s="955">
        <f t="shared" si="5"/>
        <v>374849302.1099999</v>
      </c>
      <c r="D65" s="955">
        <f t="shared" si="6"/>
        <v>11343997.870000001</v>
      </c>
      <c r="E65" s="955">
        <f t="shared" si="7"/>
        <v>4935729.04</v>
      </c>
      <c r="F65" s="955">
        <f t="shared" si="8"/>
        <v>16279726.91</v>
      </c>
      <c r="G65" s="970">
        <f t="shared" si="9"/>
        <v>0.14705166788285373</v>
      </c>
      <c r="H65" s="101"/>
      <c r="I65" s="101"/>
      <c r="J65" s="101"/>
      <c r="K65" s="113"/>
    </row>
    <row r="66" spans="1:11" ht="15" customHeight="1">
      <c r="A66" s="107"/>
      <c r="B66" s="969">
        <v>52</v>
      </c>
      <c r="C66" s="955">
        <f t="shared" si="5"/>
        <v>357461476.32999992</v>
      </c>
      <c r="D66" s="955">
        <f t="shared" si="6"/>
        <v>10837869.98</v>
      </c>
      <c r="E66" s="955">
        <f t="shared" si="7"/>
        <v>4359003.6799999988</v>
      </c>
      <c r="F66" s="955">
        <f t="shared" si="8"/>
        <v>15196873.66</v>
      </c>
      <c r="G66" s="970">
        <f t="shared" si="9"/>
        <v>0.13690585763501195</v>
      </c>
      <c r="H66" s="101"/>
      <c r="I66" s="101"/>
      <c r="J66" s="101"/>
      <c r="K66" s="113"/>
    </row>
    <row r="67" spans="1:11" ht="15" customHeight="1">
      <c r="A67" s="107"/>
      <c r="B67" s="969">
        <v>53</v>
      </c>
      <c r="C67" s="955">
        <f t="shared" si="5"/>
        <v>341121321.92999995</v>
      </c>
      <c r="D67" s="955">
        <f t="shared" si="6"/>
        <v>10629875.390000004</v>
      </c>
      <c r="E67" s="955">
        <f t="shared" si="7"/>
        <v>4043611.5699999966</v>
      </c>
      <c r="F67" s="955">
        <f t="shared" si="8"/>
        <v>14673486.960000001</v>
      </c>
      <c r="G67" s="970">
        <f t="shared" si="9"/>
        <v>0.13332946640478571</v>
      </c>
      <c r="H67" s="101"/>
      <c r="I67" s="101"/>
      <c r="J67" s="101"/>
      <c r="K67" s="113"/>
    </row>
    <row r="68" spans="1:11" ht="15" customHeight="1">
      <c r="A68" s="107"/>
      <c r="B68" s="969">
        <v>54</v>
      </c>
      <c r="C68" s="955">
        <f t="shared" si="5"/>
        <v>325648786.45999998</v>
      </c>
      <c r="D68" s="955">
        <f t="shared" si="6"/>
        <v>10053480.15</v>
      </c>
      <c r="E68" s="955">
        <f t="shared" si="7"/>
        <v>4073198.3400000003</v>
      </c>
      <c r="F68" s="955">
        <f t="shared" si="8"/>
        <v>14126678.49</v>
      </c>
      <c r="G68" s="970">
        <f t="shared" si="9"/>
        <v>0.14018839663854388</v>
      </c>
      <c r="H68" s="101"/>
      <c r="I68" s="101"/>
      <c r="J68" s="101"/>
      <c r="K68" s="113"/>
    </row>
    <row r="69" spans="1:11" ht="15" customHeight="1">
      <c r="A69" s="107"/>
      <c r="B69" s="969">
        <v>55</v>
      </c>
      <c r="C69" s="955">
        <f t="shared" si="5"/>
        <v>310618786.55999994</v>
      </c>
      <c r="D69" s="955">
        <f t="shared" si="6"/>
        <v>9917370.9099999983</v>
      </c>
      <c r="E69" s="955">
        <f t="shared" si="7"/>
        <v>3495609.4899999998</v>
      </c>
      <c r="F69" s="955">
        <f t="shared" si="8"/>
        <v>13412980.399999999</v>
      </c>
      <c r="G69" s="970">
        <f t="shared" si="9"/>
        <v>0.12699149349979932</v>
      </c>
      <c r="H69" s="101"/>
      <c r="I69" s="101"/>
      <c r="J69" s="101"/>
      <c r="K69" s="113"/>
    </row>
    <row r="70" spans="1:11" ht="15" customHeight="1">
      <c r="A70" s="107"/>
      <c r="B70" s="969">
        <v>56</v>
      </c>
      <c r="C70" s="955">
        <f t="shared" si="5"/>
        <v>296328148.40999991</v>
      </c>
      <c r="D70" s="955">
        <f t="shared" si="6"/>
        <v>9579376.9000000004</v>
      </c>
      <c r="E70" s="955">
        <f t="shared" si="7"/>
        <v>3352633.5099999993</v>
      </c>
      <c r="F70" s="955">
        <f t="shared" si="8"/>
        <v>12932010.41</v>
      </c>
      <c r="G70" s="970">
        <f t="shared" si="9"/>
        <v>0.12762938973344984</v>
      </c>
      <c r="H70" s="101"/>
      <c r="I70" s="101"/>
      <c r="J70" s="101"/>
      <c r="K70" s="113"/>
    </row>
    <row r="71" spans="1:11" ht="15" customHeight="1">
      <c r="A71" s="107"/>
      <c r="B71" s="969">
        <v>57</v>
      </c>
      <c r="C71" s="955">
        <f t="shared" si="5"/>
        <v>282720890.44999987</v>
      </c>
      <c r="D71" s="955">
        <f t="shared" si="6"/>
        <v>9380518.6000000015</v>
      </c>
      <c r="E71" s="955">
        <f t="shared" si="7"/>
        <v>3505360.55</v>
      </c>
      <c r="F71" s="955">
        <f t="shared" si="8"/>
        <v>12885879.15</v>
      </c>
      <c r="G71" s="970">
        <f t="shared" si="9"/>
        <v>0.13904581855437093</v>
      </c>
      <c r="H71" s="101"/>
      <c r="I71" s="101"/>
      <c r="J71" s="101"/>
      <c r="K71" s="113"/>
    </row>
    <row r="72" spans="1:11" ht="15" customHeight="1">
      <c r="A72" s="107"/>
      <c r="B72" s="969">
        <v>58</v>
      </c>
      <c r="C72" s="955">
        <f t="shared" si="5"/>
        <v>269112740.90999991</v>
      </c>
      <c r="D72" s="955">
        <f t="shared" si="6"/>
        <v>9207090.2700000014</v>
      </c>
      <c r="E72" s="955">
        <f t="shared" si="7"/>
        <v>2852335.1399999987</v>
      </c>
      <c r="F72" s="955">
        <f t="shared" si="8"/>
        <v>12059425.41</v>
      </c>
      <c r="G72" s="970">
        <f t="shared" si="9"/>
        <v>0.12002981106734889</v>
      </c>
      <c r="H72" s="101"/>
      <c r="I72" s="101"/>
      <c r="J72" s="101"/>
      <c r="K72" s="113"/>
    </row>
    <row r="73" spans="1:11" ht="15" customHeight="1">
      <c r="A73" s="107"/>
      <c r="B73" s="969">
        <v>59</v>
      </c>
      <c r="C73" s="955">
        <f t="shared" si="5"/>
        <v>256430146.51999989</v>
      </c>
      <c r="D73" s="955">
        <f t="shared" si="6"/>
        <v>8991958.9299999978</v>
      </c>
      <c r="E73" s="955">
        <f t="shared" si="7"/>
        <v>2894403.4300000016</v>
      </c>
      <c r="F73" s="955">
        <f t="shared" si="8"/>
        <v>11886362.359999999</v>
      </c>
      <c r="G73" s="970">
        <f t="shared" si="9"/>
        <v>0.12734744626155281</v>
      </c>
      <c r="H73" s="101"/>
      <c r="I73" s="101"/>
      <c r="J73" s="101"/>
      <c r="K73" s="113"/>
    </row>
    <row r="74" spans="1:11" ht="15" customHeight="1">
      <c r="A74" s="107"/>
      <c r="B74" s="969">
        <v>60</v>
      </c>
      <c r="C74" s="955" t="str">
        <f t="shared" si="5"/>
        <v/>
      </c>
      <c r="D74" s="955" t="str">
        <f t="shared" si="6"/>
        <v/>
      </c>
      <c r="E74" s="955" t="str">
        <f t="shared" si="7"/>
        <v/>
      </c>
      <c r="F74" s="955" t="str">
        <f t="shared" si="8"/>
        <v/>
      </c>
      <c r="G74" s="970" t="str">
        <f t="shared" si="9"/>
        <v/>
      </c>
      <c r="H74" s="101"/>
      <c r="I74" s="101"/>
      <c r="J74" s="101"/>
      <c r="K74" s="113"/>
    </row>
    <row r="75" spans="1:11" ht="15" customHeight="1">
      <c r="A75" s="107"/>
      <c r="B75" s="969">
        <v>61</v>
      </c>
      <c r="C75" s="955" t="str">
        <f t="shared" si="5"/>
        <v/>
      </c>
      <c r="D75" s="955" t="str">
        <f t="shared" si="6"/>
        <v/>
      </c>
      <c r="E75" s="955" t="str">
        <f t="shared" si="7"/>
        <v/>
      </c>
      <c r="F75" s="955" t="str">
        <f t="shared" si="8"/>
        <v/>
      </c>
      <c r="G75" s="970" t="str">
        <f t="shared" si="9"/>
        <v/>
      </c>
      <c r="H75" s="101"/>
      <c r="I75" s="101"/>
      <c r="J75" s="101"/>
      <c r="K75" s="113"/>
    </row>
    <row r="76" spans="1:11" ht="15" customHeight="1">
      <c r="A76" s="107"/>
      <c r="B76" s="969">
        <v>62</v>
      </c>
      <c r="C76" s="955" t="str">
        <f t="shared" si="5"/>
        <v/>
      </c>
      <c r="D76" s="955" t="str">
        <f t="shared" si="6"/>
        <v/>
      </c>
      <c r="E76" s="955" t="str">
        <f t="shared" si="7"/>
        <v/>
      </c>
      <c r="F76" s="955" t="str">
        <f t="shared" si="8"/>
        <v/>
      </c>
      <c r="G76" s="970" t="str">
        <f t="shared" si="9"/>
        <v/>
      </c>
      <c r="H76" s="101"/>
      <c r="I76" s="101"/>
      <c r="J76" s="101"/>
      <c r="K76" s="113"/>
    </row>
    <row r="77" spans="1:11" ht="15" customHeight="1">
      <c r="A77" s="107"/>
      <c r="B77" s="969">
        <v>63</v>
      </c>
      <c r="C77" s="955" t="str">
        <f t="shared" si="5"/>
        <v/>
      </c>
      <c r="D77" s="955" t="str">
        <f t="shared" si="6"/>
        <v/>
      </c>
      <c r="E77" s="955" t="str">
        <f t="shared" si="7"/>
        <v/>
      </c>
      <c r="F77" s="955" t="str">
        <f t="shared" si="8"/>
        <v/>
      </c>
      <c r="G77" s="970" t="str">
        <f t="shared" si="9"/>
        <v/>
      </c>
      <c r="H77" s="101"/>
      <c r="I77" s="101"/>
      <c r="J77" s="101"/>
      <c r="K77" s="113"/>
    </row>
    <row r="78" spans="1:11" ht="15" customHeight="1">
      <c r="A78" s="107"/>
      <c r="B78" s="969">
        <v>64</v>
      </c>
      <c r="C78" s="955" t="str">
        <f t="shared" si="5"/>
        <v/>
      </c>
      <c r="D78" s="955" t="str">
        <f t="shared" si="6"/>
        <v/>
      </c>
      <c r="E78" s="955" t="str">
        <f t="shared" si="7"/>
        <v/>
      </c>
      <c r="F78" s="955" t="str">
        <f t="shared" si="8"/>
        <v/>
      </c>
      <c r="G78" s="970" t="str">
        <f t="shared" si="9"/>
        <v/>
      </c>
      <c r="H78" s="101"/>
      <c r="I78" s="101"/>
      <c r="J78" s="101"/>
      <c r="K78" s="113"/>
    </row>
    <row r="79" spans="1:11" ht="15" customHeight="1">
      <c r="A79" s="107"/>
      <c r="B79" s="969">
        <v>65</v>
      </c>
      <c r="C79" s="955" t="str">
        <f t="shared" ref="C79:C94" si="10">IF($F$4&gt;=B79,VLOOKUP(CONCATENATE("portfolio_",$B79),portfolio_p.p._20,2,0),"")</f>
        <v/>
      </c>
      <c r="D79" s="955" t="str">
        <f t="shared" ref="D79:D94" si="11">IF($F$4&gt;=B79,VLOOKUP(CONCATENATE("portfolio_",$B79),portfolio_p.p._20,3,0),"")</f>
        <v/>
      </c>
      <c r="E79" s="955" t="str">
        <f t="shared" ref="E79:E94" si="12">IF($F$4&gt;=B79,VLOOKUP(CONCATENATE("portfolio_",$B79),portfolio_p.p._20,4,0),"")</f>
        <v/>
      </c>
      <c r="F79" s="955" t="str">
        <f t="shared" ref="F79:F94" si="13">IF($F$4&gt;=B79,VLOOKUP(CONCATENATE("portfolio_",$B79),portfolio_p.p._20,5,0),"")</f>
        <v/>
      </c>
      <c r="G79" s="970" t="str">
        <f t="shared" ref="G79:G94" si="14">IF($F$4&gt;=B79,VLOOKUP(CONCATENATE("portfolio_",$B79),portfolio_p.p._20,6,0),"")</f>
        <v/>
      </c>
      <c r="H79" s="101"/>
      <c r="I79" s="101"/>
      <c r="J79" s="101"/>
      <c r="K79" s="113"/>
    </row>
    <row r="80" spans="1:11" ht="15" customHeight="1">
      <c r="A80" s="107"/>
      <c r="B80" s="969">
        <v>66</v>
      </c>
      <c r="C80" s="955" t="str">
        <f t="shared" si="10"/>
        <v/>
      </c>
      <c r="D80" s="955" t="str">
        <f t="shared" si="11"/>
        <v/>
      </c>
      <c r="E80" s="955" t="str">
        <f t="shared" si="12"/>
        <v/>
      </c>
      <c r="F80" s="955" t="str">
        <f t="shared" si="13"/>
        <v/>
      </c>
      <c r="G80" s="970" t="str">
        <f t="shared" si="14"/>
        <v/>
      </c>
      <c r="H80" s="101"/>
      <c r="I80" s="101"/>
      <c r="J80" s="101"/>
      <c r="K80" s="113"/>
    </row>
    <row r="81" spans="1:11" ht="15" customHeight="1">
      <c r="A81" s="107"/>
      <c r="B81" s="969">
        <v>67</v>
      </c>
      <c r="C81" s="955" t="str">
        <f t="shared" si="10"/>
        <v/>
      </c>
      <c r="D81" s="955" t="str">
        <f t="shared" si="11"/>
        <v/>
      </c>
      <c r="E81" s="955" t="str">
        <f t="shared" si="12"/>
        <v/>
      </c>
      <c r="F81" s="955" t="str">
        <f t="shared" si="13"/>
        <v/>
      </c>
      <c r="G81" s="970" t="str">
        <f t="shared" si="14"/>
        <v/>
      </c>
      <c r="H81" s="101"/>
      <c r="I81" s="101"/>
      <c r="J81" s="101"/>
      <c r="K81" s="113"/>
    </row>
    <row r="82" spans="1:11" ht="15" customHeight="1">
      <c r="A82" s="107"/>
      <c r="B82" s="969">
        <v>68</v>
      </c>
      <c r="C82" s="955" t="str">
        <f t="shared" si="10"/>
        <v/>
      </c>
      <c r="D82" s="955" t="str">
        <f t="shared" si="11"/>
        <v/>
      </c>
      <c r="E82" s="955" t="str">
        <f t="shared" si="12"/>
        <v/>
      </c>
      <c r="F82" s="955" t="str">
        <f t="shared" si="13"/>
        <v/>
      </c>
      <c r="G82" s="970" t="str">
        <f t="shared" si="14"/>
        <v/>
      </c>
      <c r="H82" s="101"/>
      <c r="I82" s="101"/>
      <c r="J82" s="101"/>
      <c r="K82" s="113"/>
    </row>
    <row r="83" spans="1:11" ht="15" customHeight="1">
      <c r="A83" s="107"/>
      <c r="B83" s="969">
        <v>69</v>
      </c>
      <c r="C83" s="955" t="str">
        <f t="shared" si="10"/>
        <v/>
      </c>
      <c r="D83" s="955" t="str">
        <f t="shared" si="11"/>
        <v/>
      </c>
      <c r="E83" s="955" t="str">
        <f t="shared" si="12"/>
        <v/>
      </c>
      <c r="F83" s="955" t="str">
        <f t="shared" si="13"/>
        <v/>
      </c>
      <c r="G83" s="970" t="str">
        <f t="shared" si="14"/>
        <v/>
      </c>
      <c r="H83" s="101"/>
      <c r="I83" s="101"/>
      <c r="J83" s="101"/>
      <c r="K83" s="113"/>
    </row>
    <row r="84" spans="1:11" ht="15" customHeight="1">
      <c r="A84" s="107"/>
      <c r="B84" s="969">
        <v>70</v>
      </c>
      <c r="C84" s="955" t="str">
        <f t="shared" si="10"/>
        <v/>
      </c>
      <c r="D84" s="955" t="str">
        <f t="shared" si="11"/>
        <v/>
      </c>
      <c r="E84" s="955" t="str">
        <f t="shared" si="12"/>
        <v/>
      </c>
      <c r="F84" s="955" t="str">
        <f t="shared" si="13"/>
        <v/>
      </c>
      <c r="G84" s="970" t="str">
        <f t="shared" si="14"/>
        <v/>
      </c>
      <c r="H84" s="101"/>
      <c r="I84" s="101"/>
      <c r="J84" s="101"/>
      <c r="K84" s="113"/>
    </row>
    <row r="85" spans="1:11" ht="15" customHeight="1">
      <c r="A85" s="107"/>
      <c r="B85" s="969">
        <v>71</v>
      </c>
      <c r="C85" s="955" t="str">
        <f t="shared" si="10"/>
        <v/>
      </c>
      <c r="D85" s="955" t="str">
        <f t="shared" si="11"/>
        <v/>
      </c>
      <c r="E85" s="955" t="str">
        <f t="shared" si="12"/>
        <v/>
      </c>
      <c r="F85" s="955" t="str">
        <f t="shared" si="13"/>
        <v/>
      </c>
      <c r="G85" s="970" t="str">
        <f t="shared" si="14"/>
        <v/>
      </c>
      <c r="H85" s="101"/>
      <c r="I85" s="101"/>
      <c r="J85" s="101"/>
      <c r="K85" s="113"/>
    </row>
    <row r="86" spans="1:11" ht="15" customHeight="1">
      <c r="A86" s="107"/>
      <c r="B86" s="969">
        <v>72</v>
      </c>
      <c r="C86" s="955" t="str">
        <f t="shared" si="10"/>
        <v/>
      </c>
      <c r="D86" s="955" t="str">
        <f t="shared" si="11"/>
        <v/>
      </c>
      <c r="E86" s="955" t="str">
        <f t="shared" si="12"/>
        <v/>
      </c>
      <c r="F86" s="955" t="str">
        <f t="shared" si="13"/>
        <v/>
      </c>
      <c r="G86" s="970" t="str">
        <f t="shared" si="14"/>
        <v/>
      </c>
      <c r="H86" s="101"/>
      <c r="I86" s="101"/>
      <c r="J86" s="101"/>
      <c r="K86" s="113"/>
    </row>
    <row r="87" spans="1:11" ht="15" customHeight="1">
      <c r="A87" s="107"/>
      <c r="B87" s="969">
        <v>73</v>
      </c>
      <c r="C87" s="955" t="str">
        <f t="shared" si="10"/>
        <v/>
      </c>
      <c r="D87" s="955" t="str">
        <f t="shared" si="11"/>
        <v/>
      </c>
      <c r="E87" s="955" t="str">
        <f t="shared" si="12"/>
        <v/>
      </c>
      <c r="F87" s="955" t="str">
        <f t="shared" si="13"/>
        <v/>
      </c>
      <c r="G87" s="970" t="str">
        <f t="shared" si="14"/>
        <v/>
      </c>
      <c r="H87" s="101"/>
      <c r="I87" s="101"/>
      <c r="J87" s="101"/>
      <c r="K87" s="113"/>
    </row>
    <row r="88" spans="1:11" ht="15" customHeight="1">
      <c r="A88" s="107"/>
      <c r="B88" s="969">
        <v>74</v>
      </c>
      <c r="C88" s="955" t="str">
        <f t="shared" si="10"/>
        <v/>
      </c>
      <c r="D88" s="955" t="str">
        <f t="shared" si="11"/>
        <v/>
      </c>
      <c r="E88" s="955" t="str">
        <f t="shared" si="12"/>
        <v/>
      </c>
      <c r="F88" s="955" t="str">
        <f t="shared" si="13"/>
        <v/>
      </c>
      <c r="G88" s="970" t="str">
        <f t="shared" si="14"/>
        <v/>
      </c>
      <c r="H88" s="101"/>
      <c r="I88" s="101"/>
      <c r="J88" s="101"/>
      <c r="K88" s="113"/>
    </row>
    <row r="89" spans="1:11" ht="15" customHeight="1">
      <c r="A89" s="107"/>
      <c r="B89" s="969">
        <v>75</v>
      </c>
      <c r="C89" s="955" t="str">
        <f t="shared" si="10"/>
        <v/>
      </c>
      <c r="D89" s="955" t="str">
        <f t="shared" si="11"/>
        <v/>
      </c>
      <c r="E89" s="955" t="str">
        <f t="shared" si="12"/>
        <v/>
      </c>
      <c r="F89" s="955" t="str">
        <f t="shared" si="13"/>
        <v/>
      </c>
      <c r="G89" s="970" t="str">
        <f t="shared" si="14"/>
        <v/>
      </c>
      <c r="H89" s="101"/>
      <c r="I89" s="101"/>
      <c r="J89" s="101"/>
      <c r="K89" s="113"/>
    </row>
    <row r="90" spans="1:11" ht="15" customHeight="1">
      <c r="A90" s="107"/>
      <c r="B90" s="969">
        <v>76</v>
      </c>
      <c r="C90" s="955" t="str">
        <f t="shared" si="10"/>
        <v/>
      </c>
      <c r="D90" s="955" t="str">
        <f t="shared" si="11"/>
        <v/>
      </c>
      <c r="E90" s="955" t="str">
        <f t="shared" si="12"/>
        <v/>
      </c>
      <c r="F90" s="955" t="str">
        <f t="shared" si="13"/>
        <v/>
      </c>
      <c r="G90" s="970" t="str">
        <f t="shared" si="14"/>
        <v/>
      </c>
      <c r="H90" s="101"/>
      <c r="I90" s="101"/>
      <c r="J90" s="101"/>
      <c r="K90" s="113"/>
    </row>
    <row r="91" spans="1:11" ht="15" customHeight="1">
      <c r="A91" s="107"/>
      <c r="B91" s="969">
        <v>77</v>
      </c>
      <c r="C91" s="955" t="str">
        <f t="shared" si="10"/>
        <v/>
      </c>
      <c r="D91" s="955" t="str">
        <f t="shared" si="11"/>
        <v/>
      </c>
      <c r="E91" s="955" t="str">
        <f t="shared" si="12"/>
        <v/>
      </c>
      <c r="F91" s="955" t="str">
        <f t="shared" si="13"/>
        <v/>
      </c>
      <c r="G91" s="970" t="str">
        <f t="shared" si="14"/>
        <v/>
      </c>
      <c r="H91" s="101"/>
      <c r="I91" s="101"/>
      <c r="J91" s="101"/>
      <c r="K91" s="113"/>
    </row>
    <row r="92" spans="1:11" ht="15" customHeight="1">
      <c r="A92" s="107"/>
      <c r="B92" s="969">
        <v>78</v>
      </c>
      <c r="C92" s="955" t="str">
        <f t="shared" si="10"/>
        <v/>
      </c>
      <c r="D92" s="955" t="str">
        <f t="shared" si="11"/>
        <v/>
      </c>
      <c r="E92" s="955" t="str">
        <f t="shared" si="12"/>
        <v/>
      </c>
      <c r="F92" s="955" t="str">
        <f t="shared" si="13"/>
        <v/>
      </c>
      <c r="G92" s="970" t="str">
        <f t="shared" si="14"/>
        <v/>
      </c>
      <c r="H92" s="101"/>
      <c r="I92" s="101"/>
      <c r="J92" s="101"/>
      <c r="K92" s="113"/>
    </row>
    <row r="93" spans="1:11" ht="15" customHeight="1">
      <c r="A93" s="107"/>
      <c r="B93" s="969">
        <v>79</v>
      </c>
      <c r="C93" s="955" t="str">
        <f t="shared" si="10"/>
        <v/>
      </c>
      <c r="D93" s="955" t="str">
        <f t="shared" si="11"/>
        <v/>
      </c>
      <c r="E93" s="955" t="str">
        <f t="shared" si="12"/>
        <v/>
      </c>
      <c r="F93" s="955" t="str">
        <f t="shared" si="13"/>
        <v/>
      </c>
      <c r="G93" s="970" t="str">
        <f t="shared" si="14"/>
        <v/>
      </c>
      <c r="H93" s="101"/>
      <c r="I93" s="101"/>
      <c r="J93" s="101"/>
      <c r="K93" s="113"/>
    </row>
    <row r="94" spans="1:11" ht="15" customHeight="1">
      <c r="A94" s="107"/>
      <c r="B94" s="971">
        <v>80</v>
      </c>
      <c r="C94" s="972" t="str">
        <f t="shared" si="10"/>
        <v/>
      </c>
      <c r="D94" s="972" t="str">
        <f t="shared" si="11"/>
        <v/>
      </c>
      <c r="E94" s="972" t="str">
        <f t="shared" si="12"/>
        <v/>
      </c>
      <c r="F94" s="972" t="str">
        <f t="shared" si="13"/>
        <v/>
      </c>
      <c r="G94" s="973"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4"/>
      <c r="B96" s="136"/>
      <c r="C96" s="964"/>
      <c r="D96" s="964"/>
      <c r="E96" s="964"/>
      <c r="F96" s="964"/>
      <c r="G96" s="964"/>
      <c r="H96" s="964"/>
      <c r="I96" s="964"/>
      <c r="J96" s="964"/>
      <c r="K96" s="964"/>
    </row>
    <row r="97" spans="1:11" ht="15" customHeight="1">
      <c r="A97" s="964"/>
      <c r="B97" s="136"/>
      <c r="C97" s="964"/>
      <c r="D97" s="964"/>
      <c r="E97" s="964"/>
      <c r="F97" s="964"/>
      <c r="G97" s="964"/>
      <c r="H97" s="964"/>
      <c r="I97" s="964"/>
      <c r="J97" s="964"/>
      <c r="K97" s="964"/>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c r="C57" s="517">
        <v>296328148.41000003</v>
      </c>
      <c r="D57" s="517">
        <v>1900073.58</v>
      </c>
      <c r="E57" s="517">
        <v>1600253.58</v>
      </c>
      <c r="F57" s="517">
        <v>539492.35</v>
      </c>
      <c r="G57" s="517">
        <v>2530649.7000000002</v>
      </c>
      <c r="H57" s="517">
        <v>62898.07</v>
      </c>
      <c r="I57" s="517">
        <v>77355.289999999994</v>
      </c>
      <c r="J57" s="517">
        <v>40249.29</v>
      </c>
      <c r="K57" s="517">
        <v>215581.13</v>
      </c>
    </row>
    <row r="58" spans="1:11">
      <c r="A58">
        <v>25</v>
      </c>
      <c r="B58" t="s">
        <v>790</v>
      </c>
      <c r="C58" s="517">
        <v>282720890.44999999</v>
      </c>
      <c r="D58" s="517">
        <v>2225557.08</v>
      </c>
      <c r="E58" s="517">
        <v>603253.87</v>
      </c>
      <c r="F58" s="517">
        <v>1572362.61</v>
      </c>
      <c r="G58" s="517">
        <v>2395545.46</v>
      </c>
      <c r="H58" s="517">
        <v>73274.84</v>
      </c>
      <c r="I58" s="517">
        <v>25670.37</v>
      </c>
      <c r="J58" s="517">
        <v>77403.06</v>
      </c>
      <c r="K58" s="517">
        <v>214074.76</v>
      </c>
    </row>
    <row r="59" spans="1:11">
      <c r="A59">
        <v>25</v>
      </c>
      <c r="B59" t="s">
        <v>791</v>
      </c>
      <c r="C59" s="517">
        <v>269112740.91000003</v>
      </c>
      <c r="D59" s="517">
        <v>1042159.95</v>
      </c>
      <c r="E59" s="517">
        <v>1539575.06</v>
      </c>
      <c r="F59" s="517">
        <v>1310846.28</v>
      </c>
      <c r="G59" s="517">
        <v>2229736.4700000002</v>
      </c>
      <c r="H59" s="517">
        <v>33301</v>
      </c>
      <c r="I59" s="517">
        <v>62793.25</v>
      </c>
      <c r="J59" s="517">
        <v>69912.800000000003</v>
      </c>
      <c r="K59" s="517">
        <v>206785.56</v>
      </c>
    </row>
    <row r="60" spans="1:11">
      <c r="A60">
        <v>25</v>
      </c>
      <c r="B60" t="s">
        <v>792</v>
      </c>
      <c r="C60" s="517">
        <v>256430146.52000001</v>
      </c>
      <c r="D60" s="517">
        <v>1576053.23</v>
      </c>
      <c r="E60" s="517">
        <v>1757965.22</v>
      </c>
      <c r="F60" s="517">
        <v>1023322.37</v>
      </c>
      <c r="G60" s="517">
        <v>1591357.85</v>
      </c>
      <c r="H60" s="517">
        <v>56480.17</v>
      </c>
      <c r="I60" s="517">
        <v>90766.79</v>
      </c>
      <c r="J60" s="517">
        <v>80807.42</v>
      </c>
      <c r="K60" s="517">
        <v>159513.23000000001</v>
      </c>
    </row>
    <row r="61" spans="1:11">
      <c r="A61">
        <v>25</v>
      </c>
      <c r="B61" t="s">
        <v>793</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60"/>
    </sheetView>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c r="C57">
        <v>11955</v>
      </c>
      <c r="D57" s="517">
        <v>675247.55</v>
      </c>
      <c r="E57" s="517">
        <v>117707810.95</v>
      </c>
      <c r="F57" s="517">
        <v>2730124401.23</v>
      </c>
      <c r="G57">
        <v>4.3114449618841255E-2</v>
      </c>
      <c r="H57" s="517">
        <v>318422.42</v>
      </c>
      <c r="I57" s="517">
        <v>19238528.411200002</v>
      </c>
      <c r="J57" s="517">
        <v>98469282.538800001</v>
      </c>
      <c r="K57">
        <v>3.6067690722979072E-2</v>
      </c>
    </row>
    <row r="58" spans="1:11">
      <c r="A58">
        <v>25</v>
      </c>
      <c r="B58" t="s">
        <v>870</v>
      </c>
      <c r="C58">
        <v>12057</v>
      </c>
      <c r="D58" s="517">
        <v>722270.39</v>
      </c>
      <c r="E58" s="517">
        <v>118430081.34</v>
      </c>
      <c r="F58" s="517">
        <v>2730124401.23</v>
      </c>
      <c r="G58">
        <v>4.3379005471927877E-2</v>
      </c>
      <c r="H58" s="517">
        <v>299460.15000000002</v>
      </c>
      <c r="I58" s="517">
        <v>19537988.5612</v>
      </c>
      <c r="J58" s="517">
        <v>98892092.778799996</v>
      </c>
      <c r="K58">
        <v>3.6222559211685858E-2</v>
      </c>
    </row>
    <row r="59" spans="1:11">
      <c r="A59">
        <v>25</v>
      </c>
      <c r="B59" t="s">
        <v>871</v>
      </c>
      <c r="C59">
        <v>12145</v>
      </c>
      <c r="D59" s="517">
        <v>623168.98</v>
      </c>
      <c r="E59" s="517">
        <v>119053250.31999999</v>
      </c>
      <c r="F59" s="517">
        <v>2730124401.23</v>
      </c>
      <c r="G59">
        <v>4.3607262096321715E-2</v>
      </c>
      <c r="H59" s="517">
        <v>318748.76</v>
      </c>
      <c r="I59" s="517">
        <v>19856737.321199998</v>
      </c>
      <c r="J59" s="517">
        <v>99196512.998799995</v>
      </c>
      <c r="K59">
        <v>3.633406336873557E-2</v>
      </c>
    </row>
    <row r="60" spans="1:11">
      <c r="A60">
        <v>25</v>
      </c>
      <c r="B60" t="s">
        <v>872</v>
      </c>
      <c r="C60">
        <v>12240</v>
      </c>
      <c r="D60" s="517">
        <v>717643.53</v>
      </c>
      <c r="E60" s="517">
        <v>119770893.84999999</v>
      </c>
      <c r="F60" s="517">
        <v>2730124401.23</v>
      </c>
      <c r="G60">
        <v>4.3870123206121943E-2</v>
      </c>
      <c r="H60" s="517">
        <v>291127.67</v>
      </c>
      <c r="I60" s="517">
        <v>20147864.9912</v>
      </c>
      <c r="J60" s="517">
        <v>99623028.858799994</v>
      </c>
      <c r="K60">
        <v>3.6490289165555606E-2</v>
      </c>
    </row>
    <row r="61" spans="1:11">
      <c r="A61">
        <v>25</v>
      </c>
      <c r="B61" t="s">
        <v>873</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60"/>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957</v>
      </c>
      <c r="D1" t="s">
        <v>958</v>
      </c>
      <c r="E1" t="s">
        <v>959</v>
      </c>
      <c r="F1" t="s">
        <v>960</v>
      </c>
      <c r="G1" t="s">
        <v>961</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0.26582854679317836</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1302</v>
      </c>
      <c r="C52">
        <v>374849302.1099999</v>
      </c>
      <c r="D52">
        <v>11343997.870000001</v>
      </c>
      <c r="E52">
        <v>4935729.04</v>
      </c>
      <c r="F52">
        <v>16279726.91</v>
      </c>
      <c r="G52">
        <v>0.14705166788285373</v>
      </c>
    </row>
    <row r="53" spans="1:7">
      <c r="A53">
        <v>25</v>
      </c>
      <c r="B53" t="s">
        <v>1303</v>
      </c>
      <c r="C53">
        <v>357461476.32999992</v>
      </c>
      <c r="D53">
        <v>10837869.98</v>
      </c>
      <c r="E53">
        <v>4359003.6799999988</v>
      </c>
      <c r="F53">
        <v>15196873.66</v>
      </c>
      <c r="G53">
        <v>0.13690585763501195</v>
      </c>
    </row>
    <row r="54" spans="1:7">
      <c r="A54">
        <v>25</v>
      </c>
      <c r="B54" t="s">
        <v>1304</v>
      </c>
      <c r="C54">
        <v>341121321.92999995</v>
      </c>
      <c r="D54">
        <v>10629875.390000004</v>
      </c>
      <c r="E54">
        <v>4043611.5699999966</v>
      </c>
      <c r="F54">
        <v>14673486.960000001</v>
      </c>
      <c r="G54">
        <v>0.13332946640478571</v>
      </c>
    </row>
    <row r="55" spans="1:7">
      <c r="A55">
        <v>25</v>
      </c>
      <c r="B55" t="s">
        <v>1305</v>
      </c>
      <c r="C55">
        <v>325648786.45999998</v>
      </c>
      <c r="D55">
        <v>10053480.15</v>
      </c>
      <c r="E55">
        <v>4073198.3400000003</v>
      </c>
      <c r="F55">
        <v>14126678.49</v>
      </c>
      <c r="G55">
        <v>0.14018839663854388</v>
      </c>
    </row>
    <row r="56" spans="1:7">
      <c r="A56">
        <v>25</v>
      </c>
      <c r="B56" t="s">
        <v>1306</v>
      </c>
      <c r="C56">
        <v>310618786.55999994</v>
      </c>
      <c r="D56">
        <v>9917370.9099999983</v>
      </c>
      <c r="E56">
        <v>3495609.4899999998</v>
      </c>
      <c r="F56">
        <v>13412980.399999999</v>
      </c>
      <c r="G56">
        <v>0.12699149349979932</v>
      </c>
    </row>
    <row r="57" spans="1:7">
      <c r="A57">
        <v>25</v>
      </c>
      <c r="B57" t="s">
        <v>1307</v>
      </c>
      <c r="C57">
        <v>296328148.40999991</v>
      </c>
      <c r="D57">
        <v>9579376.9000000004</v>
      </c>
      <c r="E57">
        <v>3352633.5099999993</v>
      </c>
      <c r="F57">
        <v>12932010.41</v>
      </c>
      <c r="G57">
        <v>0.12762938973344984</v>
      </c>
    </row>
    <row r="58" spans="1:7">
      <c r="A58">
        <v>25</v>
      </c>
      <c r="B58" t="s">
        <v>1308</v>
      </c>
      <c r="C58">
        <v>282720890.44999987</v>
      </c>
      <c r="D58">
        <v>9380518.6000000015</v>
      </c>
      <c r="E58">
        <v>3505360.55</v>
      </c>
      <c r="F58">
        <v>12885879.15</v>
      </c>
      <c r="G58">
        <v>0.13904581855437093</v>
      </c>
    </row>
    <row r="59" spans="1:7">
      <c r="A59">
        <v>25</v>
      </c>
      <c r="B59" t="s">
        <v>1309</v>
      </c>
      <c r="C59">
        <v>269112740.90999991</v>
      </c>
      <c r="D59">
        <v>9207090.2700000014</v>
      </c>
      <c r="E59">
        <v>2852335.1399999987</v>
      </c>
      <c r="F59">
        <v>12059425.41</v>
      </c>
      <c r="G59">
        <v>0.12002981106734889</v>
      </c>
    </row>
    <row r="60" spans="1:7">
      <c r="A60">
        <v>25</v>
      </c>
      <c r="B60" t="s">
        <v>1574</v>
      </c>
      <c r="C60">
        <v>256430146.51999989</v>
      </c>
      <c r="D60">
        <v>8991958.9299999978</v>
      </c>
      <c r="E60">
        <v>2894403.4300000016</v>
      </c>
      <c r="F60">
        <v>11886362.359999999</v>
      </c>
      <c r="G60">
        <v>0.12734744626155281</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topLeftCell="N1" workbookViewId="0">
      <selection activeCell="O14" sqref="O14"/>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962</v>
      </c>
      <c r="O1" t="s">
        <v>963</v>
      </c>
      <c r="P1" t="s">
        <v>964</v>
      </c>
      <c r="Q1" t="s">
        <v>965</v>
      </c>
      <c r="R1" t="s">
        <v>563</v>
      </c>
      <c r="S1" t="s">
        <v>564</v>
      </c>
    </row>
    <row r="2" spans="1:19">
      <c r="A2">
        <v>25</v>
      </c>
      <c r="B2" t="s">
        <v>108</v>
      </c>
      <c r="C2" t="s">
        <v>1310</v>
      </c>
      <c r="D2" t="s">
        <v>1311</v>
      </c>
      <c r="E2" t="s">
        <v>1312</v>
      </c>
      <c r="F2" t="s">
        <v>1313</v>
      </c>
      <c r="G2" t="s">
        <v>1314</v>
      </c>
      <c r="H2" t="s">
        <v>1315</v>
      </c>
      <c r="I2" t="s">
        <v>487</v>
      </c>
      <c r="J2" t="s">
        <v>488</v>
      </c>
      <c r="K2" t="s">
        <v>488</v>
      </c>
      <c r="L2" t="s">
        <v>1316</v>
      </c>
      <c r="M2" t="s">
        <v>1317</v>
      </c>
      <c r="N2" t="s">
        <v>1318</v>
      </c>
      <c r="O2" t="s">
        <v>1318</v>
      </c>
      <c r="P2" t="s">
        <v>1319</v>
      </c>
      <c r="Q2" t="s">
        <v>1316</v>
      </c>
      <c r="S2" t="s">
        <v>1339</v>
      </c>
    </row>
    <row r="3" spans="1:19">
      <c r="A3">
        <v>25</v>
      </c>
      <c r="B3" t="s">
        <v>499</v>
      </c>
      <c r="C3" t="s">
        <v>1320</v>
      </c>
      <c r="D3" t="s">
        <v>1311</v>
      </c>
      <c r="E3" t="s">
        <v>1321</v>
      </c>
      <c r="F3" t="s">
        <v>1313</v>
      </c>
      <c r="G3" t="s">
        <v>1316</v>
      </c>
      <c r="H3" t="s">
        <v>35</v>
      </c>
      <c r="I3" t="s">
        <v>35</v>
      </c>
      <c r="J3" t="s">
        <v>35</v>
      </c>
      <c r="K3" t="s">
        <v>35</v>
      </c>
      <c r="L3" t="s">
        <v>35</v>
      </c>
      <c r="M3" t="s">
        <v>35</v>
      </c>
      <c r="N3" t="s">
        <v>35</v>
      </c>
      <c r="O3" t="s">
        <v>35</v>
      </c>
      <c r="P3" t="s">
        <v>35</v>
      </c>
      <c r="Q3" t="s">
        <v>35</v>
      </c>
      <c r="S3" t="s">
        <v>1339</v>
      </c>
    </row>
    <row r="4" spans="1:19">
      <c r="A4">
        <v>25</v>
      </c>
      <c r="B4" t="s">
        <v>289</v>
      </c>
      <c r="C4" t="s">
        <v>35</v>
      </c>
      <c r="D4" t="s">
        <v>35</v>
      </c>
      <c r="E4" t="s">
        <v>35</v>
      </c>
      <c r="F4" t="s">
        <v>35</v>
      </c>
      <c r="G4" t="s">
        <v>35</v>
      </c>
      <c r="H4" t="s">
        <v>35</v>
      </c>
      <c r="I4" t="s">
        <v>35</v>
      </c>
      <c r="J4" t="s">
        <v>35</v>
      </c>
      <c r="K4" t="s">
        <v>35</v>
      </c>
      <c r="L4" t="s">
        <v>35</v>
      </c>
      <c r="M4" t="s">
        <v>35</v>
      </c>
      <c r="N4" t="s">
        <v>35</v>
      </c>
      <c r="O4" t="s">
        <v>35</v>
      </c>
      <c r="P4" t="s">
        <v>35</v>
      </c>
      <c r="Q4" t="s">
        <v>35</v>
      </c>
      <c r="S4" t="s">
        <v>1339</v>
      </c>
    </row>
    <row r="5" spans="1:19">
      <c r="A5">
        <v>25</v>
      </c>
      <c r="B5" t="s">
        <v>293</v>
      </c>
      <c r="C5" t="s">
        <v>35</v>
      </c>
      <c r="D5" t="s">
        <v>35</v>
      </c>
      <c r="E5" t="s">
        <v>35</v>
      </c>
      <c r="F5" t="s">
        <v>35</v>
      </c>
      <c r="G5" t="s">
        <v>35</v>
      </c>
      <c r="H5" t="s">
        <v>35</v>
      </c>
      <c r="I5" t="s">
        <v>35</v>
      </c>
      <c r="J5" t="s">
        <v>35</v>
      </c>
      <c r="K5" t="s">
        <v>35</v>
      </c>
      <c r="L5" t="s">
        <v>35</v>
      </c>
      <c r="M5" t="s">
        <v>35</v>
      </c>
      <c r="N5" t="s">
        <v>35</v>
      </c>
      <c r="O5" t="s">
        <v>35</v>
      </c>
      <c r="P5" t="s">
        <v>35</v>
      </c>
      <c r="Q5" t="s">
        <v>35</v>
      </c>
      <c r="S5" t="s">
        <v>1339</v>
      </c>
    </row>
    <row r="6" spans="1:19">
      <c r="A6">
        <v>25</v>
      </c>
      <c r="B6" t="s">
        <v>313</v>
      </c>
      <c r="C6" t="s">
        <v>1322</v>
      </c>
      <c r="D6" t="s">
        <v>1323</v>
      </c>
      <c r="E6" t="s">
        <v>1321</v>
      </c>
      <c r="F6" t="s">
        <v>1313</v>
      </c>
      <c r="G6" t="s">
        <v>1316</v>
      </c>
      <c r="H6" t="s">
        <v>1324</v>
      </c>
      <c r="I6" t="s">
        <v>1324</v>
      </c>
      <c r="J6" t="s">
        <v>1325</v>
      </c>
      <c r="K6" t="s">
        <v>1325</v>
      </c>
      <c r="L6" t="s">
        <v>1316</v>
      </c>
      <c r="M6" t="s">
        <v>1326</v>
      </c>
      <c r="N6" t="s">
        <v>1327</v>
      </c>
      <c r="O6" t="s">
        <v>35</v>
      </c>
      <c r="P6" t="s">
        <v>1319</v>
      </c>
      <c r="Q6" t="s">
        <v>1316</v>
      </c>
      <c r="S6" t="s">
        <v>1339</v>
      </c>
    </row>
    <row r="7" spans="1:19">
      <c r="A7">
        <v>25</v>
      </c>
      <c r="B7" t="s">
        <v>297</v>
      </c>
      <c r="C7" t="s">
        <v>35</v>
      </c>
      <c r="D7" t="s">
        <v>35</v>
      </c>
      <c r="E7" t="s">
        <v>35</v>
      </c>
      <c r="F7" t="s">
        <v>1313</v>
      </c>
      <c r="G7" t="s">
        <v>1328</v>
      </c>
      <c r="H7" t="s">
        <v>35</v>
      </c>
      <c r="I7" t="s">
        <v>1315</v>
      </c>
      <c r="J7" t="s">
        <v>488</v>
      </c>
      <c r="K7" t="s">
        <v>488</v>
      </c>
      <c r="L7" t="s">
        <v>1316</v>
      </c>
      <c r="M7" t="s">
        <v>35</v>
      </c>
      <c r="N7" t="s">
        <v>35</v>
      </c>
      <c r="O7" t="s">
        <v>35</v>
      </c>
      <c r="P7" t="s">
        <v>35</v>
      </c>
      <c r="Q7" t="s">
        <v>35</v>
      </c>
      <c r="S7" t="s">
        <v>1339</v>
      </c>
    </row>
    <row r="8" spans="1:19">
      <c r="A8">
        <v>25</v>
      </c>
      <c r="B8" t="s">
        <v>500</v>
      </c>
      <c r="C8" t="s">
        <v>35</v>
      </c>
      <c r="D8" t="s">
        <v>35</v>
      </c>
      <c r="E8" t="s">
        <v>35</v>
      </c>
      <c r="F8" t="s">
        <v>35</v>
      </c>
      <c r="G8" t="s">
        <v>35</v>
      </c>
      <c r="H8" t="s">
        <v>35</v>
      </c>
      <c r="I8" t="s">
        <v>1329</v>
      </c>
      <c r="J8" t="s">
        <v>35</v>
      </c>
      <c r="K8" t="s">
        <v>1325</v>
      </c>
      <c r="L8" t="s">
        <v>1316</v>
      </c>
      <c r="M8" t="s">
        <v>1326</v>
      </c>
      <c r="N8" t="s">
        <v>35</v>
      </c>
      <c r="O8" t="s">
        <v>35</v>
      </c>
      <c r="P8" t="s">
        <v>35</v>
      </c>
      <c r="Q8" t="s">
        <v>35</v>
      </c>
      <c r="S8" t="s">
        <v>1339</v>
      </c>
    </row>
    <row r="9" spans="1:19">
      <c r="A9">
        <v>25</v>
      </c>
      <c r="B9" t="s">
        <v>1575</v>
      </c>
      <c r="C9" t="s">
        <v>1576</v>
      </c>
      <c r="D9" t="s">
        <v>1577</v>
      </c>
      <c r="E9" t="s">
        <v>1578</v>
      </c>
      <c r="F9" t="s">
        <v>1579</v>
      </c>
      <c r="G9" t="s">
        <v>1580</v>
      </c>
      <c r="H9" t="s">
        <v>1581</v>
      </c>
      <c r="I9" t="s">
        <v>1582</v>
      </c>
      <c r="J9" t="s">
        <v>1583</v>
      </c>
      <c r="K9" t="s">
        <v>1584</v>
      </c>
      <c r="L9" t="s">
        <v>1585</v>
      </c>
      <c r="M9" t="s">
        <v>1586</v>
      </c>
      <c r="N9" t="s">
        <v>1587</v>
      </c>
      <c r="O9" t="s">
        <v>1588</v>
      </c>
      <c r="P9" t="s">
        <v>1589</v>
      </c>
      <c r="Q9" t="s">
        <v>1590</v>
      </c>
      <c r="R9" s="1028" t="s">
        <v>1591</v>
      </c>
      <c r="S9" t="s">
        <v>1339</v>
      </c>
    </row>
    <row r="10" spans="1:19">
      <c r="A10">
        <v>25</v>
      </c>
      <c r="B10" t="s">
        <v>209</v>
      </c>
      <c r="C10" t="s">
        <v>1320</v>
      </c>
      <c r="D10" t="s">
        <v>1330</v>
      </c>
      <c r="E10" t="s">
        <v>1321</v>
      </c>
      <c r="F10" t="s">
        <v>35</v>
      </c>
      <c r="G10" t="s">
        <v>1316</v>
      </c>
      <c r="H10" t="s">
        <v>35</v>
      </c>
      <c r="I10" t="s">
        <v>487</v>
      </c>
      <c r="J10" t="s">
        <v>488</v>
      </c>
      <c r="K10" t="s">
        <v>488</v>
      </c>
      <c r="L10" t="s">
        <v>1316</v>
      </c>
      <c r="M10" t="s">
        <v>1317</v>
      </c>
      <c r="N10" t="s">
        <v>35</v>
      </c>
      <c r="O10" t="s">
        <v>35</v>
      </c>
      <c r="P10" t="s">
        <v>35</v>
      </c>
      <c r="Q10" t="s">
        <v>35</v>
      </c>
      <c r="S10" t="s">
        <v>1339</v>
      </c>
    </row>
    <row r="11" spans="1:19">
      <c r="A11">
        <v>25</v>
      </c>
      <c r="B11" t="s">
        <v>114</v>
      </c>
      <c r="C11" t="s">
        <v>1310</v>
      </c>
      <c r="D11" t="s">
        <v>1311</v>
      </c>
      <c r="E11" t="s">
        <v>1312</v>
      </c>
      <c r="F11" t="s">
        <v>1313</v>
      </c>
      <c r="G11" t="s">
        <v>1314</v>
      </c>
      <c r="H11" t="s">
        <v>1315</v>
      </c>
      <c r="I11" t="s">
        <v>487</v>
      </c>
      <c r="J11" t="s">
        <v>488</v>
      </c>
      <c r="K11" t="s">
        <v>488</v>
      </c>
      <c r="L11" t="s">
        <v>1316</v>
      </c>
      <c r="M11" t="s">
        <v>35</v>
      </c>
      <c r="N11" t="s">
        <v>35</v>
      </c>
      <c r="O11" t="s">
        <v>35</v>
      </c>
      <c r="P11" t="s">
        <v>35</v>
      </c>
      <c r="Q11" t="s">
        <v>35</v>
      </c>
      <c r="S11" t="s">
        <v>1339</v>
      </c>
    </row>
    <row r="12" spans="1:19">
      <c r="A12">
        <v>25</v>
      </c>
      <c r="B12" t="s">
        <v>274</v>
      </c>
      <c r="C12" t="s">
        <v>1320</v>
      </c>
      <c r="D12" t="s">
        <v>1330</v>
      </c>
      <c r="E12" t="s">
        <v>1321</v>
      </c>
      <c r="F12" t="s">
        <v>1313</v>
      </c>
      <c r="G12" t="s">
        <v>1316</v>
      </c>
      <c r="H12" t="s">
        <v>487</v>
      </c>
      <c r="I12" t="s">
        <v>1331</v>
      </c>
      <c r="J12" t="s">
        <v>488</v>
      </c>
      <c r="K12" t="s">
        <v>488</v>
      </c>
      <c r="L12" t="s">
        <v>1316</v>
      </c>
      <c r="M12" t="s">
        <v>1332</v>
      </c>
      <c r="N12" t="s">
        <v>1318</v>
      </c>
      <c r="O12" t="s">
        <v>1318</v>
      </c>
      <c r="P12" t="s">
        <v>1319</v>
      </c>
      <c r="Q12" t="s">
        <v>1316</v>
      </c>
      <c r="S12" t="s">
        <v>1339</v>
      </c>
    </row>
    <row r="13" spans="1:19">
      <c r="A13">
        <v>25</v>
      </c>
      <c r="B13" t="s">
        <v>304</v>
      </c>
      <c r="C13" t="s">
        <v>35</v>
      </c>
      <c r="D13" t="s">
        <v>35</v>
      </c>
      <c r="E13" t="s">
        <v>35</v>
      </c>
      <c r="F13" t="s">
        <v>35</v>
      </c>
      <c r="G13" t="s">
        <v>35</v>
      </c>
      <c r="H13" t="s">
        <v>35</v>
      </c>
      <c r="I13" t="s">
        <v>35</v>
      </c>
      <c r="J13" t="s">
        <v>35</v>
      </c>
      <c r="K13" t="s">
        <v>35</v>
      </c>
      <c r="L13" t="s">
        <v>35</v>
      </c>
      <c r="M13" t="s">
        <v>35</v>
      </c>
      <c r="N13" t="s">
        <v>35</v>
      </c>
      <c r="O13" t="s">
        <v>35</v>
      </c>
      <c r="P13" t="s">
        <v>35</v>
      </c>
      <c r="Q13" t="s">
        <v>35</v>
      </c>
      <c r="S13" t="s">
        <v>1339</v>
      </c>
    </row>
    <row r="14" spans="1:19">
      <c r="A14">
        <v>25</v>
      </c>
      <c r="B14" t="s">
        <v>338</v>
      </c>
      <c r="C14" t="s">
        <v>1339</v>
      </c>
      <c r="D14" t="s">
        <v>1339</v>
      </c>
      <c r="E14" t="s">
        <v>1339</v>
      </c>
      <c r="F14" t="s">
        <v>1339</v>
      </c>
      <c r="G14" t="s">
        <v>1339</v>
      </c>
      <c r="H14" t="s">
        <v>1339</v>
      </c>
      <c r="I14" t="s">
        <v>1339</v>
      </c>
      <c r="J14" t="s">
        <v>1339</v>
      </c>
      <c r="K14" t="s">
        <v>1339</v>
      </c>
      <c r="L14" t="s">
        <v>1339</v>
      </c>
      <c r="M14" t="s">
        <v>1339</v>
      </c>
      <c r="N14" t="s">
        <v>1339</v>
      </c>
      <c r="O14" t="s">
        <v>1339</v>
      </c>
      <c r="P14" t="s">
        <v>1339</v>
      </c>
      <c r="Q14" t="s">
        <v>1339</v>
      </c>
      <c r="S14" t="s">
        <v>1333</v>
      </c>
    </row>
    <row r="15" spans="1:19">
      <c r="A15">
        <v>25</v>
      </c>
      <c r="B15" t="s">
        <v>339</v>
      </c>
      <c r="C15" t="s">
        <v>1339</v>
      </c>
      <c r="D15" t="s">
        <v>1339</v>
      </c>
      <c r="E15" t="s">
        <v>1339</v>
      </c>
      <c r="F15" t="s">
        <v>1339</v>
      </c>
      <c r="G15" t="s">
        <v>1339</v>
      </c>
      <c r="H15" t="s">
        <v>1339</v>
      </c>
      <c r="I15" t="s">
        <v>1339</v>
      </c>
      <c r="J15" t="s">
        <v>1339</v>
      </c>
      <c r="K15" t="s">
        <v>1339</v>
      </c>
      <c r="L15" t="s">
        <v>1339</v>
      </c>
      <c r="M15" t="s">
        <v>1339</v>
      </c>
      <c r="N15" t="s">
        <v>1339</v>
      </c>
      <c r="O15" t="s">
        <v>1339</v>
      </c>
      <c r="P15" t="s">
        <v>1339</v>
      </c>
      <c r="Q15" t="s">
        <v>1339</v>
      </c>
      <c r="S15" t="s">
        <v>1333</v>
      </c>
    </row>
    <row r="16" spans="1:19">
      <c r="A16">
        <v>25</v>
      </c>
      <c r="B16" t="s">
        <v>340</v>
      </c>
      <c r="C16" t="s">
        <v>1339</v>
      </c>
      <c r="D16" t="s">
        <v>1339</v>
      </c>
      <c r="E16" t="s">
        <v>1339</v>
      </c>
      <c r="F16" t="s">
        <v>1339</v>
      </c>
      <c r="G16" t="s">
        <v>1339</v>
      </c>
      <c r="H16" t="s">
        <v>1339</v>
      </c>
      <c r="I16" t="s">
        <v>1339</v>
      </c>
      <c r="J16" t="s">
        <v>1339</v>
      </c>
      <c r="K16" t="s">
        <v>1339</v>
      </c>
      <c r="L16" t="s">
        <v>1339</v>
      </c>
      <c r="M16" t="s">
        <v>1339</v>
      </c>
      <c r="N16" t="s">
        <v>1339</v>
      </c>
      <c r="O16" t="s">
        <v>1339</v>
      </c>
      <c r="P16" t="s">
        <v>1339</v>
      </c>
      <c r="Q16" t="s">
        <v>1339</v>
      </c>
      <c r="S16" t="s">
        <v>1334</v>
      </c>
    </row>
    <row r="17" spans="1:19">
      <c r="A17">
        <v>25</v>
      </c>
      <c r="B17" t="s">
        <v>341</v>
      </c>
      <c r="C17" t="s">
        <v>1339</v>
      </c>
      <c r="D17" t="s">
        <v>1339</v>
      </c>
      <c r="E17" t="s">
        <v>1339</v>
      </c>
      <c r="F17" t="s">
        <v>1339</v>
      </c>
      <c r="G17" t="s">
        <v>1339</v>
      </c>
      <c r="H17" t="s">
        <v>1339</v>
      </c>
      <c r="I17" t="s">
        <v>1339</v>
      </c>
      <c r="J17" t="s">
        <v>1339</v>
      </c>
      <c r="K17" t="s">
        <v>1339</v>
      </c>
      <c r="L17" t="s">
        <v>1339</v>
      </c>
      <c r="M17" t="s">
        <v>1339</v>
      </c>
      <c r="N17" t="s">
        <v>1339</v>
      </c>
      <c r="O17" t="s">
        <v>1339</v>
      </c>
      <c r="P17" t="s">
        <v>1339</v>
      </c>
      <c r="Q17" t="s">
        <v>1339</v>
      </c>
      <c r="S17" t="s">
        <v>1335</v>
      </c>
    </row>
    <row r="18" spans="1:19">
      <c r="A18">
        <v>25</v>
      </c>
      <c r="B18" t="s">
        <v>342</v>
      </c>
      <c r="C18" t="s">
        <v>1339</v>
      </c>
      <c r="D18" t="s">
        <v>1339</v>
      </c>
      <c r="E18" t="s">
        <v>1339</v>
      </c>
      <c r="F18" t="s">
        <v>1339</v>
      </c>
      <c r="G18" t="s">
        <v>1339</v>
      </c>
      <c r="H18" t="s">
        <v>1339</v>
      </c>
      <c r="I18" t="s">
        <v>1339</v>
      </c>
      <c r="J18" t="s">
        <v>1339</v>
      </c>
      <c r="K18" t="s">
        <v>1339</v>
      </c>
      <c r="L18" t="s">
        <v>1339</v>
      </c>
      <c r="M18" t="s">
        <v>1339</v>
      </c>
      <c r="N18" t="s">
        <v>1339</v>
      </c>
      <c r="O18" t="s">
        <v>1339</v>
      </c>
      <c r="P18" t="s">
        <v>1339</v>
      </c>
      <c r="Q18" t="s">
        <v>1339</v>
      </c>
      <c r="S18" t="s">
        <v>1336</v>
      </c>
    </row>
    <row r="19" spans="1:19">
      <c r="A19">
        <v>25</v>
      </c>
      <c r="B19" t="s">
        <v>343</v>
      </c>
      <c r="C19" t="s">
        <v>1339</v>
      </c>
      <c r="D19" t="s">
        <v>1339</v>
      </c>
      <c r="E19" t="s">
        <v>1339</v>
      </c>
      <c r="F19" t="s">
        <v>1339</v>
      </c>
      <c r="G19" t="s">
        <v>1339</v>
      </c>
      <c r="H19" t="s">
        <v>1339</v>
      </c>
      <c r="I19" t="s">
        <v>1339</v>
      </c>
      <c r="J19" t="s">
        <v>1339</v>
      </c>
      <c r="K19" t="s">
        <v>1339</v>
      </c>
      <c r="L19" t="s">
        <v>1339</v>
      </c>
      <c r="M19" t="s">
        <v>1339</v>
      </c>
      <c r="N19" t="s">
        <v>1339</v>
      </c>
      <c r="O19" t="s">
        <v>1339</v>
      </c>
      <c r="P19" t="s">
        <v>1339</v>
      </c>
      <c r="Q19" t="s">
        <v>1339</v>
      </c>
      <c r="S19" t="s">
        <v>1337</v>
      </c>
    </row>
    <row r="20" spans="1:19">
      <c r="A20">
        <v>25</v>
      </c>
      <c r="B20" t="s">
        <v>344</v>
      </c>
      <c r="C20" t="s">
        <v>1339</v>
      </c>
      <c r="D20" t="s">
        <v>1339</v>
      </c>
      <c r="E20" t="s">
        <v>1339</v>
      </c>
      <c r="F20" t="s">
        <v>1339</v>
      </c>
      <c r="G20" t="s">
        <v>1339</v>
      </c>
      <c r="H20" t="s">
        <v>1339</v>
      </c>
      <c r="I20" t="s">
        <v>1339</v>
      </c>
      <c r="J20" t="s">
        <v>1339</v>
      </c>
      <c r="K20" t="s">
        <v>1339</v>
      </c>
      <c r="L20" t="s">
        <v>1339</v>
      </c>
      <c r="M20" t="s">
        <v>1339</v>
      </c>
      <c r="N20" t="s">
        <v>1339</v>
      </c>
      <c r="O20" t="s">
        <v>1339</v>
      </c>
      <c r="P20" t="s">
        <v>1339</v>
      </c>
      <c r="Q20" t="s">
        <v>1339</v>
      </c>
      <c r="S20" t="s">
        <v>1339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45940</v>
      </c>
      <c r="G2" s="110"/>
      <c r="H2" s="110"/>
      <c r="I2" s="110"/>
      <c r="J2" s="112"/>
      <c r="K2" s="113"/>
      <c r="L2" s="137"/>
    </row>
    <row r="3" spans="1:13" ht="18">
      <c r="A3" s="107"/>
      <c r="B3" s="108" t="str">
        <f>'Cover Sheet'!B3</f>
        <v>Monthly Investor Report</v>
      </c>
      <c r="C3" s="108"/>
      <c r="D3" s="115" t="str">
        <f>'Cover Sheet'!D3</f>
        <v>Payment Date</v>
      </c>
      <c r="E3" s="116"/>
      <c r="F3" s="117">
        <f>'Cover Sheet'!F3</f>
        <v>45944</v>
      </c>
      <c r="G3" s="116"/>
      <c r="H3" s="116"/>
      <c r="I3" s="116"/>
      <c r="J3" s="118"/>
      <c r="K3" s="113"/>
      <c r="L3" s="138"/>
    </row>
    <row r="4" spans="1:13" ht="13">
      <c r="A4" s="107"/>
      <c r="B4" s="119"/>
      <c r="C4" s="160"/>
      <c r="D4" s="115" t="str">
        <f>'Cover Sheet'!D4</f>
        <v>Period  No</v>
      </c>
      <c r="E4" s="116"/>
      <c r="F4" s="120">
        <f>'Cover Sheet'!F4</f>
        <v>59</v>
      </c>
      <c r="G4" s="116"/>
      <c r="H4" s="121"/>
      <c r="I4" s="116"/>
      <c r="J4" s="122"/>
      <c r="K4" s="113"/>
      <c r="L4" s="137"/>
    </row>
    <row r="5" spans="1:13" ht="18">
      <c r="A5" s="107"/>
      <c r="B5" s="123" t="s">
        <v>44</v>
      </c>
      <c r="C5" s="123"/>
      <c r="D5" s="115" t="str">
        <f>'Cover Sheet'!D5</f>
        <v>Monthly Period</v>
      </c>
      <c r="E5" s="116"/>
      <c r="F5" s="124">
        <f>'Cover Sheet'!F5</f>
        <v>45944</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45915</v>
      </c>
      <c r="G6" s="126" t="str">
        <f>'Cover Sheet'!G6</f>
        <v>to</v>
      </c>
      <c r="H6" s="117">
        <f>'Cover Sheet'!H6</f>
        <v>45944</v>
      </c>
      <c r="I6" s="126" t="str">
        <f>'Cover Sheet'!I6</f>
        <v>=</v>
      </c>
      <c r="J6" s="127" t="str">
        <f>'Cover Sheet'!J6</f>
        <v>29 days</v>
      </c>
      <c r="K6" s="128"/>
      <c r="M6" s="129"/>
    </row>
    <row r="7" spans="1:13" ht="13">
      <c r="A7" s="107"/>
      <c r="D7" s="130" t="str">
        <f>'Cover Sheet'!D7</f>
        <v>Collection Period</v>
      </c>
      <c r="E7" s="131" t="str">
        <f>'Cover Sheet'!E7</f>
        <v>from</v>
      </c>
      <c r="F7" s="132" t="str">
        <f>'Cover Sheet'!F7</f>
        <v>01.09.2025</v>
      </c>
      <c r="G7" s="131" t="str">
        <f>'Cover Sheet'!G7</f>
        <v>to</v>
      </c>
      <c r="H7" s="132">
        <f>'Cover Sheet'!H7</f>
        <v>45930</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2.7786752030347552E-2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2.9509226673142378E-2</v>
      </c>
      <c r="D24" s="899">
        <f>VLOOKUP("Liquidity_Reserve_eop",calcdata_20,2,0)</f>
        <v>6000000</v>
      </c>
      <c r="F24" s="136"/>
      <c r="K24" s="113"/>
    </row>
    <row r="25" spans="1:11">
      <c r="A25" s="107"/>
      <c r="B25" s="101" t="s">
        <v>400</v>
      </c>
      <c r="C25" s="897">
        <f>IF(ISNUMBER(D25),D25/'5. Outstanding Notes'!C33,"")</f>
        <v>2.9509226673142378E-2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45940</v>
      </c>
      <c r="G2" s="243"/>
      <c r="H2" s="882"/>
      <c r="I2" s="882"/>
      <c r="J2" s="882"/>
      <c r="K2" s="882"/>
      <c r="L2" s="245"/>
      <c r="M2" s="316"/>
    </row>
    <row r="3" spans="1:13" ht="18">
      <c r="A3" s="240"/>
      <c r="B3" s="241" t="str">
        <f>'Cover Sheet'!B3</f>
        <v>Monthly Investor Report</v>
      </c>
      <c r="C3" s="241"/>
      <c r="D3" s="249" t="str">
        <f>'Cover Sheet'!D3</f>
        <v>Payment Date</v>
      </c>
      <c r="E3" s="250"/>
      <c r="F3" s="251">
        <f>'Cover Sheet'!F3</f>
        <v>45944</v>
      </c>
      <c r="G3" s="250"/>
      <c r="H3" s="250"/>
      <c r="I3" s="250"/>
      <c r="J3" s="250"/>
      <c r="K3" s="250"/>
      <c r="L3" s="252"/>
      <c r="M3" s="316"/>
    </row>
    <row r="4" spans="1:13">
      <c r="A4" s="240"/>
      <c r="B4" s="870"/>
      <c r="C4" s="330"/>
      <c r="D4" s="249" t="str">
        <f>'Cover Sheet'!D4</f>
        <v>Period  No</v>
      </c>
      <c r="E4" s="250"/>
      <c r="F4" s="255">
        <f>'Cover Sheet'!F4</f>
        <v>59</v>
      </c>
      <c r="G4" s="250"/>
      <c r="H4" s="256"/>
      <c r="I4" s="250"/>
      <c r="J4" s="261"/>
      <c r="K4" s="250"/>
      <c r="L4" s="257"/>
      <c r="M4" s="316"/>
    </row>
    <row r="5" spans="1:13" ht="18">
      <c r="A5" s="240"/>
      <c r="B5" s="331" t="s">
        <v>247</v>
      </c>
      <c r="C5" s="331"/>
      <c r="D5" s="249" t="str">
        <f>'Cover Sheet'!D5</f>
        <v>Monthly Period</v>
      </c>
      <c r="E5" s="250"/>
      <c r="F5" s="124">
        <f>'Cover Sheet'!F5</f>
        <v>45944</v>
      </c>
      <c r="G5" s="250"/>
      <c r="H5" s="256"/>
      <c r="I5" s="250"/>
      <c r="J5" s="261"/>
      <c r="K5" s="250"/>
      <c r="L5" s="257"/>
      <c r="M5" s="316"/>
    </row>
    <row r="6" spans="1:13" s="248" customFormat="1" ht="15" customHeight="1">
      <c r="A6" s="240"/>
      <c r="B6" s="259"/>
      <c r="C6" s="332"/>
      <c r="D6" s="249" t="str">
        <f>'Cover Sheet'!D6</f>
        <v>Interest Period</v>
      </c>
      <c r="E6" s="261" t="s">
        <v>34</v>
      </c>
      <c r="F6" s="251">
        <f>'Cover Sheet'!F6</f>
        <v>45915</v>
      </c>
      <c r="G6" s="261" t="str">
        <f>'Cover Sheet'!G6</f>
        <v>to</v>
      </c>
      <c r="H6" s="251">
        <f>'Cover Sheet'!H6</f>
        <v>45944</v>
      </c>
      <c r="I6" s="261" t="str">
        <f>'Cover Sheet'!I6</f>
        <v>=</v>
      </c>
      <c r="J6" s="838" t="str">
        <f>'Cover Sheet'!J6</f>
        <v>29 days</v>
      </c>
      <c r="K6" s="261"/>
      <c r="L6" s="375"/>
      <c r="M6" s="839"/>
    </row>
    <row r="7" spans="1:13">
      <c r="A7" s="240"/>
      <c r="D7" s="713" t="str">
        <f>'Cover Sheet'!D7</f>
        <v>Collection Period</v>
      </c>
      <c r="E7" s="714" t="s">
        <v>34</v>
      </c>
      <c r="F7" s="265" t="str">
        <f>'Cover Sheet'!F7</f>
        <v>01.09.2025</v>
      </c>
      <c r="G7" s="714" t="str">
        <f>'Cover Sheet'!G7</f>
        <v>to</v>
      </c>
      <c r="H7" s="265">
        <f>'Cover Sheet'!H7</f>
        <v>45930</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6" t="s">
        <v>115</v>
      </c>
      <c r="C20" s="976" t="s">
        <v>532</v>
      </c>
      <c r="D20" s="982" t="s">
        <v>262</v>
      </c>
      <c r="E20" s="983"/>
      <c r="F20" s="983"/>
      <c r="G20" s="984"/>
      <c r="H20" s="976" t="s">
        <v>263</v>
      </c>
      <c r="I20" s="982" t="s">
        <v>262</v>
      </c>
      <c r="J20" s="983"/>
      <c r="K20" s="983"/>
      <c r="L20" s="984"/>
      <c r="M20" s="848"/>
      <c r="O20" s="849"/>
      <c r="P20" s="25"/>
      <c r="Q20" s="850"/>
      <c r="R20" s="851"/>
      <c r="S20" s="851"/>
      <c r="T20" s="25"/>
      <c r="U20" s="25"/>
      <c r="V20" s="763"/>
      <c r="W20" s="852"/>
    </row>
    <row r="21" spans="1:23" ht="14.5">
      <c r="A21" s="240"/>
      <c r="B21" s="981"/>
      <c r="C21" s="981"/>
      <c r="D21" s="883" t="s">
        <v>264</v>
      </c>
      <c r="E21" s="883" t="s">
        <v>265</v>
      </c>
      <c r="F21" s="883" t="s">
        <v>266</v>
      </c>
      <c r="G21" s="884" t="s">
        <v>267</v>
      </c>
      <c r="H21" s="981"/>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95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f t="shared" si="11"/>
        <v>296328148.41000003</v>
      </c>
      <c r="D77" s="892">
        <f t="shared" si="12"/>
        <v>1900073.58</v>
      </c>
      <c r="E77" s="892">
        <f t="shared" si="13"/>
        <v>1600253.58</v>
      </c>
      <c r="F77" s="892">
        <f t="shared" si="14"/>
        <v>539492.35</v>
      </c>
      <c r="G77" s="892">
        <f t="shared" si="15"/>
        <v>2530649.7000000002</v>
      </c>
      <c r="H77" s="515">
        <f t="shared" si="6"/>
        <v>0.97782705002796744</v>
      </c>
      <c r="I77" s="225">
        <f t="shared" si="7"/>
        <v>6.4120590304875651E-3</v>
      </c>
      <c r="J77" s="225">
        <f t="shared" si="8"/>
        <v>5.4002752981329571E-3</v>
      </c>
      <c r="K77" s="225">
        <f t="shared" si="9"/>
        <v>1.8205909661121954E-3</v>
      </c>
      <c r="L77" s="893">
        <f t="shared" si="10"/>
        <v>8.5400246772999438E-3</v>
      </c>
      <c r="M77" s="316"/>
      <c r="Q77" s="863"/>
      <c r="S77" s="864"/>
      <c r="U77" s="25"/>
      <c r="V77" s="25"/>
      <c r="W77" s="25"/>
    </row>
    <row r="78" spans="1:23" ht="12.75" customHeight="1">
      <c r="A78" s="240"/>
      <c r="B78" s="423">
        <v>57</v>
      </c>
      <c r="C78" s="891">
        <f t="shared" si="11"/>
        <v>282720890.44999999</v>
      </c>
      <c r="D78" s="892">
        <f t="shared" si="12"/>
        <v>2225557.08</v>
      </c>
      <c r="E78" s="892">
        <f t="shared" si="13"/>
        <v>603253.87</v>
      </c>
      <c r="F78" s="892">
        <f t="shared" si="14"/>
        <v>1572362.61</v>
      </c>
      <c r="G78" s="892">
        <f t="shared" si="15"/>
        <v>2395545.46</v>
      </c>
      <c r="H78" s="515">
        <f t="shared" si="6"/>
        <v>0.97595961512012142</v>
      </c>
      <c r="I78" s="225">
        <f t="shared" si="7"/>
        <v>7.871922999597358E-3</v>
      </c>
      <c r="J78" s="225">
        <f t="shared" si="8"/>
        <v>2.1337435271932522E-3</v>
      </c>
      <c r="K78" s="225">
        <f t="shared" si="9"/>
        <v>5.5615367067403778E-3</v>
      </c>
      <c r="L78" s="893">
        <f t="shared" si="10"/>
        <v>8.4731816463476332E-3</v>
      </c>
      <c r="M78" s="316"/>
      <c r="Q78" s="863"/>
      <c r="S78" s="864"/>
      <c r="U78" s="25"/>
      <c r="V78" s="25"/>
      <c r="W78" s="25"/>
    </row>
    <row r="79" spans="1:23" ht="12.75" customHeight="1">
      <c r="A79" s="240"/>
      <c r="B79" s="423">
        <v>58</v>
      </c>
      <c r="C79" s="891">
        <f t="shared" si="11"/>
        <v>269112740.91000003</v>
      </c>
      <c r="D79" s="892">
        <f t="shared" si="12"/>
        <v>1042159.95</v>
      </c>
      <c r="E79" s="892">
        <f t="shared" si="13"/>
        <v>1539575.06</v>
      </c>
      <c r="F79" s="892">
        <f t="shared" si="14"/>
        <v>1310846.28</v>
      </c>
      <c r="G79" s="892">
        <f t="shared" si="15"/>
        <v>2229736.4700000002</v>
      </c>
      <c r="H79" s="515">
        <f t="shared" si="6"/>
        <v>0.9772499892078782</v>
      </c>
      <c r="I79" s="225">
        <f t="shared" si="7"/>
        <v>3.8725775170508625E-3</v>
      </c>
      <c r="J79" s="225">
        <f t="shared" si="8"/>
        <v>5.7209296549615377E-3</v>
      </c>
      <c r="K79" s="225">
        <f t="shared" si="9"/>
        <v>4.8709930104661571E-3</v>
      </c>
      <c r="L79" s="893">
        <f t="shared" si="10"/>
        <v>8.2855106096433248E-3</v>
      </c>
      <c r="M79" s="316"/>
      <c r="Q79" s="863"/>
      <c r="S79" s="864"/>
      <c r="U79" s="25"/>
      <c r="V79" s="25"/>
      <c r="W79" s="25"/>
    </row>
    <row r="80" spans="1:23" ht="12.75" customHeight="1">
      <c r="A80" s="240"/>
      <c r="B80" s="423">
        <v>59</v>
      </c>
      <c r="C80" s="891">
        <f t="shared" si="11"/>
        <v>256430146.52000001</v>
      </c>
      <c r="D80" s="892">
        <f t="shared" si="12"/>
        <v>1576053.23</v>
      </c>
      <c r="E80" s="892">
        <f t="shared" si="13"/>
        <v>1757965.22</v>
      </c>
      <c r="F80" s="892">
        <f t="shared" si="14"/>
        <v>1023322.37</v>
      </c>
      <c r="G80" s="892">
        <f t="shared" si="15"/>
        <v>1591357.85</v>
      </c>
      <c r="H80" s="515">
        <f t="shared" si="6"/>
        <v>0.97680187469870661</v>
      </c>
      <c r="I80" s="225">
        <f t="shared" si="7"/>
        <v>6.14613083285462E-3</v>
      </c>
      <c r="J80" s="225">
        <f t="shared" si="8"/>
        <v>6.8555325645492668E-3</v>
      </c>
      <c r="K80" s="225">
        <f t="shared" si="9"/>
        <v>3.9906476827606032E-3</v>
      </c>
      <c r="L80" s="893">
        <f t="shared" si="10"/>
        <v>6.2058142211289646E-3</v>
      </c>
      <c r="M80" s="316"/>
      <c r="Q80" s="863"/>
      <c r="S80" s="864"/>
      <c r="U80" s="25"/>
      <c r="V80" s="25"/>
      <c r="W80" s="25"/>
    </row>
    <row r="81" spans="1:23" ht="12.75" customHeight="1">
      <c r="A81" s="240"/>
      <c r="B81" s="423">
        <v>60</v>
      </c>
      <c r="C81" s="891" t="str">
        <f t="shared" si="11"/>
        <v/>
      </c>
      <c r="D81" s="892" t="str">
        <f t="shared" si="12"/>
        <v/>
      </c>
      <c r="E81" s="892" t="str">
        <f t="shared" si="13"/>
        <v/>
      </c>
      <c r="F81" s="892" t="str">
        <f t="shared" si="14"/>
        <v/>
      </c>
      <c r="G81" s="892" t="str">
        <f t="shared" si="15"/>
        <v/>
      </c>
      <c r="H81" s="515" t="str">
        <f t="shared" si="6"/>
        <v/>
      </c>
      <c r="I81" s="225" t="str">
        <f t="shared" si="7"/>
        <v/>
      </c>
      <c r="J81" s="225" t="str">
        <f t="shared" si="8"/>
        <v/>
      </c>
      <c r="K81" s="225" t="str">
        <f t="shared" si="9"/>
        <v/>
      </c>
      <c r="L81" s="893" t="str">
        <f t="shared" si="10"/>
        <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45940</v>
      </c>
      <c r="G2" s="243"/>
      <c r="H2" s="243"/>
      <c r="I2" s="243"/>
      <c r="J2" s="243"/>
      <c r="K2" s="243"/>
      <c r="L2" s="245"/>
      <c r="M2" s="247"/>
    </row>
    <row r="3" spans="1:13" ht="18">
      <c r="A3" s="240"/>
      <c r="B3" s="241" t="str">
        <f>'Cover Sheet'!B3</f>
        <v>Monthly Investor Report</v>
      </c>
      <c r="C3" s="241"/>
      <c r="D3" s="249" t="str">
        <f>'Cover Sheet'!D3</f>
        <v>Payment Date</v>
      </c>
      <c r="E3" s="250"/>
      <c r="F3" s="251">
        <f>'Cover Sheet'!F3</f>
        <v>45944</v>
      </c>
      <c r="G3" s="250"/>
      <c r="H3" s="250"/>
      <c r="I3" s="250"/>
      <c r="J3" s="250"/>
      <c r="K3" s="250"/>
      <c r="L3" s="252"/>
      <c r="M3" s="247"/>
    </row>
    <row r="4" spans="1:13">
      <c r="A4" s="240"/>
      <c r="B4" s="870"/>
      <c r="C4" s="330"/>
      <c r="D4" s="249" t="str">
        <f>'Cover Sheet'!D4</f>
        <v>Period  No</v>
      </c>
      <c r="E4" s="250"/>
      <c r="F4" s="255">
        <f>'Cover Sheet'!F4</f>
        <v>59</v>
      </c>
      <c r="G4" s="250"/>
      <c r="H4" s="256"/>
      <c r="I4" s="250"/>
      <c r="J4" s="261"/>
      <c r="K4" s="250"/>
      <c r="L4" s="257"/>
      <c r="M4" s="247"/>
    </row>
    <row r="5" spans="1:13" ht="18">
      <c r="A5" s="240"/>
      <c r="B5" s="331" t="s">
        <v>248</v>
      </c>
      <c r="C5" s="331"/>
      <c r="D5" s="249" t="str">
        <f>'Cover Sheet'!D5</f>
        <v>Monthly Period</v>
      </c>
      <c r="E5" s="250"/>
      <c r="F5" s="124">
        <f>'Cover Sheet'!F5</f>
        <v>45944</v>
      </c>
      <c r="G5" s="250"/>
      <c r="H5" s="256"/>
      <c r="I5" s="250"/>
      <c r="J5" s="261"/>
      <c r="K5" s="250"/>
      <c r="L5" s="257"/>
      <c r="M5" s="247"/>
    </row>
    <row r="6" spans="1:13" s="248" customFormat="1" ht="15" customHeight="1">
      <c r="A6" s="240"/>
      <c r="B6" s="259"/>
      <c r="C6" s="332"/>
      <c r="D6" s="249" t="str">
        <f>'Cover Sheet'!D6</f>
        <v>Interest Period</v>
      </c>
      <c r="E6" s="261" t="s">
        <v>34</v>
      </c>
      <c r="F6" s="251">
        <f>'Cover Sheet'!F6</f>
        <v>45915</v>
      </c>
      <c r="G6" s="261" t="str">
        <f>'Cover Sheet'!G6</f>
        <v>to</v>
      </c>
      <c r="H6" s="251">
        <f>'Cover Sheet'!H6</f>
        <v>45944</v>
      </c>
      <c r="I6" s="261" t="str">
        <f>'Cover Sheet'!I6</f>
        <v>=</v>
      </c>
      <c r="J6" s="838" t="str">
        <f>'Cover Sheet'!J6</f>
        <v>29 days</v>
      </c>
      <c r="K6" s="261"/>
      <c r="L6" s="375"/>
      <c r="M6" s="329"/>
    </row>
    <row r="7" spans="1:13">
      <c r="A7" s="240"/>
      <c r="D7" s="713" t="str">
        <f>'Cover Sheet'!D7</f>
        <v>Collection Period</v>
      </c>
      <c r="E7" s="714" t="s">
        <v>34</v>
      </c>
      <c r="F7" s="265" t="str">
        <f>'Cover Sheet'!F7</f>
        <v>01.09.2025</v>
      </c>
      <c r="G7" s="714" t="str">
        <f>'Cover Sheet'!G7</f>
        <v>to</v>
      </c>
      <c r="H7" s="265">
        <f>'Cover Sheet'!H7</f>
        <v>45930</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717643.53</v>
      </c>
      <c r="G20" s="819"/>
      <c r="H20" s="25"/>
      <c r="I20" s="763"/>
      <c r="J20" s="25"/>
      <c r="K20" s="763"/>
      <c r="L20" s="852"/>
      <c r="M20" s="247"/>
    </row>
    <row r="21" spans="1:13">
      <c r="A21" s="240"/>
      <c r="B21" s="25" t="s">
        <v>86</v>
      </c>
      <c r="D21" s="330"/>
      <c r="F21" s="874">
        <f>VLOOKUP("Recoveries_current",calcdata_20,2,0)</f>
        <v>291127.67</v>
      </c>
      <c r="H21" s="25"/>
      <c r="I21" s="25"/>
      <c r="J21" s="718"/>
      <c r="K21" s="25"/>
      <c r="L21" s="25"/>
      <c r="M21" s="247"/>
    </row>
    <row r="22" spans="1:13" ht="13">
      <c r="A22" s="240"/>
      <c r="B22" s="25" t="s">
        <v>185</v>
      </c>
      <c r="D22" s="875"/>
      <c r="E22" s="819"/>
      <c r="F22" s="874">
        <f>F20-F21</f>
        <v>426515.86000000004</v>
      </c>
      <c r="G22" s="819"/>
      <c r="H22" s="822"/>
      <c r="I22" s="25"/>
      <c r="J22" s="718"/>
      <c r="K22" s="25"/>
      <c r="L22" s="25"/>
      <c r="M22" s="247"/>
    </row>
    <row r="23" spans="1:13">
      <c r="A23" s="240"/>
      <c r="B23" s="25" t="s">
        <v>186</v>
      </c>
      <c r="D23" s="876"/>
      <c r="F23" s="877"/>
      <c r="H23" s="25">
        <f>VLOOKUP("default_new",Assets_20,3,0)</f>
        <v>95</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119770893.84999998</v>
      </c>
      <c r="G26" s="819"/>
      <c r="H26" s="822"/>
      <c r="I26" s="25"/>
      <c r="J26" s="718"/>
      <c r="K26" s="25"/>
      <c r="L26" s="25"/>
      <c r="M26" s="247"/>
    </row>
    <row r="27" spans="1:13" ht="13">
      <c r="A27" s="240"/>
      <c r="B27" s="25" t="s">
        <v>87</v>
      </c>
      <c r="D27" s="876"/>
      <c r="F27" s="874">
        <f>VLOOKUP("Cum_Recoveries",calcdata_20,2,0)</f>
        <v>20147864.991177931</v>
      </c>
      <c r="H27" s="827"/>
      <c r="I27" s="25"/>
      <c r="J27" s="718"/>
      <c r="K27" s="25"/>
      <c r="L27" s="25"/>
      <c r="M27" s="247"/>
    </row>
    <row r="28" spans="1:13">
      <c r="A28" s="240"/>
      <c r="B28" s="25" t="s">
        <v>189</v>
      </c>
      <c r="D28" s="876"/>
      <c r="F28" s="874">
        <f>F26-F27</f>
        <v>99623028.858822048</v>
      </c>
      <c r="H28" s="718"/>
      <c r="I28" s="25"/>
      <c r="J28" s="25"/>
      <c r="K28" s="25"/>
      <c r="L28" s="25"/>
      <c r="M28" s="247"/>
    </row>
    <row r="29" spans="1:13">
      <c r="A29" s="240"/>
      <c r="B29" s="25" t="s">
        <v>190</v>
      </c>
      <c r="D29" s="330"/>
      <c r="F29" s="330"/>
      <c r="H29" s="974">
        <f>VLOOKUP(F4-1,'3.3 Defaults &amp; Recoveries p.p.'!B:C,2,0)+H23</f>
        <v>12240</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717643.53</v>
      </c>
      <c r="H72" s="25"/>
      <c r="I72" s="25"/>
      <c r="J72" s="822"/>
      <c r="K72" s="25"/>
      <c r="L72" s="822"/>
      <c r="M72" s="247"/>
    </row>
    <row r="73" spans="1:13" ht="13">
      <c r="A73" s="240"/>
      <c r="B73" s="33" t="s">
        <v>530</v>
      </c>
      <c r="D73" s="876"/>
      <c r="F73" s="937">
        <f>VLOOKUP("G_credited_PDL",calcdata_20,2,FALSE)</f>
        <v>717643.53</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2"/>
      <c r="M1" s="238"/>
    </row>
    <row r="2" spans="1:13" ht="18">
      <c r="A2" s="240"/>
      <c r="B2" s="241" t="str">
        <f>'Cover Sheet'!B2</f>
        <v>SC Germany Consumer 2020-1</v>
      </c>
      <c r="C2" s="241"/>
      <c r="D2" s="242" t="str">
        <f>'Cover Sheet'!D2</f>
        <v>Calculation Date</v>
      </c>
      <c r="E2" s="243"/>
      <c r="F2" s="244">
        <f>'Cover Sheet'!F2</f>
        <v>45940</v>
      </c>
      <c r="G2" s="243"/>
      <c r="H2" s="243"/>
      <c r="I2" s="243"/>
      <c r="J2" s="243"/>
      <c r="K2" s="243"/>
      <c r="L2" s="245"/>
      <c r="M2" s="316"/>
    </row>
    <row r="3" spans="1:13" ht="18">
      <c r="A3" s="240"/>
      <c r="B3" s="241" t="str">
        <f>'Cover Sheet'!B3</f>
        <v>Monthly Investor Report</v>
      </c>
      <c r="C3" s="241"/>
      <c r="D3" s="249" t="str">
        <f>'Cover Sheet'!D3</f>
        <v>Payment Date</v>
      </c>
      <c r="E3" s="250"/>
      <c r="F3" s="251">
        <f>'Cover Sheet'!F3</f>
        <v>45944</v>
      </c>
      <c r="G3" s="250"/>
      <c r="H3" s="250"/>
      <c r="I3" s="250"/>
      <c r="J3" s="250"/>
      <c r="K3" s="250"/>
      <c r="L3" s="252"/>
      <c r="M3" s="316"/>
    </row>
    <row r="4" spans="1:13">
      <c r="A4" s="240"/>
      <c r="B4" s="870"/>
      <c r="C4" s="330"/>
      <c r="D4" s="249" t="str">
        <f>'Cover Sheet'!D4</f>
        <v>Period  No</v>
      </c>
      <c r="E4" s="250"/>
      <c r="F4" s="255">
        <f>'Cover Sheet'!F4</f>
        <v>59</v>
      </c>
      <c r="G4" s="250"/>
      <c r="H4" s="256"/>
      <c r="I4" s="250"/>
      <c r="J4" s="261"/>
      <c r="K4" s="250"/>
      <c r="L4" s="257"/>
      <c r="M4" s="316"/>
    </row>
    <row r="5" spans="1:13" ht="18">
      <c r="A5" s="240"/>
      <c r="B5" s="331" t="s">
        <v>448</v>
      </c>
      <c r="C5" s="331"/>
      <c r="D5" s="249" t="str">
        <f>'Cover Sheet'!D5</f>
        <v>Monthly Period</v>
      </c>
      <c r="E5" s="250"/>
      <c r="F5" s="124">
        <f>'Cover Sheet'!F5</f>
        <v>45944</v>
      </c>
      <c r="G5" s="250"/>
      <c r="H5" s="256"/>
      <c r="I5" s="250"/>
      <c r="J5" s="261"/>
      <c r="K5" s="250"/>
      <c r="L5" s="257"/>
      <c r="M5" s="316"/>
    </row>
    <row r="6" spans="1:13" s="248" customFormat="1" ht="15" customHeight="1">
      <c r="A6" s="240"/>
      <c r="B6" s="259"/>
      <c r="C6" s="332"/>
      <c r="D6" s="249" t="str">
        <f>'Cover Sheet'!D6</f>
        <v>Interest Period</v>
      </c>
      <c r="E6" s="261" t="s">
        <v>34</v>
      </c>
      <c r="F6" s="251">
        <f>'Cover Sheet'!F6</f>
        <v>45915</v>
      </c>
      <c r="G6" s="261" t="str">
        <f>'Cover Sheet'!G6</f>
        <v>to</v>
      </c>
      <c r="H6" s="251">
        <f>'Cover Sheet'!H6</f>
        <v>45944</v>
      </c>
      <c r="I6" s="261" t="str">
        <f>'Cover Sheet'!I6</f>
        <v>=</v>
      </c>
      <c r="J6" s="838" t="str">
        <f>'Cover Sheet'!J6</f>
        <v>29 days</v>
      </c>
      <c r="K6" s="261"/>
      <c r="L6" s="375"/>
      <c r="M6" s="839"/>
    </row>
    <row r="7" spans="1:13">
      <c r="A7" s="240"/>
      <c r="D7" s="713" t="str">
        <f>'Cover Sheet'!D7</f>
        <v>Collection Period</v>
      </c>
      <c r="E7" s="714" t="s">
        <v>34</v>
      </c>
      <c r="F7" s="265" t="str">
        <f>'Cover Sheet'!F7</f>
        <v>01.09.2025</v>
      </c>
      <c r="G7" s="714" t="str">
        <f>'Cover Sheet'!G7</f>
        <v>to</v>
      </c>
      <c r="H7" s="265">
        <f>'Cover Sheet'!H7</f>
        <v>45930</v>
      </c>
      <c r="I7" s="266"/>
      <c r="J7" s="266"/>
      <c r="K7" s="266"/>
      <c r="L7" s="267"/>
      <c r="M7" s="316"/>
    </row>
    <row r="8" spans="1:13" ht="13">
      <c r="A8" s="240"/>
      <c r="D8" s="840"/>
      <c r="E8" s="268"/>
      <c r="F8" s="246"/>
      <c r="H8" s="269"/>
      <c r="J8" s="269"/>
      <c r="L8" s="961"/>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3"/>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6">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8">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6">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9">
        <f t="shared" si="8"/>
        <v>7.6856862906389068E-5</v>
      </c>
      <c r="L22" s="25"/>
      <c r="M22" s="316"/>
      <c r="N22" s="25"/>
      <c r="O22" s="856"/>
      <c r="P22" s="25"/>
      <c r="Q22" s="850"/>
      <c r="R22" s="851"/>
      <c r="S22" s="851"/>
      <c r="T22" s="25"/>
      <c r="U22" s="25"/>
      <c r="V22" s="25"/>
      <c r="W22" s="25"/>
    </row>
    <row r="23" spans="1:23" ht="13">
      <c r="A23" s="240"/>
      <c r="B23" s="423">
        <v>3</v>
      </c>
      <c r="C23" s="956">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9">
        <f t="shared" si="8"/>
        <v>1.5308605525493017E-4</v>
      </c>
      <c r="L23" s="25"/>
      <c r="M23" s="857"/>
      <c r="Q23" s="850"/>
      <c r="R23" s="858"/>
      <c r="S23" s="858"/>
      <c r="U23" s="25"/>
      <c r="V23" s="763"/>
      <c r="W23" s="822"/>
    </row>
    <row r="24" spans="1:23" ht="13">
      <c r="A24" s="240"/>
      <c r="B24" s="423">
        <v>4</v>
      </c>
      <c r="C24" s="956">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9">
        <f t="shared" si="8"/>
        <v>6.7404690512538499E-4</v>
      </c>
      <c r="L24" s="25"/>
      <c r="M24" s="848"/>
      <c r="N24" s="819"/>
      <c r="O24" s="822"/>
      <c r="P24" s="819"/>
      <c r="Q24" s="859"/>
      <c r="R24" s="860"/>
      <c r="S24" s="858"/>
      <c r="T24" s="819"/>
      <c r="U24" s="25"/>
      <c r="V24" s="763"/>
      <c r="W24" s="852"/>
    </row>
    <row r="25" spans="1:23" ht="13">
      <c r="A25" s="240"/>
      <c r="B25" s="423">
        <v>5</v>
      </c>
      <c r="C25" s="956">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9">
        <f t="shared" si="8"/>
        <v>1.6667648559819024E-3</v>
      </c>
      <c r="L25" s="25"/>
      <c r="M25" s="316"/>
      <c r="Q25" s="850"/>
      <c r="R25" s="851"/>
      <c r="S25" s="850"/>
      <c r="T25" s="25"/>
      <c r="U25" s="718"/>
      <c r="V25" s="25"/>
      <c r="W25" s="25"/>
    </row>
    <row r="26" spans="1:23" ht="13">
      <c r="A26" s="240"/>
      <c r="B26" s="423">
        <v>6</v>
      </c>
      <c r="C26" s="956">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9">
        <f t="shared" si="8"/>
        <v>2.6120428978403131E-3</v>
      </c>
      <c r="L26" s="25"/>
      <c r="M26" s="316"/>
      <c r="Q26" s="850"/>
      <c r="R26" s="851"/>
      <c r="S26" s="850"/>
      <c r="T26" s="25"/>
      <c r="U26" s="718"/>
      <c r="V26" s="25"/>
      <c r="W26" s="25"/>
    </row>
    <row r="27" spans="1:23" ht="13">
      <c r="A27" s="240"/>
      <c r="B27" s="423">
        <v>7</v>
      </c>
      <c r="C27" s="956">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9">
        <f t="shared" si="8"/>
        <v>3.763720861814908E-3</v>
      </c>
      <c r="L27" s="25"/>
      <c r="M27" s="316"/>
      <c r="O27" s="856"/>
      <c r="Q27" s="850"/>
      <c r="R27" s="858"/>
      <c r="S27" s="858"/>
      <c r="U27" s="25"/>
      <c r="V27" s="25"/>
      <c r="W27" s="25"/>
    </row>
    <row r="28" spans="1:23" ht="13">
      <c r="A28" s="240"/>
      <c r="B28" s="423">
        <v>8</v>
      </c>
      <c r="C28" s="956">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9">
        <f t="shared" si="8"/>
        <v>4.6320955434108902E-3</v>
      </c>
      <c r="L28" s="25"/>
      <c r="M28" s="316"/>
      <c r="Q28" s="850"/>
      <c r="R28" s="858"/>
      <c r="S28" s="858"/>
      <c r="U28" s="25"/>
      <c r="V28" s="25"/>
      <c r="W28" s="25"/>
    </row>
    <row r="29" spans="1:23" ht="13">
      <c r="A29" s="240"/>
      <c r="B29" s="423">
        <v>9</v>
      </c>
      <c r="C29" s="956">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9">
        <f t="shared" si="8"/>
        <v>5.6655380342156619E-3</v>
      </c>
      <c r="L29" s="25"/>
      <c r="M29" s="848"/>
      <c r="N29" s="819"/>
      <c r="O29" s="822"/>
      <c r="P29" s="819"/>
      <c r="Q29" s="861"/>
      <c r="R29" s="860"/>
      <c r="S29" s="858"/>
      <c r="T29" s="819"/>
      <c r="U29" s="822"/>
      <c r="V29" s="25"/>
      <c r="W29" s="25"/>
    </row>
    <row r="30" spans="1:23" ht="13">
      <c r="A30" s="240"/>
      <c r="B30" s="423">
        <v>10</v>
      </c>
      <c r="C30" s="956">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9">
        <f t="shared" si="8"/>
        <v>6.6080078829132633E-3</v>
      </c>
      <c r="L30" s="25"/>
      <c r="M30" s="316"/>
      <c r="Q30" s="850"/>
      <c r="R30" s="851"/>
      <c r="S30" s="850"/>
      <c r="T30" s="25"/>
      <c r="U30" s="718"/>
      <c r="V30" s="25"/>
      <c r="W30" s="25"/>
    </row>
    <row r="31" spans="1:23" ht="13">
      <c r="A31" s="240"/>
      <c r="B31" s="423">
        <v>11</v>
      </c>
      <c r="C31" s="956">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9">
        <f t="shared" si="8"/>
        <v>7.6913007827770202E-3</v>
      </c>
      <c r="L31" s="25"/>
      <c r="M31" s="316"/>
      <c r="Q31" s="850"/>
      <c r="R31" s="851"/>
      <c r="S31" s="850"/>
      <c r="T31" s="25"/>
      <c r="U31" s="718"/>
      <c r="V31" s="25"/>
      <c r="W31" s="25"/>
    </row>
    <row r="32" spans="1:23" ht="13">
      <c r="A32" s="240"/>
      <c r="B32" s="423">
        <v>12</v>
      </c>
      <c r="C32" s="956">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9">
        <f t="shared" si="8"/>
        <v>8.6443391038765367E-3</v>
      </c>
      <c r="L32" s="25"/>
      <c r="M32" s="316"/>
      <c r="O32" s="856"/>
      <c r="Q32" s="850"/>
      <c r="R32" s="858"/>
      <c r="S32" s="858"/>
      <c r="U32" s="25"/>
      <c r="V32" s="25"/>
      <c r="W32" s="25"/>
    </row>
    <row r="33" spans="1:23" ht="13">
      <c r="A33" s="240"/>
      <c r="B33" s="423">
        <v>13</v>
      </c>
      <c r="C33" s="956">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9">
        <f t="shared" si="8"/>
        <v>9.7187654189112866E-3</v>
      </c>
      <c r="L33" s="25"/>
      <c r="M33" s="316"/>
      <c r="Q33" s="850"/>
      <c r="R33" s="858"/>
      <c r="S33" s="858"/>
      <c r="U33" s="25"/>
      <c r="V33" s="862"/>
      <c r="W33" s="822"/>
    </row>
    <row r="34" spans="1:23" ht="13">
      <c r="A34" s="240"/>
      <c r="B34" s="423">
        <v>14</v>
      </c>
      <c r="C34" s="956">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9">
        <f t="shared" si="8"/>
        <v>1.0993683407421937E-2</v>
      </c>
      <c r="L34" s="25"/>
      <c r="M34" s="848"/>
      <c r="N34" s="819"/>
      <c r="O34" s="822"/>
      <c r="P34" s="819"/>
      <c r="Q34" s="861"/>
      <c r="R34" s="860"/>
      <c r="S34" s="858"/>
      <c r="U34" s="25"/>
      <c r="V34" s="25"/>
      <c r="W34" s="25"/>
    </row>
    <row r="35" spans="1:23" ht="13">
      <c r="A35" s="240"/>
      <c r="B35" s="423">
        <v>15</v>
      </c>
      <c r="C35" s="956">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9">
        <f t="shared" si="8"/>
        <v>1.2261980331342326E-2</v>
      </c>
      <c r="L35" s="25"/>
      <c r="M35" s="316"/>
      <c r="Q35" s="850"/>
      <c r="R35" s="851"/>
      <c r="S35" s="850"/>
      <c r="T35" s="25"/>
      <c r="U35" s="718"/>
      <c r="V35" s="25"/>
      <c r="W35" s="25"/>
    </row>
    <row r="36" spans="1:23" ht="13">
      <c r="A36" s="240"/>
      <c r="B36" s="423">
        <v>16</v>
      </c>
      <c r="C36" s="956">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9">
        <f t="shared" si="8"/>
        <v>1.3534255458598468E-2</v>
      </c>
      <c r="L36" s="25"/>
      <c r="M36" s="316"/>
      <c r="Q36" s="850"/>
      <c r="R36" s="851"/>
      <c r="S36" s="850"/>
      <c r="T36" s="25"/>
      <c r="U36" s="718"/>
      <c r="V36" s="25"/>
      <c r="W36" s="25"/>
    </row>
    <row r="37" spans="1:23" ht="13">
      <c r="A37" s="240"/>
      <c r="B37" s="423">
        <v>17</v>
      </c>
      <c r="C37" s="956">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9">
        <f t="shared" si="8"/>
        <v>1.4501378285972357E-2</v>
      </c>
      <c r="L37" s="25"/>
      <c r="M37" s="316"/>
      <c r="O37" s="856"/>
      <c r="Q37" s="850"/>
      <c r="R37" s="858"/>
      <c r="S37" s="858"/>
      <c r="U37" s="25"/>
      <c r="V37" s="25"/>
      <c r="W37" s="25"/>
    </row>
    <row r="38" spans="1:23" ht="13">
      <c r="A38" s="240"/>
      <c r="B38" s="423">
        <v>18</v>
      </c>
      <c r="C38" s="956">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9">
        <f t="shared" si="8"/>
        <v>1.616775162337426E-2</v>
      </c>
      <c r="L38" s="25"/>
      <c r="M38" s="316"/>
      <c r="Q38" s="850"/>
      <c r="R38" s="858"/>
      <c r="S38" s="858"/>
      <c r="U38" s="25"/>
      <c r="V38" s="25"/>
      <c r="W38" s="823"/>
    </row>
    <row r="39" spans="1:23" ht="13">
      <c r="A39" s="240"/>
      <c r="B39" s="423">
        <v>19</v>
      </c>
      <c r="C39" s="956">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9">
        <f t="shared" si="8"/>
        <v>1.7371712420369126E-2</v>
      </c>
      <c r="L39" s="25"/>
      <c r="M39" s="848"/>
      <c r="O39" s="849"/>
      <c r="P39" s="25"/>
      <c r="Q39" s="850"/>
      <c r="R39" s="851"/>
      <c r="S39" s="851"/>
      <c r="T39" s="25"/>
      <c r="U39" s="25"/>
      <c r="V39" s="25"/>
      <c r="W39" s="25"/>
    </row>
    <row r="40" spans="1:23" ht="13">
      <c r="A40" s="240"/>
      <c r="B40" s="423">
        <v>20</v>
      </c>
      <c r="C40" s="956">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9">
        <f t="shared" si="8"/>
        <v>1.843655610613313E-2</v>
      </c>
      <c r="L40" s="25"/>
      <c r="M40" s="316"/>
      <c r="N40" s="25"/>
      <c r="O40" s="25"/>
      <c r="P40" s="25"/>
      <c r="Q40" s="850"/>
      <c r="R40" s="851"/>
      <c r="S40" s="850"/>
      <c r="T40" s="25"/>
      <c r="U40" s="718"/>
      <c r="V40" s="25"/>
      <c r="W40" s="25"/>
    </row>
    <row r="41" spans="1:23" ht="13">
      <c r="A41" s="240"/>
      <c r="B41" s="423">
        <v>21</v>
      </c>
      <c r="C41" s="956">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9">
        <f t="shared" si="8"/>
        <v>1.9543340825773983E-2</v>
      </c>
      <c r="L41" s="25"/>
      <c r="M41" s="316"/>
      <c r="N41" s="25"/>
      <c r="O41" s="25"/>
      <c r="P41" s="25"/>
      <c r="Q41" s="850"/>
      <c r="R41" s="851"/>
      <c r="S41" s="850"/>
      <c r="T41" s="25"/>
      <c r="U41" s="718"/>
      <c r="V41" s="25"/>
      <c r="W41" s="25"/>
    </row>
    <row r="42" spans="1:23" ht="13">
      <c r="A42" s="240"/>
      <c r="B42" s="423">
        <v>22</v>
      </c>
      <c r="C42" s="956">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9">
        <f t="shared" si="8"/>
        <v>2.0790750540315081E-2</v>
      </c>
      <c r="L42" s="25"/>
      <c r="M42" s="316"/>
      <c r="N42" s="25"/>
      <c r="O42" s="856"/>
      <c r="P42" s="25"/>
      <c r="Q42" s="850"/>
      <c r="R42" s="851"/>
      <c r="S42" s="851"/>
      <c r="T42" s="25"/>
      <c r="U42" s="25"/>
      <c r="V42" s="25"/>
      <c r="W42" s="822"/>
    </row>
    <row r="43" spans="1:23" ht="13">
      <c r="A43" s="240"/>
      <c r="B43" s="423">
        <v>23</v>
      </c>
      <c r="C43" s="956">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9">
        <f t="shared" si="8"/>
        <v>2.169871418800938E-2</v>
      </c>
      <c r="L43" s="25"/>
      <c r="M43" s="316"/>
      <c r="O43" s="25"/>
      <c r="P43" s="25"/>
      <c r="Q43" s="850"/>
      <c r="R43" s="851"/>
      <c r="S43" s="851"/>
      <c r="T43" s="25"/>
      <c r="U43" s="25"/>
      <c r="V43" s="25"/>
      <c r="W43" s="827"/>
    </row>
    <row r="44" spans="1:23" ht="13">
      <c r="A44" s="240"/>
      <c r="B44" s="423">
        <v>24</v>
      </c>
      <c r="C44" s="956">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9">
        <f t="shared" si="8"/>
        <v>2.2694852517374426E-2</v>
      </c>
      <c r="L44" s="25"/>
      <c r="M44" s="848"/>
      <c r="O44" s="849"/>
      <c r="P44" s="25"/>
      <c r="Q44" s="850"/>
      <c r="R44" s="851"/>
      <c r="S44" s="851"/>
      <c r="T44" s="25"/>
      <c r="U44" s="25"/>
      <c r="V44" s="25"/>
      <c r="W44" s="718"/>
    </row>
    <row r="45" spans="1:23" ht="13">
      <c r="A45" s="240"/>
      <c r="B45" s="423">
        <v>25</v>
      </c>
      <c r="C45" s="956">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9">
        <f t="shared" si="8"/>
        <v>2.2054103685851627E-2</v>
      </c>
      <c r="L45" s="25"/>
      <c r="M45" s="316"/>
      <c r="N45" s="25"/>
      <c r="O45" s="25"/>
      <c r="P45" s="25"/>
      <c r="Q45" s="850"/>
      <c r="R45" s="851"/>
      <c r="S45" s="850"/>
      <c r="T45" s="25"/>
      <c r="U45" s="718"/>
      <c r="V45" s="25"/>
      <c r="W45" s="25"/>
    </row>
    <row r="46" spans="1:23" ht="13">
      <c r="A46" s="240"/>
      <c r="B46" s="423">
        <v>26</v>
      </c>
      <c r="C46" s="956">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9">
        <f t="shared" si="8"/>
        <v>2.2784998083594452E-2</v>
      </c>
      <c r="L46" s="25"/>
      <c r="M46" s="316"/>
      <c r="N46" s="25"/>
      <c r="O46" s="25"/>
      <c r="P46" s="25"/>
      <c r="Q46" s="850"/>
      <c r="R46" s="851"/>
      <c r="S46" s="850"/>
      <c r="T46" s="25"/>
      <c r="U46" s="718"/>
      <c r="V46" s="25"/>
      <c r="W46" s="25"/>
    </row>
    <row r="47" spans="1:23" ht="13">
      <c r="A47" s="240"/>
      <c r="B47" s="423">
        <v>27</v>
      </c>
      <c r="C47" s="956">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9">
        <f t="shared" si="8"/>
        <v>2.3686837362013678E-2</v>
      </c>
      <c r="L47" s="25"/>
      <c r="M47" s="316"/>
      <c r="N47" s="25"/>
      <c r="O47" s="856"/>
      <c r="P47" s="25"/>
      <c r="Q47" s="850"/>
      <c r="R47" s="851"/>
      <c r="S47" s="851"/>
      <c r="T47" s="25"/>
      <c r="U47" s="25"/>
      <c r="V47" s="25"/>
      <c r="W47" s="25"/>
    </row>
    <row r="48" spans="1:23" ht="12.75" customHeight="1">
      <c r="A48" s="240"/>
      <c r="B48" s="423">
        <v>28</v>
      </c>
      <c r="C48" s="956">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9">
        <f t="shared" si="8"/>
        <v>2.4670824889757723E-2</v>
      </c>
      <c r="L48" s="25"/>
      <c r="M48" s="316"/>
      <c r="Q48" s="863"/>
      <c r="S48" s="864"/>
      <c r="U48" s="25"/>
      <c r="V48" s="25"/>
      <c r="W48" s="25"/>
    </row>
    <row r="49" spans="1:23" ht="12.75" customHeight="1">
      <c r="A49" s="240"/>
      <c r="B49" s="423">
        <v>29</v>
      </c>
      <c r="C49" s="956">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9">
        <f t="shared" si="8"/>
        <v>2.5775540798908682E-2</v>
      </c>
      <c r="L49" s="25"/>
      <c r="M49" s="316"/>
      <c r="Q49" s="718"/>
      <c r="S49" s="330"/>
      <c r="U49" s="25"/>
      <c r="V49" s="25"/>
      <c r="W49" s="25"/>
    </row>
    <row r="50" spans="1:23" ht="13">
      <c r="A50" s="240"/>
      <c r="B50" s="423">
        <v>30</v>
      </c>
      <c r="C50" s="956">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9">
        <f t="shared" si="8"/>
        <v>2.6231114614314176E-2</v>
      </c>
      <c r="L50" s="25"/>
      <c r="M50" s="316"/>
    </row>
    <row r="51" spans="1:23" ht="13">
      <c r="A51" s="240"/>
      <c r="B51" s="423">
        <v>31</v>
      </c>
      <c r="C51" s="956">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9">
        <f t="shared" si="8"/>
        <v>2.7033534591591777E-2</v>
      </c>
      <c r="L51" s="25"/>
      <c r="M51" s="316"/>
      <c r="S51" s="271"/>
    </row>
    <row r="52" spans="1:23" ht="13">
      <c r="A52" s="240"/>
      <c r="B52" s="423">
        <v>32</v>
      </c>
      <c r="C52" s="956">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9">
        <f t="shared" si="8"/>
        <v>2.7740384839562374E-2</v>
      </c>
      <c r="L52" s="25"/>
      <c r="M52" s="316"/>
      <c r="S52" s="271"/>
    </row>
    <row r="53" spans="1:23" ht="13">
      <c r="A53" s="240"/>
      <c r="B53" s="423">
        <v>33</v>
      </c>
      <c r="C53" s="956">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9">
        <f t="shared" ref="K53:K84" si="17">IF(B53&gt;$F$4,"",VLOOKUP(CONCATENATE("defaults_",$B53),defaults_20,10,0))</f>
        <v>2.8407756205196529E-2</v>
      </c>
      <c r="L53" s="25"/>
      <c r="M53" s="316"/>
    </row>
    <row r="54" spans="1:23" ht="13">
      <c r="A54" s="240"/>
      <c r="B54" s="423">
        <v>34</v>
      </c>
      <c r="C54" s="956">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9">
        <f t="shared" si="17"/>
        <v>2.8976329336626239E-2</v>
      </c>
      <c r="L54" s="25"/>
      <c r="M54" s="316"/>
      <c r="N54" s="835"/>
      <c r="O54" s="836"/>
      <c r="Q54" s="836"/>
      <c r="S54" s="271"/>
    </row>
    <row r="55" spans="1:23" ht="13">
      <c r="A55" s="240"/>
      <c r="B55" s="423">
        <v>35</v>
      </c>
      <c r="C55" s="956">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9">
        <f t="shared" si="17"/>
        <v>2.9661291036231389E-2</v>
      </c>
      <c r="L55" s="25"/>
      <c r="M55" s="316"/>
      <c r="N55" s="835"/>
      <c r="O55" s="836"/>
      <c r="Q55" s="836"/>
    </row>
    <row r="56" spans="1:23" ht="13">
      <c r="A56" s="240"/>
      <c r="B56" s="423">
        <v>36</v>
      </c>
      <c r="C56" s="956">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9">
        <f t="shared" si="17"/>
        <v>2.9777059292014026E-2</v>
      </c>
      <c r="L56" s="25"/>
      <c r="M56" s="316"/>
    </row>
    <row r="57" spans="1:23" ht="13">
      <c r="A57" s="240"/>
      <c r="B57" s="423">
        <v>37</v>
      </c>
      <c r="C57" s="956">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9">
        <f t="shared" si="17"/>
        <v>3.021297860377279E-2</v>
      </c>
      <c r="L57" s="25"/>
      <c r="M57" s="316"/>
      <c r="N57" s="835"/>
      <c r="O57" s="835"/>
      <c r="P57" s="835"/>
      <c r="Q57" s="835"/>
    </row>
    <row r="58" spans="1:23" ht="13">
      <c r="A58" s="240"/>
      <c r="B58" s="423">
        <v>38</v>
      </c>
      <c r="C58" s="956">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9">
        <f t="shared" si="17"/>
        <v>3.078874200096151E-2</v>
      </c>
      <c r="L58" s="25"/>
      <c r="M58" s="316"/>
    </row>
    <row r="59" spans="1:23" ht="13">
      <c r="A59" s="240"/>
      <c r="B59" s="423">
        <v>39</v>
      </c>
      <c r="C59" s="956">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9">
        <f t="shared" si="17"/>
        <v>3.1406789401746543E-2</v>
      </c>
      <c r="L59" s="25"/>
      <c r="M59" s="316"/>
    </row>
    <row r="60" spans="1:23" ht="13">
      <c r="A60" s="240"/>
      <c r="B60" s="423">
        <v>40</v>
      </c>
      <c r="C60" s="956">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9">
        <f t="shared" si="17"/>
        <v>3.1898852052589403E-2</v>
      </c>
      <c r="L60" s="25"/>
      <c r="M60" s="316"/>
    </row>
    <row r="61" spans="1:23" ht="13">
      <c r="A61" s="240"/>
      <c r="B61" s="423">
        <v>41</v>
      </c>
      <c r="C61" s="956">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9">
        <f t="shared" si="17"/>
        <v>3.2266251798017891E-2</v>
      </c>
      <c r="L61" s="25"/>
      <c r="M61" s="316"/>
    </row>
    <row r="62" spans="1:23" ht="13">
      <c r="A62" s="240"/>
      <c r="B62" s="423">
        <v>42</v>
      </c>
      <c r="C62" s="956">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9">
        <f t="shared" si="17"/>
        <v>3.2604804792007315E-2</v>
      </c>
      <c r="L62" s="25"/>
      <c r="M62" s="316"/>
    </row>
    <row r="63" spans="1:23" ht="13">
      <c r="A63" s="240"/>
      <c r="B63" s="423">
        <v>43</v>
      </c>
      <c r="C63" s="956">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9">
        <f t="shared" si="17"/>
        <v>3.291763850376609E-2</v>
      </c>
      <c r="L63" s="25"/>
      <c r="M63" s="316"/>
    </row>
    <row r="64" spans="1:23" ht="13">
      <c r="A64" s="240"/>
      <c r="B64" s="423">
        <v>44</v>
      </c>
      <c r="C64" s="956">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9">
        <f t="shared" si="17"/>
        <v>3.3438013783866863E-2</v>
      </c>
      <c r="L64" s="25"/>
      <c r="M64" s="316"/>
    </row>
    <row r="65" spans="1:13" ht="13">
      <c r="A65" s="240"/>
      <c r="B65" s="423">
        <v>45</v>
      </c>
      <c r="C65" s="956">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9">
        <f t="shared" si="17"/>
        <v>3.3845684060539442E-2</v>
      </c>
      <c r="L65" s="25"/>
      <c r="M65" s="316"/>
    </row>
    <row r="66" spans="1:13" ht="13">
      <c r="A66" s="240"/>
      <c r="B66" s="423">
        <v>46</v>
      </c>
      <c r="C66" s="956">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9">
        <f t="shared" si="17"/>
        <v>3.4242089784583526E-2</v>
      </c>
      <c r="L66" s="25"/>
      <c r="M66" s="316"/>
    </row>
    <row r="67" spans="1:13" ht="13">
      <c r="A67" s="240"/>
      <c r="B67" s="423">
        <v>47</v>
      </c>
      <c r="C67" s="956">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9">
        <f t="shared" si="17"/>
        <v>3.4487834362998238E-2</v>
      </c>
      <c r="L67" s="25"/>
      <c r="M67" s="316"/>
    </row>
    <row r="68" spans="1:13" ht="13">
      <c r="A68" s="240"/>
      <c r="B68" s="423">
        <v>48</v>
      </c>
      <c r="C68" s="956">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9">
        <f t="shared" si="17"/>
        <v>3.4775298670355968E-2</v>
      </c>
      <c r="L68" s="25"/>
      <c r="M68" s="316"/>
    </row>
    <row r="69" spans="1:13" ht="13">
      <c r="A69" s="240"/>
      <c r="B69" s="423">
        <v>49</v>
      </c>
      <c r="C69" s="956">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9">
        <f t="shared" si="17"/>
        <v>3.4299766478272327E-2</v>
      </c>
      <c r="L69" s="25"/>
      <c r="M69" s="316"/>
    </row>
    <row r="70" spans="1:13" ht="13">
      <c r="A70" s="240"/>
      <c r="B70" s="423">
        <v>50</v>
      </c>
      <c r="C70" s="956">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9">
        <f t="shared" si="17"/>
        <v>3.4648524604301685E-2</v>
      </c>
      <c r="L70" s="25"/>
      <c r="M70" s="316"/>
    </row>
    <row r="71" spans="1:13" ht="13">
      <c r="A71" s="240"/>
      <c r="B71" s="423">
        <v>51</v>
      </c>
      <c r="C71" s="956">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9">
        <f t="shared" si="17"/>
        <v>3.496781473980147E-2</v>
      </c>
      <c r="L71" s="25"/>
      <c r="M71" s="316"/>
    </row>
    <row r="72" spans="1:13" ht="13">
      <c r="A72" s="240"/>
      <c r="B72" s="423">
        <v>52</v>
      </c>
      <c r="C72" s="956">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9">
        <f t="shared" si="17"/>
        <v>3.5290427339287118E-2</v>
      </c>
      <c r="L72" s="25"/>
      <c r="M72" s="316"/>
    </row>
    <row r="73" spans="1:13" ht="13">
      <c r="A73" s="240"/>
      <c r="B73" s="423">
        <v>53</v>
      </c>
      <c r="C73" s="956">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9">
        <f t="shared" si="17"/>
        <v>3.5486676085226536E-2</v>
      </c>
      <c r="L73" s="25"/>
      <c r="M73" s="316"/>
    </row>
    <row r="74" spans="1:13" ht="13">
      <c r="A74" s="240"/>
      <c r="B74" s="423">
        <v>54</v>
      </c>
      <c r="C74" s="956">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9">
        <f t="shared" si="17"/>
        <v>3.5719103482935638E-2</v>
      </c>
      <c r="L74" s="25"/>
      <c r="M74" s="316"/>
    </row>
    <row r="75" spans="1:13" ht="13">
      <c r="A75" s="240"/>
      <c r="B75" s="423">
        <v>55</v>
      </c>
      <c r="C75" s="956">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9">
        <f t="shared" si="17"/>
        <v>3.59369915028852E-2</v>
      </c>
      <c r="L75" s="25"/>
      <c r="M75" s="316"/>
    </row>
    <row r="76" spans="1:13" ht="13">
      <c r="A76" s="240"/>
      <c r="B76" s="423">
        <v>56</v>
      </c>
      <c r="C76" s="956">
        <f t="shared" si="9"/>
        <v>11955</v>
      </c>
      <c r="D76" s="853">
        <f t="shared" si="10"/>
        <v>675247.55</v>
      </c>
      <c r="E76" s="853">
        <f t="shared" si="11"/>
        <v>117707810.95</v>
      </c>
      <c r="F76" s="853">
        <f t="shared" si="12"/>
        <v>2730124401.23</v>
      </c>
      <c r="G76" s="821">
        <f t="shared" si="13"/>
        <v>4.3114449618841255E-2</v>
      </c>
      <c r="H76" s="854">
        <f t="shared" si="14"/>
        <v>318422.42</v>
      </c>
      <c r="I76" s="855">
        <f t="shared" si="15"/>
        <v>19238528.411200002</v>
      </c>
      <c r="J76" s="854">
        <f t="shared" si="16"/>
        <v>98469282.538800001</v>
      </c>
      <c r="K76" s="959">
        <f t="shared" si="17"/>
        <v>3.6067690722979072E-2</v>
      </c>
      <c r="L76" s="25"/>
      <c r="M76" s="316"/>
    </row>
    <row r="77" spans="1:13" ht="13">
      <c r="A77" s="240"/>
      <c r="B77" s="423">
        <v>57</v>
      </c>
      <c r="C77" s="956">
        <f t="shared" si="9"/>
        <v>12057</v>
      </c>
      <c r="D77" s="853">
        <f t="shared" si="10"/>
        <v>722270.39</v>
      </c>
      <c r="E77" s="853">
        <f t="shared" si="11"/>
        <v>118430081.34</v>
      </c>
      <c r="F77" s="853">
        <f t="shared" si="12"/>
        <v>2730124401.23</v>
      </c>
      <c r="G77" s="821">
        <f t="shared" si="13"/>
        <v>4.3379005471927877E-2</v>
      </c>
      <c r="H77" s="854">
        <f t="shared" si="14"/>
        <v>299460.15000000002</v>
      </c>
      <c r="I77" s="855">
        <f t="shared" si="15"/>
        <v>19537988.5612</v>
      </c>
      <c r="J77" s="854">
        <f t="shared" si="16"/>
        <v>98892092.778799996</v>
      </c>
      <c r="K77" s="959">
        <f t="shared" si="17"/>
        <v>3.6222559211685858E-2</v>
      </c>
      <c r="L77" s="25"/>
      <c r="M77" s="316"/>
    </row>
    <row r="78" spans="1:13" ht="13">
      <c r="A78" s="240"/>
      <c r="B78" s="423">
        <v>58</v>
      </c>
      <c r="C78" s="956">
        <f t="shared" si="9"/>
        <v>12145</v>
      </c>
      <c r="D78" s="853">
        <f t="shared" si="10"/>
        <v>623168.98</v>
      </c>
      <c r="E78" s="853">
        <f t="shared" si="11"/>
        <v>119053250.31999999</v>
      </c>
      <c r="F78" s="853">
        <f t="shared" si="12"/>
        <v>2730124401.23</v>
      </c>
      <c r="G78" s="821">
        <f t="shared" si="13"/>
        <v>4.3607262096321715E-2</v>
      </c>
      <c r="H78" s="854">
        <f t="shared" si="14"/>
        <v>318748.76</v>
      </c>
      <c r="I78" s="855">
        <f t="shared" si="15"/>
        <v>19856737.321199998</v>
      </c>
      <c r="J78" s="854">
        <f t="shared" si="16"/>
        <v>99196512.998799995</v>
      </c>
      <c r="K78" s="959">
        <f t="shared" si="17"/>
        <v>3.633406336873557E-2</v>
      </c>
      <c r="L78" s="25"/>
      <c r="M78" s="316"/>
    </row>
    <row r="79" spans="1:13" ht="13">
      <c r="A79" s="240"/>
      <c r="B79" s="423">
        <v>59</v>
      </c>
      <c r="C79" s="956">
        <f t="shared" si="9"/>
        <v>12240</v>
      </c>
      <c r="D79" s="853">
        <f t="shared" si="10"/>
        <v>717643.53</v>
      </c>
      <c r="E79" s="853">
        <f t="shared" si="11"/>
        <v>119770893.84999999</v>
      </c>
      <c r="F79" s="853">
        <f t="shared" si="12"/>
        <v>2730124401.23</v>
      </c>
      <c r="G79" s="821">
        <f t="shared" si="13"/>
        <v>4.3870123206121943E-2</v>
      </c>
      <c r="H79" s="854">
        <f t="shared" si="14"/>
        <v>291127.67</v>
      </c>
      <c r="I79" s="855">
        <f t="shared" si="15"/>
        <v>20147864.9912</v>
      </c>
      <c r="J79" s="854">
        <f t="shared" si="16"/>
        <v>99623028.858799994</v>
      </c>
      <c r="K79" s="959">
        <f t="shared" si="17"/>
        <v>3.6490289165555606E-2</v>
      </c>
      <c r="L79" s="25"/>
      <c r="M79" s="316"/>
    </row>
    <row r="80" spans="1:13" ht="13">
      <c r="A80" s="240"/>
      <c r="B80" s="423">
        <v>60</v>
      </c>
      <c r="C80" s="956" t="str">
        <f t="shared" si="9"/>
        <v/>
      </c>
      <c r="D80" s="853" t="str">
        <f t="shared" si="10"/>
        <v/>
      </c>
      <c r="E80" s="853" t="str">
        <f t="shared" si="11"/>
        <v/>
      </c>
      <c r="F80" s="853" t="str">
        <f t="shared" si="12"/>
        <v/>
      </c>
      <c r="G80" s="821" t="str">
        <f t="shared" si="13"/>
        <v/>
      </c>
      <c r="H80" s="854" t="str">
        <f t="shared" si="14"/>
        <v/>
      </c>
      <c r="I80" s="855" t="str">
        <f t="shared" si="15"/>
        <v/>
      </c>
      <c r="J80" s="854" t="str">
        <f t="shared" si="16"/>
        <v/>
      </c>
      <c r="K80" s="959" t="str">
        <f t="shared" si="17"/>
        <v/>
      </c>
      <c r="L80" s="25"/>
      <c r="M80" s="316"/>
    </row>
    <row r="81" spans="1:13" ht="13">
      <c r="A81" s="240"/>
      <c r="B81" s="423">
        <v>61</v>
      </c>
      <c r="C81" s="956"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9" t="str">
        <f t="shared" si="17"/>
        <v/>
      </c>
      <c r="L81" s="25"/>
      <c r="M81" s="316"/>
    </row>
    <row r="82" spans="1:13" ht="13">
      <c r="A82" s="240"/>
      <c r="B82" s="423">
        <v>62</v>
      </c>
      <c r="C82" s="956"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9" t="str">
        <f t="shared" si="17"/>
        <v/>
      </c>
      <c r="L82" s="25"/>
      <c r="M82" s="316"/>
    </row>
    <row r="83" spans="1:13" ht="13">
      <c r="A83" s="240"/>
      <c r="B83" s="423">
        <v>63</v>
      </c>
      <c r="C83" s="956"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9" t="str">
        <f t="shared" si="17"/>
        <v/>
      </c>
      <c r="L83" s="25"/>
      <c r="M83" s="316"/>
    </row>
    <row r="84" spans="1:13" ht="13">
      <c r="A84" s="240"/>
      <c r="B84" s="423">
        <v>64</v>
      </c>
      <c r="C84" s="956"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9" t="str">
        <f t="shared" si="17"/>
        <v/>
      </c>
      <c r="L84" s="25"/>
      <c r="M84" s="316"/>
    </row>
    <row r="85" spans="1:13" ht="13">
      <c r="A85" s="240"/>
      <c r="B85" s="423">
        <v>65</v>
      </c>
      <c r="C85" s="956"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9" t="str">
        <f t="shared" ref="K85:K99" si="26">IF(B85&gt;$F$4,"",VLOOKUP(CONCATENATE("defaults_",$B85),defaults_20,10,0))</f>
        <v/>
      </c>
      <c r="L85" s="25"/>
      <c r="M85" s="316"/>
    </row>
    <row r="86" spans="1:13" ht="13">
      <c r="A86" s="240"/>
      <c r="B86" s="423">
        <v>66</v>
      </c>
      <c r="C86" s="956"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9" t="str">
        <f t="shared" si="26"/>
        <v/>
      </c>
      <c r="L86" s="25"/>
      <c r="M86" s="316"/>
    </row>
    <row r="87" spans="1:13" ht="13">
      <c r="A87" s="240"/>
      <c r="B87" s="423">
        <v>67</v>
      </c>
      <c r="C87" s="956"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9" t="str">
        <f t="shared" si="26"/>
        <v/>
      </c>
      <c r="L87" s="25"/>
      <c r="M87" s="316"/>
    </row>
    <row r="88" spans="1:13" ht="13">
      <c r="A88" s="240"/>
      <c r="B88" s="423">
        <v>68</v>
      </c>
      <c r="C88" s="956"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9" t="str">
        <f t="shared" si="26"/>
        <v/>
      </c>
      <c r="L88" s="25"/>
      <c r="M88" s="316"/>
    </row>
    <row r="89" spans="1:13" ht="13">
      <c r="A89" s="240"/>
      <c r="B89" s="423">
        <v>69</v>
      </c>
      <c r="C89" s="956"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9" t="str">
        <f t="shared" si="26"/>
        <v/>
      </c>
      <c r="L89" s="25"/>
      <c r="M89" s="316"/>
    </row>
    <row r="90" spans="1:13" ht="13">
      <c r="A90" s="240"/>
      <c r="B90" s="423">
        <v>70</v>
      </c>
      <c r="C90" s="956"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9" t="str">
        <f t="shared" si="26"/>
        <v/>
      </c>
      <c r="L90" s="25"/>
      <c r="M90" s="316"/>
    </row>
    <row r="91" spans="1:13" ht="13">
      <c r="A91" s="240"/>
      <c r="B91" s="423">
        <v>71</v>
      </c>
      <c r="C91" s="956"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9" t="str">
        <f t="shared" si="26"/>
        <v/>
      </c>
      <c r="L91" s="25"/>
      <c r="M91" s="316"/>
    </row>
    <row r="92" spans="1:13" ht="13">
      <c r="A92" s="240"/>
      <c r="B92" s="423">
        <v>72</v>
      </c>
      <c r="C92" s="956"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9" t="str">
        <f t="shared" si="26"/>
        <v/>
      </c>
      <c r="L92" s="25"/>
      <c r="M92" s="316"/>
    </row>
    <row r="93" spans="1:13" ht="13">
      <c r="A93" s="240"/>
      <c r="B93" s="423">
        <v>73</v>
      </c>
      <c r="C93" s="956"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9" t="str">
        <f t="shared" si="26"/>
        <v/>
      </c>
      <c r="L93" s="25"/>
      <c r="M93" s="316"/>
    </row>
    <row r="94" spans="1:13" ht="13">
      <c r="A94" s="240"/>
      <c r="B94" s="423">
        <v>74</v>
      </c>
      <c r="C94" s="956"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9" t="str">
        <f t="shared" si="26"/>
        <v/>
      </c>
      <c r="L94" s="25"/>
      <c r="M94" s="316"/>
    </row>
    <row r="95" spans="1:13" ht="13">
      <c r="A95" s="240"/>
      <c r="B95" s="423">
        <v>75</v>
      </c>
      <c r="C95" s="956"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9" t="str">
        <f t="shared" si="26"/>
        <v/>
      </c>
      <c r="L95" s="25"/>
      <c r="M95" s="316"/>
    </row>
    <row r="96" spans="1:13" ht="13">
      <c r="A96" s="240"/>
      <c r="B96" s="423">
        <v>76</v>
      </c>
      <c r="C96" s="956"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9" t="str">
        <f t="shared" si="26"/>
        <v/>
      </c>
      <c r="L96" s="25"/>
      <c r="M96" s="316"/>
    </row>
    <row r="97" spans="1:13" ht="13">
      <c r="A97" s="240"/>
      <c r="B97" s="423">
        <v>77</v>
      </c>
      <c r="C97" s="956"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9" t="str">
        <f t="shared" si="26"/>
        <v/>
      </c>
      <c r="L97" s="25"/>
      <c r="M97" s="316"/>
    </row>
    <row r="98" spans="1:13" ht="13">
      <c r="A98" s="240"/>
      <c r="B98" s="423">
        <v>78</v>
      </c>
      <c r="C98" s="956"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9" t="str">
        <f t="shared" si="26"/>
        <v/>
      </c>
      <c r="L98" s="25"/>
      <c r="M98" s="316"/>
    </row>
    <row r="99" spans="1:13" ht="13">
      <c r="A99" s="240"/>
      <c r="B99" s="423">
        <v>79</v>
      </c>
      <c r="C99" s="956"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9" t="str">
        <f t="shared" si="26"/>
        <v/>
      </c>
      <c r="L99" s="25"/>
      <c r="M99" s="316"/>
    </row>
    <row r="100" spans="1:13" ht="13">
      <c r="A100" s="240"/>
      <c r="B100" s="865">
        <v>80</v>
      </c>
      <c r="C100" s="957"/>
      <c r="D100" s="866"/>
      <c r="E100" s="866"/>
      <c r="F100" s="866"/>
      <c r="G100" s="867"/>
      <c r="H100" s="868"/>
      <c r="I100" s="869"/>
      <c r="J100" s="868"/>
      <c r="K100" s="960"/>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topLeftCell="B9"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45940</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45944</v>
      </c>
      <c r="G3" s="784"/>
      <c r="H3" s="784"/>
      <c r="I3" s="784"/>
      <c r="J3" s="784"/>
      <c r="K3" s="784"/>
      <c r="L3" s="786"/>
      <c r="M3" s="247"/>
    </row>
    <row r="4" spans="1:13">
      <c r="A4" s="285"/>
      <c r="B4" s="787"/>
      <c r="C4" s="718"/>
      <c r="D4" s="783" t="str">
        <f>'Cover Sheet'!D4</f>
        <v>Period  No</v>
      </c>
      <c r="E4" s="784"/>
      <c r="F4" s="788">
        <f>'Cover Sheet'!F4</f>
        <v>59</v>
      </c>
      <c r="G4" s="784"/>
      <c r="H4" s="789"/>
      <c r="I4" s="784"/>
      <c r="J4" s="790"/>
      <c r="K4" s="784"/>
      <c r="L4" s="786"/>
      <c r="M4" s="247"/>
    </row>
    <row r="5" spans="1:13" ht="17.25" customHeight="1">
      <c r="A5" s="285"/>
      <c r="B5" s="258" t="s">
        <v>165</v>
      </c>
      <c r="C5" s="258"/>
      <c r="D5" s="783" t="str">
        <f>'Cover Sheet'!D5</f>
        <v>Monthly Period</v>
      </c>
      <c r="E5" s="784"/>
      <c r="F5" s="124">
        <f>'Cover Sheet'!F5</f>
        <v>45944</v>
      </c>
      <c r="G5" s="784"/>
      <c r="H5" s="789"/>
      <c r="I5" s="784"/>
      <c r="J5" s="790"/>
      <c r="K5" s="784"/>
      <c r="L5" s="786"/>
      <c r="M5" s="247"/>
    </row>
    <row r="6" spans="1:13" ht="15" customHeight="1">
      <c r="A6" s="285"/>
      <c r="B6" s="791"/>
      <c r="C6" s="792"/>
      <c r="D6" s="783" t="str">
        <f>'Cover Sheet'!D6</f>
        <v>Interest Period</v>
      </c>
      <c r="E6" s="790" t="s">
        <v>34</v>
      </c>
      <c r="F6" s="785">
        <f>'Cover Sheet'!F6</f>
        <v>45915</v>
      </c>
      <c r="G6" s="790" t="str">
        <f>'Cover Sheet'!G6</f>
        <v>to</v>
      </c>
      <c r="H6" s="785">
        <f>'Cover Sheet'!H6</f>
        <v>45944</v>
      </c>
      <c r="I6" s="784" t="str">
        <f>'Cover Sheet'!I6</f>
        <v>=</v>
      </c>
      <c r="J6" s="793" t="str">
        <f>'Cover Sheet'!J6</f>
        <v>29 days</v>
      </c>
      <c r="K6" s="790"/>
      <c r="L6" s="794"/>
      <c r="M6" s="247"/>
    </row>
    <row r="7" spans="1:13" s="248" customFormat="1" ht="12.75" customHeight="1">
      <c r="A7" s="285"/>
      <c r="B7" s="25"/>
      <c r="C7" s="25"/>
      <c r="D7" s="795" t="str">
        <f>'Cover Sheet'!D7</f>
        <v>Collection Period</v>
      </c>
      <c r="E7" s="796" t="s">
        <v>34</v>
      </c>
      <c r="F7" s="797" t="str">
        <f>'Cover Sheet'!F7</f>
        <v>01.09.2025</v>
      </c>
      <c r="G7" s="796" t="str">
        <f>'Cover Sheet'!G7</f>
        <v>to</v>
      </c>
      <c r="H7" s="797">
        <f>'Cover Sheet'!H7</f>
        <v>45930</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5">
        <f>VLOOKUP(F4,'3.3 Defaults &amp; Recoveries p.p.'!B20:K100,10,FALSE)</f>
        <v>3.6490289165555606E-2</v>
      </c>
      <c r="G35" s="801"/>
      <c r="H35" s="141"/>
      <c r="I35" s="801"/>
      <c r="J35" s="801"/>
      <c r="K35" s="801"/>
      <c r="L35" s="801"/>
      <c r="M35" s="247"/>
    </row>
    <row r="36" spans="1:13">
      <c r="A36" s="285"/>
      <c r="B36" s="806" t="s">
        <v>404</v>
      </c>
      <c r="C36" s="807"/>
      <c r="D36" s="811">
        <v>2.5000000000000001E-2</v>
      </c>
      <c r="E36" s="801"/>
      <c r="F36" s="986"/>
      <c r="G36" s="801"/>
      <c r="H36" s="141"/>
      <c r="I36" s="801"/>
      <c r="J36" s="801"/>
      <c r="K36" s="801"/>
      <c r="L36" s="801"/>
      <c r="M36" s="247"/>
    </row>
    <row r="37" spans="1:13">
      <c r="A37" s="285"/>
      <c r="B37" s="806" t="s">
        <v>405</v>
      </c>
      <c r="C37" s="807"/>
      <c r="D37" s="811">
        <v>3.5000000000000003E-2</v>
      </c>
      <c r="E37" s="801"/>
      <c r="F37" s="986"/>
      <c r="G37" s="801"/>
      <c r="H37" s="141"/>
      <c r="I37" s="801"/>
      <c r="J37" s="801"/>
      <c r="K37" s="801"/>
      <c r="L37" s="801"/>
      <c r="M37" s="247"/>
    </row>
    <row r="38" spans="1:13">
      <c r="A38" s="285"/>
      <c r="B38" s="806" t="s">
        <v>406</v>
      </c>
      <c r="C38" s="807"/>
      <c r="D38" s="811">
        <v>4.4999999999999998E-2</v>
      </c>
      <c r="E38" s="801"/>
      <c r="F38" s="986"/>
      <c r="G38" s="801"/>
      <c r="H38" s="141"/>
      <c r="I38" s="801"/>
      <c r="J38" s="801"/>
      <c r="K38" s="801"/>
      <c r="L38" s="801"/>
      <c r="M38" s="247"/>
    </row>
    <row r="39" spans="1:13" ht="19.5" customHeight="1">
      <c r="A39" s="285"/>
      <c r="B39" s="806" t="s">
        <v>390</v>
      </c>
      <c r="C39" s="807"/>
      <c r="D39" s="935">
        <v>0</v>
      </c>
      <c r="E39" s="817"/>
      <c r="F39" s="935">
        <f>'3.2 Default Data'!F74</f>
        <v>0</v>
      </c>
      <c r="G39" s="801"/>
      <c r="H39" s="141"/>
      <c r="I39" s="801"/>
      <c r="J39" s="801"/>
      <c r="K39" s="801"/>
      <c r="L39" s="801"/>
      <c r="M39" s="247"/>
    </row>
    <row r="40" spans="1:13" ht="25">
      <c r="A40" s="285"/>
      <c r="B40" s="818" t="s">
        <v>533</v>
      </c>
      <c r="C40" s="811">
        <v>0.1</v>
      </c>
      <c r="D40" s="811"/>
      <c r="E40" s="801"/>
      <c r="F40" s="812">
        <f>'1. Portfolio Information'!F28/'1.1 Portfolio Information p.p.'!C15</f>
        <v>0.13545897205197763</v>
      </c>
      <c r="G40" s="801"/>
      <c r="H40" s="141"/>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2" t="s">
        <v>246</v>
      </c>
      <c r="E50" s="735"/>
      <c r="F50" s="952"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e4999602486bdee9f40e0d0746b169aa">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6ed4baac4df7eea6b94a0f927ee2ac74"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Props1.xml><?xml version="1.0" encoding="utf-8"?>
<ds:datastoreItem xmlns:ds="http://schemas.openxmlformats.org/officeDocument/2006/customXml" ds:itemID="{D3A024EF-775E-4107-BF87-7DCF1DB02A04}">
  <ds:schemaRefs>
    <ds:schemaRef ds:uri="http://schemas.microsoft.com/sharepoint/v3/contenttype/forms"/>
  </ds:schemaRefs>
</ds:datastoreItem>
</file>

<file path=customXml/itemProps2.xml><?xml version="1.0" encoding="utf-8"?>
<ds:datastoreItem xmlns:ds="http://schemas.openxmlformats.org/officeDocument/2006/customXml" ds:itemID="{4244F95B-B110-4720-A8C3-300B96E4C9E4}"/>
</file>

<file path=customXml/itemProps3.xml><?xml version="1.0" encoding="utf-8"?>
<ds:datastoreItem xmlns:ds="http://schemas.openxmlformats.org/officeDocument/2006/customXml" ds:itemID="{A25A2ACD-C5E7-4E5A-AF1F-06BF96C66A62}">
  <ds:schemaRefs>
    <ds:schemaRef ds:uri="http://purl.org/dc/terms/"/>
    <ds:schemaRef ds:uri="68fc8b58-9c08-4d09-91a0-3a5ee18f717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3f61474-2a0e-4f92-a2ee-dae8dd733a5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2024-12-11T06:42:11Z</dcterms:created>
  <dcterms:modified xsi:type="dcterms:W3CDTF">2025-10-10T11:55:10Z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y fmtid="{D5CDD505-2E9C-101B-9397-08002B2CF9AE}" pid="9" name="ContentTypeId">
    <vt:lpwstr>0x01010026FB88C6EFD6C84A827CB91382B26CA5</vt:lpwstr>
  </property>
  <property fmtid="{D5CDD505-2E9C-101B-9397-08002B2CF9AE}" pid="10" name="Order">
    <vt:r8>4451400</vt:r8>
  </property>
  <property fmtid="{D5CDD505-2E9C-101B-9397-08002B2CF9AE}" pid="11" name="MediaServiceImageTags">
    <vt:lpwstr/>
  </property>
  <property fmtid="{D5CDD505-2E9C-101B-9397-08002B2CF9AE}" pid="12" name="xd_Signature">
    <vt:bool>false</vt:bool>
  </property>
  <property fmtid="{D5CDD505-2E9C-101B-9397-08002B2CF9AE}" pid="13" name="xd_ProgID">
    <vt:lpwstr/>
  </property>
  <property fmtid="{D5CDD505-2E9C-101B-9397-08002B2CF9AE}" pid="14" name="_SourceUrl">
    <vt:lpwstr/>
  </property>
  <property fmtid="{D5CDD505-2E9C-101B-9397-08002B2CF9AE}" pid="15" name="_SharedFileIndex">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ies>
</file>