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DieseArbeitsmappe" defaultThemeVersion="124226"/>
  <xr:revisionPtr revIDLastSave="0" documentId="8_{8F780764-61DB-41D7-988E-BE4BC3D0B0D0}" xr6:coauthVersionLast="47" xr6:coauthVersionMax="47" xr10:uidLastSave="{00000000-0000-0000-0000-000000000000}"/>
  <bookViews>
    <workbookView xWindow="28800" yWindow="0" windowWidth="25800" windowHeight="2100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calc_data" sheetId="93" state="hidden" r:id="rId38"/>
    <sheet name="Daten" sheetId="94" state="hidden" r:id="rId39"/>
    <sheet name="rating" sheetId="95" state="hidden" r:id="rId40"/>
    <sheet name="portfolio" sheetId="96" state="hidden" r:id="rId41"/>
    <sheet name="delinquency" sheetId="97" state="hidden" r:id="rId42"/>
    <sheet name="default" sheetId="98" state="hidden" r:id="rId43"/>
  </sheets>
  <externalReferences>
    <externalReference r:id="rId44"/>
    <externalReference r:id="rId45"/>
  </externalReferences>
  <definedNames>
    <definedName name="Assets">[1]Daten!$B:$D</definedName>
    <definedName name="Assets_21">Daten!$B:$D</definedName>
    <definedName name="Assets_Daten">[2]Daten!$B:$E</definedName>
    <definedName name="calc_data">calc_data!$A$1:$E$245</definedName>
    <definedName name="calcdata">[2]calc_data!$B:$E</definedName>
    <definedName name="calcdata_21">calc_data!$B:$E</definedName>
    <definedName name="calcdata_22">[1]calc_data!$B:$E</definedName>
    <definedName name="Counterparties">'21. Counterparties'!$B$2</definedName>
    <definedName name="daten">Daten!$A$1:$D$347</definedName>
    <definedName name="default">default!$A$1:$K$88</definedName>
    <definedName name="defaults">[2]default!$B:$K</definedName>
    <definedName name="defaults_21">default!$B:$K</definedName>
    <definedName name="delinquencies">[2]delinquency!$B:$K</definedName>
    <definedName name="delinquencies_21">delinquency!$B:$K</definedName>
    <definedName name="delinquency">delinquency!$A$1:$K$86</definedName>
    <definedName name="_xlnm.Print_Area" localSheetId="2">'1. Portfolio Information'!$A$1:$K$51</definedName>
    <definedName name="_xlnm.Print_Area" localSheetId="3">'1.1 Portfolio Information p.p.'!$A$1:$K$95</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Costs'!$A$1:$U$68</definedName>
    <definedName name="_xlnm.Print_Area" localSheetId="4">'2. Reserve Accounts'!$A$1:$K$46</definedName>
    <definedName name="_xlnm.Print_Area" localSheetId="31">'20. Retention'!$A$1:$K$24</definedName>
    <definedName name="_xlnm.Print_Area" localSheetId="32">'21. Counterparties'!$A$1:$M$74</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Limits'!$A$1:$M$63</definedName>
    <definedName name="_xlnm.Print_Area" localSheetId="9">'5. Outstanding Notes'!$A$1:$S$55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portfolio!$A$1:$G$44</definedName>
    <definedName name="portfolio_p.p">[2]portfolio!$B:$G</definedName>
    <definedName name="portfolio_p.p_21">portfolio!$B:$G</definedName>
    <definedName name="rating">rating!$A$1:$S$20</definedName>
    <definedName name="rating_21">rating!$B:$Z</definedName>
    <definedName name="ratings">[2]rating!$B:$S</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82" l="1"/>
  <c r="E6" i="82"/>
  <c r="E5" i="82"/>
  <c r="E4" i="82"/>
  <c r="E3" i="82"/>
  <c r="B3" i="82"/>
  <c r="E2" i="82"/>
  <c r="B2" i="82"/>
  <c r="B36" i="72"/>
  <c r="I32" i="72"/>
  <c r="H32" i="72"/>
  <c r="G32" i="72"/>
  <c r="F32" i="72"/>
  <c r="E32" i="72"/>
  <c r="D32" i="72"/>
  <c r="I30" i="72"/>
  <c r="H30" i="72"/>
  <c r="G30" i="72"/>
  <c r="F30" i="72"/>
  <c r="E30" i="72"/>
  <c r="D30" i="72"/>
  <c r="I28" i="72"/>
  <c r="H28" i="72"/>
  <c r="G28" i="72"/>
  <c r="F28" i="72"/>
  <c r="E28" i="72"/>
  <c r="D28" i="72"/>
  <c r="E7" i="72"/>
  <c r="E6" i="72"/>
  <c r="E5" i="72"/>
  <c r="E4" i="72"/>
  <c r="E3" i="72"/>
  <c r="B3" i="72"/>
  <c r="E2" i="72"/>
  <c r="B2" i="72"/>
  <c r="B41" i="89"/>
  <c r="C33" i="89"/>
  <c r="C32" i="89"/>
  <c r="C31" i="89"/>
  <c r="C30" i="89"/>
  <c r="L29" i="89"/>
  <c r="C29" i="89"/>
  <c r="L28" i="89"/>
  <c r="I24" i="89"/>
  <c r="H24" i="89"/>
  <c r="G24" i="89"/>
  <c r="F24" i="89"/>
  <c r="E24" i="89"/>
  <c r="D24" i="89"/>
  <c r="D7" i="89"/>
  <c r="D6" i="89"/>
  <c r="D5" i="89"/>
  <c r="D4" i="89"/>
  <c r="D3" i="89"/>
  <c r="B3" i="89"/>
  <c r="D2" i="89"/>
  <c r="B2" i="89"/>
  <c r="D7" i="79"/>
  <c r="D6" i="79"/>
  <c r="D5" i="79"/>
  <c r="D4" i="79"/>
  <c r="D3" i="79"/>
  <c r="B3" i="79"/>
  <c r="D2" i="79"/>
  <c r="B2" i="79"/>
  <c r="B74" i="78"/>
  <c r="I58" i="78"/>
  <c r="H58" i="78"/>
  <c r="G58" i="78"/>
  <c r="F58" i="78"/>
  <c r="E58" i="78"/>
  <c r="D58" i="78"/>
  <c r="I53" i="78"/>
  <c r="H53" i="78"/>
  <c r="G53" i="78"/>
  <c r="F53" i="78"/>
  <c r="E53" i="78"/>
  <c r="D53" i="78"/>
  <c r="I47" i="78"/>
  <c r="H47" i="78"/>
  <c r="G47" i="78"/>
  <c r="F47" i="78"/>
  <c r="E47" i="78"/>
  <c r="D47" i="78"/>
  <c r="I41" i="78"/>
  <c r="H41" i="78"/>
  <c r="G41" i="78"/>
  <c r="F41" i="78"/>
  <c r="E41" i="78"/>
  <c r="D41" i="78"/>
  <c r="I36" i="78"/>
  <c r="H36" i="78"/>
  <c r="G36" i="78"/>
  <c r="F36" i="78"/>
  <c r="E36" i="78"/>
  <c r="D36" i="78"/>
  <c r="I30" i="78"/>
  <c r="H30" i="78"/>
  <c r="G30" i="78"/>
  <c r="F30" i="78"/>
  <c r="E30" i="78"/>
  <c r="D30" i="78"/>
  <c r="I25" i="78"/>
  <c r="H25" i="78"/>
  <c r="G25" i="78"/>
  <c r="F25" i="78"/>
  <c r="E25" i="78"/>
  <c r="D25" i="78"/>
  <c r="I20" i="78"/>
  <c r="H20" i="78"/>
  <c r="G20" i="78"/>
  <c r="F20" i="78"/>
  <c r="E20" i="78"/>
  <c r="D20"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S66" i="83"/>
  <c r="D66" i="83" s="1"/>
  <c r="S65" i="83"/>
  <c r="Q65" i="83"/>
  <c r="O65" i="83"/>
  <c r="M65" i="83"/>
  <c r="K65" i="83"/>
  <c r="I65" i="83"/>
  <c r="G65" i="83"/>
  <c r="E65" i="83"/>
  <c r="D65" i="83"/>
  <c r="S64" i="83"/>
  <c r="Q64" i="83"/>
  <c r="O64" i="83"/>
  <c r="M64" i="83"/>
  <c r="K64" i="83"/>
  <c r="I64" i="83"/>
  <c r="G64" i="83"/>
  <c r="E64" i="83"/>
  <c r="D64" i="83" s="1"/>
  <c r="S63" i="83"/>
  <c r="Q63" i="83"/>
  <c r="O63" i="83"/>
  <c r="M63" i="83"/>
  <c r="K63" i="83"/>
  <c r="I63" i="83"/>
  <c r="G63" i="83"/>
  <c r="E63" i="83"/>
  <c r="D63" i="83" s="1"/>
  <c r="S62" i="83"/>
  <c r="Q62" i="83"/>
  <c r="O62" i="83"/>
  <c r="M62" i="83"/>
  <c r="K62" i="83"/>
  <c r="I62" i="83"/>
  <c r="G62" i="83"/>
  <c r="D62" i="83" s="1"/>
  <c r="E62" i="83"/>
  <c r="S61" i="83"/>
  <c r="Q61" i="83"/>
  <c r="O61" i="83"/>
  <c r="M61" i="83"/>
  <c r="K61" i="83"/>
  <c r="I61" i="83"/>
  <c r="G61" i="83"/>
  <c r="E61" i="83"/>
  <c r="D61" i="83" s="1"/>
  <c r="S60" i="83"/>
  <c r="Q60" i="83"/>
  <c r="O60" i="83"/>
  <c r="M60" i="83"/>
  <c r="K60" i="83"/>
  <c r="I60" i="83"/>
  <c r="G60" i="83"/>
  <c r="D60" i="83" s="1"/>
  <c r="E60" i="83"/>
  <c r="E53" i="83"/>
  <c r="E52" i="83"/>
  <c r="E51"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M31" i="83"/>
  <c r="E31" i="83"/>
  <c r="D59" i="83" s="1"/>
  <c r="M30" i="83"/>
  <c r="E30"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F20" i="69" s="1"/>
  <c r="D20" i="69"/>
  <c r="H19" i="69"/>
  <c r="F19" i="69"/>
  <c r="D19" i="69"/>
  <c r="H18" i="69"/>
  <c r="D18" i="69"/>
  <c r="H17" i="69"/>
  <c r="F17" i="69"/>
  <c r="D17" i="69"/>
  <c r="H16" i="69"/>
  <c r="F16" i="69" s="1"/>
  <c r="D16" i="69"/>
  <c r="H15" i="69"/>
  <c r="F15" i="69"/>
  <c r="D15" i="69"/>
  <c r="H14" i="69"/>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F20" i="49"/>
  <c r="E20" i="49"/>
  <c r="G19" i="49"/>
  <c r="E19" i="49"/>
  <c r="G18" i="49"/>
  <c r="E18" i="49"/>
  <c r="G17" i="49"/>
  <c r="E17" i="49"/>
  <c r="G16" i="49"/>
  <c r="E16" i="49"/>
  <c r="G15" i="49"/>
  <c r="E15" i="49"/>
  <c r="G14" i="49"/>
  <c r="F14" i="49"/>
  <c r="E14" i="49"/>
  <c r="E29" i="49" s="1"/>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H27" i="47"/>
  <c r="G27" i="47"/>
  <c r="E27" i="47"/>
  <c r="G26" i="47"/>
  <c r="E26" i="47"/>
  <c r="H25" i="47"/>
  <c r="G25" i="47"/>
  <c r="E25" i="47"/>
  <c r="G24" i="47"/>
  <c r="E24" i="47"/>
  <c r="H23" i="47"/>
  <c r="G23" i="47"/>
  <c r="E23" i="47"/>
  <c r="G22" i="47"/>
  <c r="E22" i="47"/>
  <c r="H21" i="47"/>
  <c r="G21" i="47"/>
  <c r="E21" i="47"/>
  <c r="G20" i="47"/>
  <c r="E20" i="47"/>
  <c r="H19" i="47"/>
  <c r="G19" i="47"/>
  <c r="E19" i="47"/>
  <c r="G18" i="47"/>
  <c r="E18" i="47"/>
  <c r="H17" i="47"/>
  <c r="G17" i="47"/>
  <c r="E17" i="47"/>
  <c r="G16" i="47"/>
  <c r="E16" i="47"/>
  <c r="H15" i="47"/>
  <c r="G15" i="47"/>
  <c r="E15" i="47"/>
  <c r="G14" i="47"/>
  <c r="G28" i="47" s="1"/>
  <c r="H26" i="47" s="1"/>
  <c r="E14" i="47"/>
  <c r="E28" i="47" s="1"/>
  <c r="G7" i="47"/>
  <c r="E7" i="47"/>
  <c r="D7" i="47"/>
  <c r="I6" i="47"/>
  <c r="G6" i="47"/>
  <c r="E6" i="47"/>
  <c r="D6" i="47"/>
  <c r="D5" i="47"/>
  <c r="D4" i="47"/>
  <c r="D3" i="47"/>
  <c r="B3" i="47"/>
  <c r="D2" i="47"/>
  <c r="B2" i="47"/>
  <c r="G22" i="46"/>
  <c r="F22" i="46"/>
  <c r="E22" i="46"/>
  <c r="G21" i="46"/>
  <c r="G23" i="46" s="1"/>
  <c r="F21" i="46"/>
  <c r="F23" i="46" s="1"/>
  <c r="E21" i="46"/>
  <c r="E23" i="46" s="1"/>
  <c r="G15" i="46"/>
  <c r="E15" i="46"/>
  <c r="G14" i="46"/>
  <c r="E14" i="46"/>
  <c r="E16" i="46" s="1"/>
  <c r="F14" i="46" s="1"/>
  <c r="G7" i="46"/>
  <c r="E7" i="46"/>
  <c r="D7" i="46"/>
  <c r="I6" i="46"/>
  <c r="G6" i="46"/>
  <c r="E6" i="46"/>
  <c r="D6" i="46"/>
  <c r="D5" i="46"/>
  <c r="D4" i="46"/>
  <c r="D3" i="46"/>
  <c r="B3" i="46"/>
  <c r="D2" i="46"/>
  <c r="B2" i="46"/>
  <c r="G15" i="44"/>
  <c r="E15" i="44"/>
  <c r="G14" i="44"/>
  <c r="G16" i="44" s="1"/>
  <c r="E14" i="44"/>
  <c r="G7" i="44"/>
  <c r="E7" i="44"/>
  <c r="D7" i="44"/>
  <c r="I6" i="44"/>
  <c r="G6" i="44"/>
  <c r="E6" i="44"/>
  <c r="D6" i="44"/>
  <c r="D5" i="44"/>
  <c r="D4" i="44"/>
  <c r="D3" i="44"/>
  <c r="B3" i="44"/>
  <c r="D2" i="44"/>
  <c r="B2" i="44"/>
  <c r="G15" i="43"/>
  <c r="F15" i="43"/>
  <c r="E15" i="43"/>
  <c r="G14" i="43"/>
  <c r="G16" i="43" s="1"/>
  <c r="F14" i="43"/>
  <c r="F16" i="43" s="1"/>
  <c r="E14" i="43"/>
  <c r="E16" i="43" s="1"/>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G29" i="42"/>
  <c r="F29" i="42"/>
  <c r="E29" i="42"/>
  <c r="G28" i="42"/>
  <c r="E28" i="42"/>
  <c r="G27" i="42"/>
  <c r="F27" i="42"/>
  <c r="E27" i="42"/>
  <c r="G26" i="42"/>
  <c r="E26" i="42"/>
  <c r="G25" i="42"/>
  <c r="F25" i="42"/>
  <c r="E25" i="42"/>
  <c r="G24" i="42"/>
  <c r="E24" i="42"/>
  <c r="G23" i="42"/>
  <c r="F23" i="42"/>
  <c r="E23" i="42"/>
  <c r="G22" i="42"/>
  <c r="E22" i="42"/>
  <c r="G21" i="42"/>
  <c r="F21" i="42"/>
  <c r="E21" i="42"/>
  <c r="G20" i="42"/>
  <c r="E20" i="42"/>
  <c r="G19" i="42"/>
  <c r="F19" i="42"/>
  <c r="E19" i="42"/>
  <c r="G18" i="42"/>
  <c r="E18" i="42"/>
  <c r="G17" i="42"/>
  <c r="F17" i="42"/>
  <c r="E17" i="42"/>
  <c r="G16" i="42"/>
  <c r="E16" i="42"/>
  <c r="G15" i="42"/>
  <c r="F15" i="42"/>
  <c r="E15" i="42"/>
  <c r="G14" i="42"/>
  <c r="E14" i="42"/>
  <c r="E31" i="42" s="1"/>
  <c r="F30" i="42" s="1"/>
  <c r="G7" i="42"/>
  <c r="E7" i="42"/>
  <c r="D7" i="42"/>
  <c r="I6" i="42"/>
  <c r="G6" i="42"/>
  <c r="E6" i="42"/>
  <c r="D6" i="42"/>
  <c r="D5" i="42"/>
  <c r="D4" i="42"/>
  <c r="D3" i="42"/>
  <c r="B3" i="42"/>
  <c r="D2" i="42"/>
  <c r="B2" i="42"/>
  <c r="E16" i="41"/>
  <c r="G15" i="41"/>
  <c r="E15" i="41"/>
  <c r="F15" i="41" s="1"/>
  <c r="H14" i="41"/>
  <c r="G14" i="41"/>
  <c r="F14" i="4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P46" i="84"/>
  <c r="P47" i="84" s="1"/>
  <c r="N46" i="84"/>
  <c r="L46" i="84"/>
  <c r="J46" i="84"/>
  <c r="H46" i="84"/>
  <c r="F46" i="84"/>
  <c r="D46" i="84"/>
  <c r="P45" i="84"/>
  <c r="N45" i="84"/>
  <c r="L45" i="84"/>
  <c r="J45" i="84"/>
  <c r="H45" i="84"/>
  <c r="F45" i="84"/>
  <c r="D45" i="84"/>
  <c r="J41" i="84"/>
  <c r="C40" i="84"/>
  <c r="C38" i="84"/>
  <c r="H35" i="84"/>
  <c r="P32" i="84"/>
  <c r="P43" i="84" s="1"/>
  <c r="P31" i="84"/>
  <c r="N31" i="84"/>
  <c r="L31" i="84"/>
  <c r="J31" i="84"/>
  <c r="H31" i="84"/>
  <c r="H33" i="84" s="1"/>
  <c r="F31" i="84"/>
  <c r="D31" i="84"/>
  <c r="C30" i="84"/>
  <c r="C29" i="84"/>
  <c r="P27" i="84"/>
  <c r="N27" i="84"/>
  <c r="L27" i="84"/>
  <c r="J27" i="84"/>
  <c r="J33" i="84" s="1"/>
  <c r="J35" i="84" s="1"/>
  <c r="H27" i="84"/>
  <c r="F27" i="84"/>
  <c r="F33" i="84" s="1"/>
  <c r="F35" i="84" s="1"/>
  <c r="D27" i="84"/>
  <c r="P24" i="84"/>
  <c r="N24" i="84"/>
  <c r="N42" i="84" s="1"/>
  <c r="L24" i="84"/>
  <c r="J24" i="84"/>
  <c r="D24" i="84"/>
  <c r="D32" i="84" s="1"/>
  <c r="D43" i="84" s="1"/>
  <c r="N23" i="84"/>
  <c r="L23" i="84"/>
  <c r="J23" i="84"/>
  <c r="H23" i="84"/>
  <c r="H24" i="84" s="1"/>
  <c r="F23" i="84"/>
  <c r="F24" i="84" s="1"/>
  <c r="C22" i="84"/>
  <c r="J17" i="84" s="1"/>
  <c r="N21" i="84"/>
  <c r="L21" i="84"/>
  <c r="J21" i="84"/>
  <c r="H21" i="84"/>
  <c r="F21" i="84"/>
  <c r="D21" i="84"/>
  <c r="P17" i="84"/>
  <c r="N51" i="84" s="1"/>
  <c r="N17" i="84"/>
  <c r="L51" i="84" s="1"/>
  <c r="F17" i="84"/>
  <c r="G7" i="84"/>
  <c r="D7" i="84"/>
  <c r="I6" i="84"/>
  <c r="G6" i="84"/>
  <c r="D6" i="84"/>
  <c r="D5" i="84"/>
  <c r="D4" i="84"/>
  <c r="D3" i="84"/>
  <c r="B3" i="84"/>
  <c r="D2" i="84"/>
  <c r="B2" i="84"/>
  <c r="D40" i="85"/>
  <c r="H24" i="85"/>
  <c r="G7" i="85"/>
  <c r="D7" i="85"/>
  <c r="I6" i="85"/>
  <c r="G6" i="85"/>
  <c r="D6" i="85"/>
  <c r="D5" i="85"/>
  <c r="D4" i="85"/>
  <c r="D3" i="85"/>
  <c r="B3" i="85"/>
  <c r="D2" i="85"/>
  <c r="B2" i="85"/>
  <c r="G7" i="91"/>
  <c r="D7" i="91"/>
  <c r="I6" i="91"/>
  <c r="G6" i="91"/>
  <c r="D6" i="91"/>
  <c r="D5" i="91"/>
  <c r="D4" i="91"/>
  <c r="D3" i="91"/>
  <c r="B3" i="91"/>
  <c r="D2" i="91"/>
  <c r="B2" i="91"/>
  <c r="F74" i="87"/>
  <c r="F73" i="87"/>
  <c r="F72" i="87"/>
  <c r="F71" i="87"/>
  <c r="F68" i="87"/>
  <c r="F40" i="85" s="1"/>
  <c r="H40" i="85" s="1"/>
  <c r="F67" i="87"/>
  <c r="F66" i="87"/>
  <c r="F65" i="87"/>
  <c r="F62" i="87"/>
  <c r="F61" i="87"/>
  <c r="F60" i="87"/>
  <c r="F59" i="87"/>
  <c r="F56" i="87"/>
  <c r="F55" i="87"/>
  <c r="F54" i="87"/>
  <c r="F53" i="87"/>
  <c r="F50" i="87"/>
  <c r="F49" i="87"/>
  <c r="F48" i="87"/>
  <c r="F47" i="87"/>
  <c r="F44" i="87"/>
  <c r="F43" i="87"/>
  <c r="F42" i="87"/>
  <c r="F41" i="87"/>
  <c r="F38" i="87"/>
  <c r="F37" i="87"/>
  <c r="F36" i="87"/>
  <c r="F35" i="87"/>
  <c r="F27" i="87"/>
  <c r="F26" i="87"/>
  <c r="F28" i="87" s="1"/>
  <c r="H23" i="87"/>
  <c r="F21" i="87"/>
  <c r="F20" i="87"/>
  <c r="F22" i="87" s="1"/>
  <c r="G7" i="87"/>
  <c r="D7" i="87"/>
  <c r="I6" i="87"/>
  <c r="G6" i="87"/>
  <c r="D6" i="87"/>
  <c r="D5" i="87"/>
  <c r="D4" i="87"/>
  <c r="D3" i="87"/>
  <c r="B3" i="87"/>
  <c r="D2" i="87"/>
  <c r="B2" i="87"/>
  <c r="G7" i="86"/>
  <c r="D7" i="86"/>
  <c r="I6" i="86"/>
  <c r="G6" i="86"/>
  <c r="D6" i="86"/>
  <c r="D5" i="86"/>
  <c r="D4" i="86"/>
  <c r="D3" i="86"/>
  <c r="B3" i="86"/>
  <c r="D2" i="86"/>
  <c r="B2" i="86"/>
  <c r="D43" i="57"/>
  <c r="D42" i="57"/>
  <c r="D41" i="57"/>
  <c r="D38" i="57"/>
  <c r="D37" i="57"/>
  <c r="D32" i="57"/>
  <c r="D31" i="57"/>
  <c r="D28" i="57"/>
  <c r="D27" i="57"/>
  <c r="D25" i="57"/>
  <c r="D24" i="57"/>
  <c r="D23" i="57"/>
  <c r="D20" i="57"/>
  <c r="D19" i="57"/>
  <c r="D21" i="57" s="1"/>
  <c r="G7" i="57"/>
  <c r="E7" i="57"/>
  <c r="D7" i="57"/>
  <c r="I6" i="57"/>
  <c r="G6" i="57"/>
  <c r="E6" i="57"/>
  <c r="D6" i="57"/>
  <c r="D5" i="57"/>
  <c r="D4" i="57"/>
  <c r="D3" i="57"/>
  <c r="B3" i="57"/>
  <c r="D2" i="57"/>
  <c r="B2" i="57"/>
  <c r="G7" i="92"/>
  <c r="E7" i="92"/>
  <c r="D7" i="92"/>
  <c r="I6" i="92"/>
  <c r="G6" i="92"/>
  <c r="E6" i="92"/>
  <c r="D6" i="92"/>
  <c r="D5" i="92"/>
  <c r="D4" i="92"/>
  <c r="D3" i="92"/>
  <c r="B3" i="92"/>
  <c r="D2" i="92"/>
  <c r="B2" i="92"/>
  <c r="J32" i="70"/>
  <c r="F32" i="70"/>
  <c r="J30" i="70"/>
  <c r="F30" i="70"/>
  <c r="J28" i="70"/>
  <c r="F28" i="70"/>
  <c r="J26" i="70"/>
  <c r="F26" i="70"/>
  <c r="J24" i="70"/>
  <c r="F24" i="70"/>
  <c r="J22" i="70"/>
  <c r="F22" i="70"/>
  <c r="J20" i="70"/>
  <c r="F20" i="70"/>
  <c r="J15" i="70"/>
  <c r="F15" i="70"/>
  <c r="C15" i="70"/>
  <c r="G7" i="70"/>
  <c r="E7" i="70"/>
  <c r="D7" i="70"/>
  <c r="I6" i="70"/>
  <c r="H6" i="70"/>
  <c r="G6" i="70"/>
  <c r="F6" i="70"/>
  <c r="E6" i="70"/>
  <c r="D6" i="70"/>
  <c r="D5" i="70"/>
  <c r="F4" i="70"/>
  <c r="H4" i="70" s="1"/>
  <c r="D4" i="70"/>
  <c r="F3" i="70"/>
  <c r="D3" i="70"/>
  <c r="B3" i="70"/>
  <c r="F2" i="70"/>
  <c r="D2" i="70"/>
  <c r="B2" i="70"/>
  <c r="H7" i="56"/>
  <c r="H7" i="70" s="1"/>
  <c r="F7" i="56"/>
  <c r="F7" i="70" s="1"/>
  <c r="H6" i="56"/>
  <c r="F6" i="56"/>
  <c r="F5" i="56"/>
  <c r="F4" i="56"/>
  <c r="F3" i="56"/>
  <c r="F2" i="56"/>
  <c r="F2" i="57" s="1"/>
  <c r="F5" i="50" l="1"/>
  <c r="F5" i="90"/>
  <c r="F5" i="89"/>
  <c r="F5" i="71"/>
  <c r="H5" i="72"/>
  <c r="F5" i="79"/>
  <c r="G5" i="78"/>
  <c r="F5" i="65"/>
  <c r="F5" i="64"/>
  <c r="F5" i="67"/>
  <c r="F5" i="49"/>
  <c r="H5" i="82"/>
  <c r="F5" i="83"/>
  <c r="F5" i="47"/>
  <c r="F5" i="66"/>
  <c r="F5" i="48"/>
  <c r="F5" i="69"/>
  <c r="F5" i="43"/>
  <c r="F5" i="41"/>
  <c r="F5" i="44"/>
  <c r="F5" i="63"/>
  <c r="F5" i="85"/>
  <c r="F5" i="62"/>
  <c r="F5" i="61"/>
  <c r="F5" i="46"/>
  <c r="F5" i="40"/>
  <c r="F5" i="42"/>
  <c r="F5" i="37"/>
  <c r="F5" i="84"/>
  <c r="F5" i="91"/>
  <c r="F5" i="87"/>
  <c r="F5" i="86"/>
  <c r="F5" i="70"/>
  <c r="F5" i="92"/>
  <c r="F5" i="57"/>
  <c r="F6" i="89"/>
  <c r="F6" i="65"/>
  <c r="H6" i="72"/>
  <c r="F6" i="79"/>
  <c r="G6" i="78"/>
  <c r="F6" i="67"/>
  <c r="F6" i="49"/>
  <c r="F6" i="46"/>
  <c r="F6" i="42"/>
  <c r="F6" i="66"/>
  <c r="F6" i="69"/>
  <c r="F6" i="47"/>
  <c r="F6" i="44"/>
  <c r="F6" i="63"/>
  <c r="F6" i="62"/>
  <c r="H6" i="82"/>
  <c r="F6" i="83"/>
  <c r="F6" i="50"/>
  <c r="F6" i="71"/>
  <c r="F6" i="43"/>
  <c r="F6" i="41"/>
  <c r="F6" i="90"/>
  <c r="F6" i="40"/>
  <c r="F6" i="37"/>
  <c r="F6" i="48"/>
  <c r="F6" i="64"/>
  <c r="F6" i="84"/>
  <c r="F6" i="61"/>
  <c r="F6" i="91"/>
  <c r="F6" i="85"/>
  <c r="F6" i="87"/>
  <c r="F6" i="86"/>
  <c r="F6" i="57"/>
  <c r="F6" i="92"/>
  <c r="J6" i="72"/>
  <c r="H6" i="79"/>
  <c r="I6" i="78"/>
  <c r="H6" i="67"/>
  <c r="H6" i="49"/>
  <c r="H6" i="46"/>
  <c r="H6" i="42"/>
  <c r="H6" i="66"/>
  <c r="H6" i="69"/>
  <c r="H6" i="47"/>
  <c r="H6" i="44"/>
  <c r="H6" i="63"/>
  <c r="H6" i="83"/>
  <c r="H6" i="50"/>
  <c r="J6" i="82"/>
  <c r="H6" i="90"/>
  <c r="H6" i="43"/>
  <c r="H6" i="41"/>
  <c r="H6" i="71"/>
  <c r="H6" i="89"/>
  <c r="H6" i="65"/>
  <c r="H6" i="48"/>
  <c r="H6" i="61"/>
  <c r="H6" i="62"/>
  <c r="H6" i="64"/>
  <c r="H6" i="40"/>
  <c r="H6" i="37"/>
  <c r="H6" i="85"/>
  <c r="H6" i="84"/>
  <c r="H6" i="91"/>
  <c r="H6" i="87"/>
  <c r="H6" i="57"/>
  <c r="H6" i="86"/>
  <c r="J6" i="56"/>
  <c r="H6" i="92"/>
  <c r="F7" i="71"/>
  <c r="H7" i="82"/>
  <c r="F7" i="65"/>
  <c r="F7" i="64"/>
  <c r="F7" i="67"/>
  <c r="F7" i="49"/>
  <c r="F7" i="89"/>
  <c r="F7" i="66"/>
  <c r="F7" i="48"/>
  <c r="H7" i="72"/>
  <c r="F7" i="79"/>
  <c r="G7" i="78"/>
  <c r="F7" i="69"/>
  <c r="F7" i="83"/>
  <c r="F7" i="43"/>
  <c r="F7" i="41"/>
  <c r="F7" i="50"/>
  <c r="F7" i="44"/>
  <c r="F7" i="40"/>
  <c r="F7" i="85"/>
  <c r="F7" i="61"/>
  <c r="F7" i="62"/>
  <c r="F7" i="47"/>
  <c r="F7" i="63"/>
  <c r="F7" i="37"/>
  <c r="F7" i="84"/>
  <c r="F7" i="46"/>
  <c r="F7" i="42"/>
  <c r="F7" i="90"/>
  <c r="F7" i="91"/>
  <c r="F7" i="87"/>
  <c r="F7" i="86"/>
  <c r="F7" i="92"/>
  <c r="F7" i="57"/>
  <c r="J7" i="82"/>
  <c r="H7" i="64"/>
  <c r="H7" i="67"/>
  <c r="H7" i="49"/>
  <c r="H7" i="66"/>
  <c r="H7" i="48"/>
  <c r="H7" i="89"/>
  <c r="H7" i="69"/>
  <c r="J7" i="72"/>
  <c r="H7" i="79"/>
  <c r="I7" i="78"/>
  <c r="H7" i="50"/>
  <c r="H7" i="83"/>
  <c r="H7" i="90"/>
  <c r="H7" i="61"/>
  <c r="H7" i="71"/>
  <c r="H7" i="44"/>
  <c r="H7" i="63"/>
  <c r="H7" i="62"/>
  <c r="H7" i="42"/>
  <c r="H7" i="65"/>
  <c r="H7" i="40"/>
  <c r="H7" i="46"/>
  <c r="H7" i="47"/>
  <c r="H7" i="37"/>
  <c r="H7" i="41"/>
  <c r="H7" i="43"/>
  <c r="H7" i="85"/>
  <c r="H7" i="91"/>
  <c r="H7" i="84"/>
  <c r="H7" i="87"/>
  <c r="H7" i="86"/>
  <c r="H7" i="92"/>
  <c r="H7" i="57"/>
  <c r="F2" i="90"/>
  <c r="F2" i="43"/>
  <c r="F2" i="41"/>
  <c r="F2" i="89"/>
  <c r="F2" i="71"/>
  <c r="H2" i="72"/>
  <c r="F2" i="79"/>
  <c r="G2" i="78"/>
  <c r="F2" i="65"/>
  <c r="F2" i="67"/>
  <c r="F2" i="49"/>
  <c r="F2" i="46"/>
  <c r="F2" i="42"/>
  <c r="F2" i="66"/>
  <c r="F2" i="69"/>
  <c r="F2" i="40"/>
  <c r="F2" i="44"/>
  <c r="F2" i="63"/>
  <c r="F2" i="62"/>
  <c r="F2" i="50"/>
  <c r="F2" i="47"/>
  <c r="F2" i="83"/>
  <c r="H2" i="82"/>
  <c r="F2" i="48"/>
  <c r="F2" i="64"/>
  <c r="F2" i="37"/>
  <c r="F2" i="61"/>
  <c r="F2" i="84"/>
  <c r="F2" i="85"/>
  <c r="F37" i="85" s="1"/>
  <c r="F2" i="91"/>
  <c r="F2" i="87"/>
  <c r="F2" i="86"/>
  <c r="F2" i="92"/>
  <c r="N52" i="84"/>
  <c r="H52" i="84"/>
  <c r="J52" i="84"/>
  <c r="L52" i="84"/>
  <c r="F3" i="64"/>
  <c r="F3" i="67"/>
  <c r="F3" i="49"/>
  <c r="F3" i="66"/>
  <c r="F3" i="48"/>
  <c r="H3" i="82"/>
  <c r="F3" i="83"/>
  <c r="F3" i="69"/>
  <c r="F3" i="50"/>
  <c r="F3" i="90"/>
  <c r="H3" i="72"/>
  <c r="F3" i="79"/>
  <c r="G3" i="78"/>
  <c r="F3" i="65"/>
  <c r="F3" i="42"/>
  <c r="F3" i="61"/>
  <c r="F3" i="47"/>
  <c r="F3" i="46"/>
  <c r="F3" i="89"/>
  <c r="F3" i="41"/>
  <c r="F3" i="43"/>
  <c r="F3" i="63"/>
  <c r="F3" i="62"/>
  <c r="F3" i="44"/>
  <c r="F3" i="71"/>
  <c r="F3" i="40"/>
  <c r="F3" i="37"/>
  <c r="F3" i="85"/>
  <c r="F3" i="84"/>
  <c r="F3" i="91"/>
  <c r="F3" i="87"/>
  <c r="F3" i="92"/>
  <c r="F3" i="57"/>
  <c r="F3" i="86"/>
  <c r="F4" i="66"/>
  <c r="F4" i="48"/>
  <c r="H4" i="82"/>
  <c r="F4" i="83"/>
  <c r="F4" i="69"/>
  <c r="F4" i="50"/>
  <c r="F4" i="90"/>
  <c r="F4" i="89"/>
  <c r="F4" i="71"/>
  <c r="H4" i="72"/>
  <c r="F4" i="79"/>
  <c r="G4" i="78"/>
  <c r="F4" i="65"/>
  <c r="F4" i="62"/>
  <c r="F4" i="37"/>
  <c r="F4" i="49"/>
  <c r="F4" i="47"/>
  <c r="F4" i="46"/>
  <c r="F4" i="40"/>
  <c r="F4" i="67"/>
  <c r="F4" i="64"/>
  <c r="F4" i="43"/>
  <c r="F4" i="41"/>
  <c r="F4" i="44"/>
  <c r="F4" i="61"/>
  <c r="F4" i="42"/>
  <c r="F4" i="63"/>
  <c r="F4" i="84"/>
  <c r="F4" i="85"/>
  <c r="F4" i="91"/>
  <c r="F4" i="87"/>
  <c r="F4" i="57"/>
  <c r="F4" i="86"/>
  <c r="F4" i="92"/>
  <c r="H39" i="37"/>
  <c r="H15" i="40"/>
  <c r="H19" i="40"/>
  <c r="H51" i="84"/>
  <c r="N33" i="84"/>
  <c r="N41" i="84"/>
  <c r="L32" i="84"/>
  <c r="L43" i="84" s="1"/>
  <c r="F57" i="37"/>
  <c r="F32" i="84"/>
  <c r="F43" i="84" s="1"/>
  <c r="F47" i="84"/>
  <c r="P41" i="84"/>
  <c r="P44" i="84" s="1"/>
  <c r="P33" i="84"/>
  <c r="N32" i="84"/>
  <c r="N43" i="84" s="1"/>
  <c r="F35" i="37"/>
  <c r="F47" i="37"/>
  <c r="F14" i="37"/>
  <c r="E65" i="37"/>
  <c r="F15" i="37" s="1"/>
  <c r="F21" i="37"/>
  <c r="F28" i="37"/>
  <c r="H27" i="40"/>
  <c r="H47" i="84"/>
  <c r="H41" i="84"/>
  <c r="H44" i="84" s="1"/>
  <c r="G65" i="37"/>
  <c r="H23" i="37" s="1"/>
  <c r="H32" i="37"/>
  <c r="H58" i="37"/>
  <c r="F62" i="37"/>
  <c r="F26" i="47"/>
  <c r="F24" i="47"/>
  <c r="F22" i="47"/>
  <c r="F20" i="47"/>
  <c r="F18" i="47"/>
  <c r="F16" i="47"/>
  <c r="F14" i="47"/>
  <c r="F23" i="47"/>
  <c r="F15" i="47"/>
  <c r="F27" i="47"/>
  <c r="F19" i="47"/>
  <c r="F21" i="47"/>
  <c r="F25" i="47"/>
  <c r="F17" i="47"/>
  <c r="C27" i="84"/>
  <c r="D33" i="84"/>
  <c r="F52" i="84" s="1"/>
  <c r="D41" i="84"/>
  <c r="D44" i="84" s="1"/>
  <c r="F37" i="37"/>
  <c r="F41" i="84"/>
  <c r="L47" i="84"/>
  <c r="H25" i="37"/>
  <c r="H33" i="37"/>
  <c r="N47" i="84"/>
  <c r="F30" i="37"/>
  <c r="H26" i="37"/>
  <c r="H30" i="37"/>
  <c r="H56" i="37"/>
  <c r="H49" i="40"/>
  <c r="H18" i="42"/>
  <c r="H40" i="37"/>
  <c r="H17" i="40"/>
  <c r="F35" i="40"/>
  <c r="H14" i="43"/>
  <c r="H16" i="43" s="1"/>
  <c r="H15" i="43"/>
  <c r="F23" i="50"/>
  <c r="F24" i="37"/>
  <c r="F31" i="37"/>
  <c r="F41" i="37"/>
  <c r="F51" i="37"/>
  <c r="F61" i="37"/>
  <c r="H35" i="40"/>
  <c r="H14" i="42"/>
  <c r="H20" i="42"/>
  <c r="H17" i="84"/>
  <c r="F51" i="84" s="1"/>
  <c r="D17" i="84"/>
  <c r="L17" i="84"/>
  <c r="J51" i="84" s="1"/>
  <c r="L41" i="84"/>
  <c r="J32" i="84"/>
  <c r="J43" i="84" s="1"/>
  <c r="J44" i="84" s="1"/>
  <c r="D47" i="84"/>
  <c r="H24" i="37"/>
  <c r="H18" i="40"/>
  <c r="H39" i="40"/>
  <c r="F19" i="37"/>
  <c r="H35" i="37"/>
  <c r="H52" i="37"/>
  <c r="H55" i="37"/>
  <c r="H62" i="37"/>
  <c r="H40" i="40"/>
  <c r="H19" i="37"/>
  <c r="F29" i="37"/>
  <c r="H42" i="37"/>
  <c r="F46" i="37"/>
  <c r="H49" i="37"/>
  <c r="F63" i="37"/>
  <c r="H33" i="40"/>
  <c r="F53" i="40"/>
  <c r="H32" i="84"/>
  <c r="H43" i="84" s="1"/>
  <c r="F20" i="37"/>
  <c r="F36" i="37"/>
  <c r="F52" i="37"/>
  <c r="E55" i="40"/>
  <c r="F42" i="40"/>
  <c r="G55" i="40"/>
  <c r="H14" i="40" s="1"/>
  <c r="H26" i="49"/>
  <c r="F21" i="50"/>
  <c r="L33" i="84"/>
  <c r="J47" i="84"/>
  <c r="F18" i="37"/>
  <c r="F34" i="37"/>
  <c r="F50" i="37"/>
  <c r="H31" i="40"/>
  <c r="H42" i="40"/>
  <c r="F15" i="46"/>
  <c r="F16" i="46" s="1"/>
  <c r="H34" i="48"/>
  <c r="F16" i="37"/>
  <c r="F32" i="37"/>
  <c r="F48" i="37"/>
  <c r="F37" i="40"/>
  <c r="H14" i="44"/>
  <c r="H15" i="44"/>
  <c r="H23" i="48"/>
  <c r="F22" i="50"/>
  <c r="F26" i="37"/>
  <c r="F42" i="37"/>
  <c r="F58" i="37"/>
  <c r="F30" i="40"/>
  <c r="H32" i="48"/>
  <c r="F27" i="49"/>
  <c r="F25" i="49"/>
  <c r="F23" i="49"/>
  <c r="F21" i="49"/>
  <c r="F19" i="49"/>
  <c r="F17" i="49"/>
  <c r="F15" i="49"/>
  <c r="F29" i="49" s="1"/>
  <c r="F26" i="49"/>
  <c r="F16" i="49"/>
  <c r="F22" i="49"/>
  <c r="F28" i="49"/>
  <c r="F18" i="49"/>
  <c r="F24" i="49"/>
  <c r="F27" i="50"/>
  <c r="F40" i="37"/>
  <c r="H25" i="40"/>
  <c r="E42" i="48"/>
  <c r="F27" i="48" s="1"/>
  <c r="F22" i="37"/>
  <c r="F38" i="37"/>
  <c r="F54" i="37"/>
  <c r="F16" i="40"/>
  <c r="H41" i="40"/>
  <c r="H51" i="40"/>
  <c r="H54" i="40"/>
  <c r="H16" i="41"/>
  <c r="F16" i="41"/>
  <c r="E17" i="41"/>
  <c r="G31" i="42"/>
  <c r="H14" i="46"/>
  <c r="H16" i="46" s="1"/>
  <c r="H21" i="46"/>
  <c r="H23" i="46" s="1"/>
  <c r="H22" i="46"/>
  <c r="G42" i="48"/>
  <c r="H14" i="48"/>
  <c r="H18" i="48"/>
  <c r="G16" i="46"/>
  <c r="H15" i="46" s="1"/>
  <c r="F21" i="48"/>
  <c r="G29" i="49"/>
  <c r="H14" i="49" s="1"/>
  <c r="H25" i="50"/>
  <c r="H21" i="48"/>
  <c r="H24" i="49"/>
  <c r="H16" i="50"/>
  <c r="F18" i="69"/>
  <c r="F39" i="40"/>
  <c r="F47" i="40"/>
  <c r="H15" i="41"/>
  <c r="F14" i="42"/>
  <c r="F16" i="42"/>
  <c r="F18" i="42"/>
  <c r="F20" i="42"/>
  <c r="F22" i="42"/>
  <c r="F24" i="42"/>
  <c r="F26" i="42"/>
  <c r="F28" i="42"/>
  <c r="E16" i="44"/>
  <c r="F14" i="44" s="1"/>
  <c r="H14" i="47"/>
  <c r="H16" i="47"/>
  <c r="H18" i="47"/>
  <c r="H20" i="47"/>
  <c r="H22" i="47"/>
  <c r="H24" i="47"/>
  <c r="H18" i="49"/>
  <c r="F20" i="50"/>
  <c r="D21" i="69"/>
  <c r="E20" i="69" s="1"/>
  <c r="H25" i="48"/>
  <c r="F32" i="48"/>
  <c r="H28" i="49"/>
  <c r="F26" i="48"/>
  <c r="F29" i="48"/>
  <c r="H22" i="49"/>
  <c r="F14" i="69"/>
  <c r="H21" i="69"/>
  <c r="I14" i="69"/>
  <c r="F48" i="40"/>
  <c r="H29" i="48"/>
  <c r="F36" i="48"/>
  <c r="F39" i="48"/>
  <c r="H16" i="49"/>
  <c r="H27" i="50"/>
  <c r="E30" i="50"/>
  <c r="G30" i="50"/>
  <c r="H19" i="50" s="1"/>
  <c r="G16" i="41" l="1"/>
  <c r="F40" i="48"/>
  <c r="H28" i="50"/>
  <c r="E59" i="40"/>
  <c r="F28" i="40"/>
  <c r="F34" i="40"/>
  <c r="F19" i="40"/>
  <c r="F32" i="40"/>
  <c r="F15" i="40"/>
  <c r="F24" i="40"/>
  <c r="F22" i="40"/>
  <c r="F17" i="40"/>
  <c r="F17" i="48"/>
  <c r="C28" i="57"/>
  <c r="C19" i="57"/>
  <c r="C37" i="57"/>
  <c r="F28" i="47"/>
  <c r="H22" i="50"/>
  <c r="F14" i="48"/>
  <c r="I100" i="91"/>
  <c r="K99" i="91"/>
  <c r="C99" i="91"/>
  <c r="E100" i="91"/>
  <c r="H100" i="91"/>
  <c r="I99" i="91"/>
  <c r="J98" i="91"/>
  <c r="L97" i="91"/>
  <c r="D97" i="91"/>
  <c r="F96" i="91"/>
  <c r="H95" i="91"/>
  <c r="J94" i="91"/>
  <c r="L93" i="91"/>
  <c r="D93" i="91"/>
  <c r="F92" i="91"/>
  <c r="H91" i="91"/>
  <c r="J90" i="91"/>
  <c r="L89" i="91"/>
  <c r="D89" i="91"/>
  <c r="F88" i="91"/>
  <c r="H87" i="91"/>
  <c r="J86" i="91"/>
  <c r="L85" i="91"/>
  <c r="D85" i="91"/>
  <c r="F84" i="91"/>
  <c r="H83" i="91"/>
  <c r="J82" i="91"/>
  <c r="L81" i="91"/>
  <c r="D81" i="91"/>
  <c r="F80" i="91"/>
  <c r="H79" i="91"/>
  <c r="J78" i="91"/>
  <c r="L77" i="91"/>
  <c r="D77" i="91"/>
  <c r="L99" i="91"/>
  <c r="K98" i="91"/>
  <c r="K97" i="91"/>
  <c r="L96" i="91"/>
  <c r="C96" i="91"/>
  <c r="D95" i="91"/>
  <c r="E94" i="91"/>
  <c r="F93" i="91"/>
  <c r="G92" i="91"/>
  <c r="G91" i="91"/>
  <c r="H90" i="91"/>
  <c r="I89" i="91"/>
  <c r="J88" i="91"/>
  <c r="K87" i="91"/>
  <c r="L86" i="91"/>
  <c r="C86" i="91"/>
  <c r="C85" i="91"/>
  <c r="D84" i="91"/>
  <c r="E83" i="91"/>
  <c r="F82" i="91"/>
  <c r="G81" i="91"/>
  <c r="H80" i="91"/>
  <c r="I79" i="91"/>
  <c r="I78" i="91"/>
  <c r="J77" i="91"/>
  <c r="K76" i="91"/>
  <c r="C76" i="91"/>
  <c r="E75" i="91"/>
  <c r="G74" i="91"/>
  <c r="I73" i="91"/>
  <c r="K72" i="91"/>
  <c r="C72" i="91"/>
  <c r="E71" i="91"/>
  <c r="G70" i="91"/>
  <c r="G100" i="91"/>
  <c r="F99" i="91"/>
  <c r="F98" i="91"/>
  <c r="G97" i="91"/>
  <c r="H96" i="91"/>
  <c r="I95" i="91"/>
  <c r="I94" i="91"/>
  <c r="J93" i="91"/>
  <c r="K92" i="91"/>
  <c r="L91" i="91"/>
  <c r="C91" i="91"/>
  <c r="D90" i="91"/>
  <c r="E89" i="91"/>
  <c r="E88" i="91"/>
  <c r="F87" i="91"/>
  <c r="G86" i="91"/>
  <c r="H85" i="91"/>
  <c r="I84" i="91"/>
  <c r="J83" i="91"/>
  <c r="K82" i="91"/>
  <c r="K81" i="91"/>
  <c r="L80" i="91"/>
  <c r="C80" i="91"/>
  <c r="D79" i="91"/>
  <c r="E78" i="91"/>
  <c r="F77" i="91"/>
  <c r="G76" i="91"/>
  <c r="I75" i="91"/>
  <c r="K74" i="91"/>
  <c r="C74" i="91"/>
  <c r="E73" i="91"/>
  <c r="G72" i="91"/>
  <c r="I71" i="91"/>
  <c r="K70" i="91"/>
  <c r="C70" i="91"/>
  <c r="E69" i="91"/>
  <c r="G68" i="91"/>
  <c r="I67" i="91"/>
  <c r="K66" i="91"/>
  <c r="C66" i="91"/>
  <c r="E65" i="91"/>
  <c r="G64" i="91"/>
  <c r="I63" i="91"/>
  <c r="K62" i="91"/>
  <c r="C62" i="91"/>
  <c r="H29" i="87" s="1"/>
  <c r="E61" i="91"/>
  <c r="G60" i="91"/>
  <c r="I59" i="91"/>
  <c r="K58" i="91"/>
  <c r="C58" i="91"/>
  <c r="E57" i="91"/>
  <c r="G56" i="91"/>
  <c r="I55" i="91"/>
  <c r="K54" i="91"/>
  <c r="C54" i="91"/>
  <c r="E53" i="91"/>
  <c r="G52" i="91"/>
  <c r="I51" i="91"/>
  <c r="J100" i="91"/>
  <c r="D99" i="91"/>
  <c r="J97" i="91"/>
  <c r="I96" i="91"/>
  <c r="F95" i="91"/>
  <c r="D94" i="91"/>
  <c r="L92" i="91"/>
  <c r="J91" i="91"/>
  <c r="G90" i="91"/>
  <c r="F89" i="91"/>
  <c r="C88" i="91"/>
  <c r="K86" i="91"/>
  <c r="I85" i="91"/>
  <c r="G84" i="91"/>
  <c r="D83" i="91"/>
  <c r="C82" i="91"/>
  <c r="J80" i="91"/>
  <c r="G79" i="91"/>
  <c r="F78" i="91"/>
  <c r="C77" i="91"/>
  <c r="L75" i="91"/>
  <c r="L74" i="91"/>
  <c r="K73" i="91"/>
  <c r="J72" i="91"/>
  <c r="J71" i="91"/>
  <c r="I70" i="91"/>
  <c r="I69" i="91"/>
  <c r="J68" i="91"/>
  <c r="K67" i="91"/>
  <c r="L66" i="91"/>
  <c r="L65" i="91"/>
  <c r="C65" i="91"/>
  <c r="D64" i="91"/>
  <c r="E63" i="91"/>
  <c r="F62" i="91"/>
  <c r="G61" i="91"/>
  <c r="H60" i="91"/>
  <c r="H59" i="91"/>
  <c r="I58" i="91"/>
  <c r="J57" i="91"/>
  <c r="K56" i="91"/>
  <c r="C55" i="91"/>
  <c r="D54" i="91"/>
  <c r="D53" i="91"/>
  <c r="E52" i="91"/>
  <c r="F51" i="91"/>
  <c r="H50" i="91"/>
  <c r="J49" i="91"/>
  <c r="D48" i="91"/>
  <c r="F47" i="91"/>
  <c r="H46" i="91"/>
  <c r="J45" i="91"/>
  <c r="D44" i="91"/>
  <c r="F43" i="91"/>
  <c r="H42" i="91"/>
  <c r="J41" i="91"/>
  <c r="D40" i="91"/>
  <c r="F39" i="91"/>
  <c r="H38" i="91"/>
  <c r="J37" i="91"/>
  <c r="D36" i="91"/>
  <c r="F35" i="91"/>
  <c r="H34" i="91"/>
  <c r="J33" i="91"/>
  <c r="D32" i="91"/>
  <c r="F31" i="91"/>
  <c r="H30" i="91"/>
  <c r="J29" i="91"/>
  <c r="F100" i="91"/>
  <c r="L98" i="91"/>
  <c r="I97" i="91"/>
  <c r="G96" i="91"/>
  <c r="E95" i="91"/>
  <c r="C94" i="91"/>
  <c r="J92" i="91"/>
  <c r="I91" i="91"/>
  <c r="F90" i="91"/>
  <c r="C89" i="91"/>
  <c r="L87" i="91"/>
  <c r="I86" i="91"/>
  <c r="G85" i="91"/>
  <c r="E84" i="91"/>
  <c r="C83" i="91"/>
  <c r="J81" i="91"/>
  <c r="I80" i="91"/>
  <c r="F79" i="91"/>
  <c r="D78" i="91"/>
  <c r="L76" i="91"/>
  <c r="K75" i="91"/>
  <c r="J74" i="91"/>
  <c r="J73" i="91"/>
  <c r="I72" i="91"/>
  <c r="H71" i="91"/>
  <c r="H70" i="91"/>
  <c r="H69" i="91"/>
  <c r="I68" i="91"/>
  <c r="J67" i="91"/>
  <c r="J66" i="91"/>
  <c r="K65" i="91"/>
  <c r="C64" i="91"/>
  <c r="L64" i="91" s="1"/>
  <c r="D63" i="91"/>
  <c r="E62" i="91"/>
  <c r="F61" i="91"/>
  <c r="F60" i="91"/>
  <c r="G59" i="91"/>
  <c r="H58" i="91"/>
  <c r="I57" i="91"/>
  <c r="J56" i="91"/>
  <c r="K55" i="91"/>
  <c r="C53" i="91"/>
  <c r="D52" i="91"/>
  <c r="E51" i="91"/>
  <c r="G50" i="91"/>
  <c r="I49" i="91"/>
  <c r="K48" i="91"/>
  <c r="C48" i="91"/>
  <c r="E47" i="91"/>
  <c r="G46" i="91"/>
  <c r="I45" i="91"/>
  <c r="K44" i="91"/>
  <c r="C44" i="91"/>
  <c r="E43" i="91"/>
  <c r="G42" i="91"/>
  <c r="I41" i="91"/>
  <c r="K40" i="91"/>
  <c r="C40" i="91"/>
  <c r="E39" i="91"/>
  <c r="G38" i="91"/>
  <c r="I37" i="91"/>
  <c r="K36" i="91"/>
  <c r="C36" i="91"/>
  <c r="E35" i="91"/>
  <c r="G34" i="91"/>
  <c r="I33" i="91"/>
  <c r="K32" i="91"/>
  <c r="C32" i="91"/>
  <c r="E31" i="91"/>
  <c r="G30" i="91"/>
  <c r="I29" i="91"/>
  <c r="K100" i="91"/>
  <c r="H98" i="91"/>
  <c r="C97" i="91"/>
  <c r="G95" i="91"/>
  <c r="I93" i="91"/>
  <c r="D92" i="91"/>
  <c r="I90" i="91"/>
  <c r="K88" i="91"/>
  <c r="E87" i="91"/>
  <c r="J85" i="91"/>
  <c r="L83" i="91"/>
  <c r="G82" i="91"/>
  <c r="K80" i="91"/>
  <c r="C79" i="91"/>
  <c r="H77" i="91"/>
  <c r="D76" i="91"/>
  <c r="H74" i="91"/>
  <c r="D73" i="91"/>
  <c r="K71" i="91"/>
  <c r="E70" i="91"/>
  <c r="C69" i="91"/>
  <c r="L67" i="91"/>
  <c r="H66" i="91"/>
  <c r="G65" i="91"/>
  <c r="E64" i="91"/>
  <c r="J61" i="91"/>
  <c r="I60" i="91"/>
  <c r="E59" i="91"/>
  <c r="D58" i="91"/>
  <c r="H55" i="91"/>
  <c r="G54" i="91"/>
  <c r="F53" i="91"/>
  <c r="K50" i="91"/>
  <c r="K49" i="91"/>
  <c r="I48" i="91"/>
  <c r="I47" i="91"/>
  <c r="I46" i="91"/>
  <c r="G45" i="91"/>
  <c r="G44" i="91"/>
  <c r="G43" i="91"/>
  <c r="E42" i="91"/>
  <c r="E41" i="91"/>
  <c r="E40" i="91"/>
  <c r="C39" i="91"/>
  <c r="C38" i="91"/>
  <c r="C37" i="91"/>
  <c r="K35" i="91"/>
  <c r="K34" i="91"/>
  <c r="K33" i="91"/>
  <c r="I32" i="91"/>
  <c r="I31" i="91"/>
  <c r="I30" i="91"/>
  <c r="G29" i="91"/>
  <c r="H28" i="91"/>
  <c r="J27" i="91"/>
  <c r="D26" i="91"/>
  <c r="F25" i="91"/>
  <c r="H24" i="91"/>
  <c r="J23" i="91"/>
  <c r="D22" i="91"/>
  <c r="E21" i="91"/>
  <c r="D100" i="91"/>
  <c r="G98" i="91"/>
  <c r="K96" i="91"/>
  <c r="C95" i="91"/>
  <c r="H93" i="91"/>
  <c r="C92" i="91"/>
  <c r="E90" i="91"/>
  <c r="I88" i="91"/>
  <c r="D87" i="91"/>
  <c r="F85" i="91"/>
  <c r="K83" i="91"/>
  <c r="E82" i="91"/>
  <c r="G80" i="91"/>
  <c r="L78" i="91"/>
  <c r="G77" i="91"/>
  <c r="J75" i="91"/>
  <c r="F74" i="91"/>
  <c r="C73" i="91"/>
  <c r="G71" i="91"/>
  <c r="D70" i="91"/>
  <c r="L68" i="91"/>
  <c r="H67" i="91"/>
  <c r="G66" i="91"/>
  <c r="F65" i="91"/>
  <c r="J62" i="91"/>
  <c r="I61" i="91"/>
  <c r="E60" i="91"/>
  <c r="D59" i="91"/>
  <c r="I56" i="91"/>
  <c r="G55" i="91"/>
  <c r="F54" i="91"/>
  <c r="K51" i="91"/>
  <c r="J50" i="91"/>
  <c r="H49" i="91"/>
  <c r="H48" i="91"/>
  <c r="H47" i="91"/>
  <c r="F46" i="91"/>
  <c r="F45" i="91"/>
  <c r="F44" i="91"/>
  <c r="D43" i="91"/>
  <c r="D42" i="91"/>
  <c r="D41" i="91"/>
  <c r="J36" i="91"/>
  <c r="J35" i="91"/>
  <c r="J34" i="91"/>
  <c r="H33" i="91"/>
  <c r="H32" i="91"/>
  <c r="H31" i="91"/>
  <c r="F30" i="91"/>
  <c r="F29" i="91"/>
  <c r="G28" i="91"/>
  <c r="I27" i="91"/>
  <c r="K26" i="91"/>
  <c r="C26" i="91"/>
  <c r="E25" i="91"/>
  <c r="G24" i="91"/>
  <c r="I23" i="91"/>
  <c r="K22" i="91"/>
  <c r="C22" i="91"/>
  <c r="D21" i="91"/>
  <c r="C100" i="91"/>
  <c r="E98" i="91"/>
  <c r="J96" i="91"/>
  <c r="L94" i="91"/>
  <c r="G93" i="91"/>
  <c r="K91" i="91"/>
  <c r="C90" i="91"/>
  <c r="H88" i="91"/>
  <c r="C87" i="91"/>
  <c r="E85" i="91"/>
  <c r="I83" i="91"/>
  <c r="D82" i="91"/>
  <c r="E80" i="91"/>
  <c r="K78" i="91"/>
  <c r="E77" i="91"/>
  <c r="H75" i="91"/>
  <c r="E74" i="91"/>
  <c r="L72" i="91"/>
  <c r="F71" i="91"/>
  <c r="L69" i="91"/>
  <c r="K68" i="91"/>
  <c r="G67" i="91"/>
  <c r="F66" i="91"/>
  <c r="D65" i="91"/>
  <c r="K63" i="91"/>
  <c r="I62" i="91"/>
  <c r="H61" i="91"/>
  <c r="D60" i="91"/>
  <c r="C59" i="91"/>
  <c r="K57" i="91"/>
  <c r="H56" i="91"/>
  <c r="F55" i="91"/>
  <c r="E54" i="91"/>
  <c r="K52" i="91"/>
  <c r="J51" i="91"/>
  <c r="I50" i="91"/>
  <c r="G49" i="91"/>
  <c r="G48" i="91"/>
  <c r="G47" i="91"/>
  <c r="E46" i="91"/>
  <c r="E45" i="91"/>
  <c r="E44" i="91"/>
  <c r="C43" i="91"/>
  <c r="C42" i="91"/>
  <c r="C41" i="91"/>
  <c r="K39" i="91"/>
  <c r="K38" i="91"/>
  <c r="K37" i="91"/>
  <c r="I36" i="91"/>
  <c r="I35" i="91"/>
  <c r="I34" i="91"/>
  <c r="G33" i="91"/>
  <c r="G32" i="91"/>
  <c r="G31" i="91"/>
  <c r="E30" i="91"/>
  <c r="E29" i="91"/>
  <c r="F28" i="91"/>
  <c r="H27" i="91"/>
  <c r="J26" i="91"/>
  <c r="D25" i="91"/>
  <c r="F24" i="91"/>
  <c r="H23" i="91"/>
  <c r="J22" i="91"/>
  <c r="K21" i="91"/>
  <c r="C21" i="91"/>
  <c r="J99" i="91"/>
  <c r="D98" i="91"/>
  <c r="E96" i="91"/>
  <c r="K94" i="91"/>
  <c r="E93" i="91"/>
  <c r="F91" i="91"/>
  <c r="K89" i="91"/>
  <c r="G88" i="91"/>
  <c r="H86" i="91"/>
  <c r="L84" i="91"/>
  <c r="G83" i="91"/>
  <c r="I81" i="91"/>
  <c r="D80" i="91"/>
  <c r="H78" i="91"/>
  <c r="J76" i="91"/>
  <c r="G75" i="91"/>
  <c r="D74" i="91"/>
  <c r="H72" i="91"/>
  <c r="D71" i="91"/>
  <c r="K69" i="91"/>
  <c r="H68" i="91"/>
  <c r="F67" i="91"/>
  <c r="E66" i="91"/>
  <c r="K64" i="91"/>
  <c r="J63" i="91"/>
  <c r="H62" i="91"/>
  <c r="D61" i="91"/>
  <c r="C60" i="91"/>
  <c r="H57" i="91"/>
  <c r="F56" i="91"/>
  <c r="E55" i="91"/>
  <c r="K53" i="91"/>
  <c r="J52" i="91"/>
  <c r="H51" i="91"/>
  <c r="F50" i="91"/>
  <c r="F49" i="91"/>
  <c r="F48" i="91"/>
  <c r="D47" i="91"/>
  <c r="D46" i="91"/>
  <c r="D45" i="91"/>
  <c r="J40" i="91"/>
  <c r="J39" i="91"/>
  <c r="J38" i="91"/>
  <c r="H37" i="91"/>
  <c r="H36" i="91"/>
  <c r="H35" i="91"/>
  <c r="F34" i="91"/>
  <c r="F33" i="91"/>
  <c r="F32" i="91"/>
  <c r="D31" i="91"/>
  <c r="D30" i="91"/>
  <c r="D29" i="91"/>
  <c r="E28" i="91"/>
  <c r="G27" i="91"/>
  <c r="I26" i="91"/>
  <c r="K25" i="91"/>
  <c r="C25" i="91"/>
  <c r="E24" i="91"/>
  <c r="G23" i="91"/>
  <c r="I22" i="91"/>
  <c r="J21" i="91"/>
  <c r="L17" i="91"/>
  <c r="F42" i="85" s="1"/>
  <c r="H42" i="85" s="1"/>
  <c r="H99" i="91"/>
  <c r="C98" i="91"/>
  <c r="D96" i="91"/>
  <c r="H94" i="91"/>
  <c r="C93" i="91"/>
  <c r="E91" i="91"/>
  <c r="J89" i="91"/>
  <c r="D88" i="91"/>
  <c r="F86" i="91"/>
  <c r="K84" i="91"/>
  <c r="F83" i="91"/>
  <c r="H81" i="91"/>
  <c r="L79" i="91"/>
  <c r="G78" i="91"/>
  <c r="I76" i="91"/>
  <c r="F75" i="91"/>
  <c r="L73" i="91"/>
  <c r="F72" i="91"/>
  <c r="C71" i="91"/>
  <c r="J69" i="91"/>
  <c r="F68" i="91"/>
  <c r="E67" i="91"/>
  <c r="D66" i="91"/>
  <c r="J64" i="91"/>
  <c r="H63" i="91"/>
  <c r="G62" i="91"/>
  <c r="C61" i="91"/>
  <c r="J58" i="91"/>
  <c r="G57" i="91"/>
  <c r="E56" i="91"/>
  <c r="D55" i="91"/>
  <c r="J53" i="91"/>
  <c r="I52" i="91"/>
  <c r="G51" i="91"/>
  <c r="E50" i="91"/>
  <c r="E49" i="91"/>
  <c r="E48" i="91"/>
  <c r="C47" i="91"/>
  <c r="C46" i="91"/>
  <c r="C45" i="91"/>
  <c r="K43" i="91"/>
  <c r="K42" i="91"/>
  <c r="K41" i="91"/>
  <c r="I40" i="91"/>
  <c r="I39" i="91"/>
  <c r="I38" i="91"/>
  <c r="G37" i="91"/>
  <c r="G36" i="91"/>
  <c r="G35" i="91"/>
  <c r="E34" i="91"/>
  <c r="E33" i="91"/>
  <c r="E32" i="91"/>
  <c r="C31" i="91"/>
  <c r="C30" i="91"/>
  <c r="C29" i="91"/>
  <c r="D28" i="91"/>
  <c r="F27" i="91"/>
  <c r="H26" i="91"/>
  <c r="J25" i="91"/>
  <c r="D24" i="91"/>
  <c r="F23" i="91"/>
  <c r="H22" i="91"/>
  <c r="I21" i="91"/>
  <c r="G99" i="91"/>
  <c r="H97" i="91"/>
  <c r="L95" i="91"/>
  <c r="G94" i="91"/>
  <c r="I92" i="91"/>
  <c r="D91" i="91"/>
  <c r="H89" i="91"/>
  <c r="J87" i="91"/>
  <c r="E86" i="91"/>
  <c r="J84" i="91"/>
  <c r="L82" i="91"/>
  <c r="F81" i="91"/>
  <c r="K79" i="91"/>
  <c r="C78" i="91"/>
  <c r="H76" i="91"/>
  <c r="D75" i="91"/>
  <c r="H73" i="91"/>
  <c r="E72" i="91"/>
  <c r="L70" i="91"/>
  <c r="G69" i="91"/>
  <c r="E68" i="91"/>
  <c r="D67" i="91"/>
  <c r="J65" i="91"/>
  <c r="I64" i="91"/>
  <c r="G63" i="91"/>
  <c r="D62" i="91"/>
  <c r="K59" i="91"/>
  <c r="G58" i="91"/>
  <c r="F57" i="91"/>
  <c r="D56" i="91"/>
  <c r="J54" i="91"/>
  <c r="I53" i="91"/>
  <c r="H52" i="91"/>
  <c r="D51" i="91"/>
  <c r="D50" i="91"/>
  <c r="D49" i="91"/>
  <c r="J44" i="91"/>
  <c r="J43" i="91"/>
  <c r="J42" i="91"/>
  <c r="H41" i="91"/>
  <c r="H40" i="91"/>
  <c r="H39" i="91"/>
  <c r="F38" i="91"/>
  <c r="F37" i="91"/>
  <c r="F36" i="91"/>
  <c r="D35" i="91"/>
  <c r="D34" i="91"/>
  <c r="D33" i="91"/>
  <c r="K28" i="91"/>
  <c r="C28" i="91"/>
  <c r="E27" i="91"/>
  <c r="G26" i="91"/>
  <c r="I25" i="91"/>
  <c r="K24" i="91"/>
  <c r="C24" i="91"/>
  <c r="E23" i="91"/>
  <c r="G22" i="91"/>
  <c r="H21" i="91"/>
  <c r="E99" i="91"/>
  <c r="F97" i="91"/>
  <c r="K95" i="91"/>
  <c r="F94" i="91"/>
  <c r="H92" i="91"/>
  <c r="L90" i="91"/>
  <c r="G89" i="91"/>
  <c r="I87" i="91"/>
  <c r="D86" i="91"/>
  <c r="H84" i="91"/>
  <c r="I82" i="91"/>
  <c r="E81" i="91"/>
  <c r="J79" i="91"/>
  <c r="K77" i="91"/>
  <c r="F76" i="91"/>
  <c r="C75" i="91"/>
  <c r="G73" i="91"/>
  <c r="D72" i="91"/>
  <c r="J70" i="91"/>
  <c r="F69" i="91"/>
  <c r="D68" i="91"/>
  <c r="C67" i="91"/>
  <c r="I65" i="91"/>
  <c r="H64" i="91"/>
  <c r="F63" i="91"/>
  <c r="K60" i="91"/>
  <c r="J59" i="91"/>
  <c r="F58" i="91"/>
  <c r="D57" i="91"/>
  <c r="C56" i="91"/>
  <c r="I54" i="91"/>
  <c r="H53" i="91"/>
  <c r="F52" i="91"/>
  <c r="C51" i="91"/>
  <c r="C50" i="91"/>
  <c r="L50" i="91" s="1"/>
  <c r="C49" i="91"/>
  <c r="K47" i="91"/>
  <c r="K46" i="91"/>
  <c r="K45" i="91"/>
  <c r="I44" i="91"/>
  <c r="I43" i="91"/>
  <c r="I42" i="91"/>
  <c r="G41" i="91"/>
  <c r="G40" i="91"/>
  <c r="G39" i="91"/>
  <c r="E38" i="91"/>
  <c r="E37" i="91"/>
  <c r="E36" i="91"/>
  <c r="C35" i="91"/>
  <c r="C34" i="91"/>
  <c r="C33" i="91"/>
  <c r="L33" i="91" s="1"/>
  <c r="K31" i="91"/>
  <c r="K30" i="91"/>
  <c r="K29" i="91"/>
  <c r="J28" i="91"/>
  <c r="D27" i="91"/>
  <c r="F26" i="91"/>
  <c r="H25" i="91"/>
  <c r="J24" i="91"/>
  <c r="D23" i="91"/>
  <c r="F22" i="91"/>
  <c r="G21" i="91"/>
  <c r="E97" i="91"/>
  <c r="C84" i="91"/>
  <c r="L71" i="91"/>
  <c r="K61" i="91"/>
  <c r="C52" i="91"/>
  <c r="L52" i="91" s="1"/>
  <c r="H43" i="91"/>
  <c r="C27" i="91"/>
  <c r="J95" i="91"/>
  <c r="H82" i="91"/>
  <c r="F70" i="91"/>
  <c r="J60" i="91"/>
  <c r="F42" i="91"/>
  <c r="E26" i="91"/>
  <c r="K93" i="91"/>
  <c r="C81" i="91"/>
  <c r="D69" i="91"/>
  <c r="F59" i="91"/>
  <c r="F41" i="91"/>
  <c r="J32" i="91"/>
  <c r="G25" i="91"/>
  <c r="E92" i="91"/>
  <c r="E79" i="91"/>
  <c r="C68" i="91"/>
  <c r="E58" i="91"/>
  <c r="J48" i="91"/>
  <c r="F40" i="91"/>
  <c r="J31" i="91"/>
  <c r="I24" i="91"/>
  <c r="K90" i="91"/>
  <c r="I77" i="91"/>
  <c r="I66" i="91"/>
  <c r="C57" i="91"/>
  <c r="J47" i="91"/>
  <c r="D39" i="91"/>
  <c r="J30" i="91"/>
  <c r="K23" i="91"/>
  <c r="L88" i="91"/>
  <c r="E76" i="91"/>
  <c r="H65" i="91"/>
  <c r="J55" i="91"/>
  <c r="J46" i="91"/>
  <c r="D38" i="91"/>
  <c r="L38" i="91" s="1"/>
  <c r="H29" i="91"/>
  <c r="L29" i="91" s="1"/>
  <c r="C23" i="91"/>
  <c r="L23" i="91" s="1"/>
  <c r="L100" i="91"/>
  <c r="G87" i="91"/>
  <c r="I74" i="91"/>
  <c r="F64" i="91"/>
  <c r="H54" i="91"/>
  <c r="H45" i="91"/>
  <c r="L45" i="91" s="1"/>
  <c r="D37" i="91"/>
  <c r="L37" i="91" s="1"/>
  <c r="I28" i="91"/>
  <c r="E22" i="91"/>
  <c r="I98" i="91"/>
  <c r="K85" i="91"/>
  <c r="F73" i="91"/>
  <c r="C63" i="91"/>
  <c r="L63" i="91" s="1"/>
  <c r="G53" i="91"/>
  <c r="H44" i="91"/>
  <c r="K27" i="91"/>
  <c r="F21" i="91"/>
  <c r="F17" i="50"/>
  <c r="F15" i="50"/>
  <c r="H22" i="48"/>
  <c r="H28" i="48"/>
  <c r="H36" i="48"/>
  <c r="H26" i="48"/>
  <c r="H20" i="48"/>
  <c r="F54" i="40"/>
  <c r="F50" i="40"/>
  <c r="F38" i="85"/>
  <c r="I20" i="69"/>
  <c r="I16" i="69"/>
  <c r="I17" i="69"/>
  <c r="I19" i="69"/>
  <c r="I15" i="69"/>
  <c r="I21" i="69" s="1"/>
  <c r="F21" i="69"/>
  <c r="H23" i="50"/>
  <c r="F19" i="48"/>
  <c r="F41" i="48"/>
  <c r="F27" i="40"/>
  <c r="H37" i="48"/>
  <c r="F16" i="50"/>
  <c r="H15" i="50"/>
  <c r="H17" i="48"/>
  <c r="H16" i="44"/>
  <c r="H16" i="48"/>
  <c r="F23" i="48"/>
  <c r="F24" i="50"/>
  <c r="H20" i="50"/>
  <c r="F16" i="48"/>
  <c r="F38" i="48"/>
  <c r="I18" i="69"/>
  <c r="F31" i="48"/>
  <c r="F49" i="40"/>
  <c r="F51" i="40"/>
  <c r="H50" i="40"/>
  <c r="H18" i="50"/>
  <c r="F46" i="40"/>
  <c r="F29" i="50"/>
  <c r="F30" i="48"/>
  <c r="F26" i="40"/>
  <c r="H39" i="48"/>
  <c r="L44" i="84"/>
  <c r="H24" i="40"/>
  <c r="H16" i="37"/>
  <c r="F44" i="84"/>
  <c r="H14" i="37"/>
  <c r="H17" i="37"/>
  <c r="H46" i="37"/>
  <c r="N44" i="84"/>
  <c r="F20" i="48"/>
  <c r="H17" i="50"/>
  <c r="F14" i="50"/>
  <c r="H31" i="48"/>
  <c r="F28" i="48"/>
  <c r="H27" i="49"/>
  <c r="H25" i="49"/>
  <c r="H23" i="49"/>
  <c r="H21" i="49"/>
  <c r="H19" i="49"/>
  <c r="H17" i="49"/>
  <c r="H15" i="49"/>
  <c r="H29" i="49" s="1"/>
  <c r="F41" i="40"/>
  <c r="F45" i="40"/>
  <c r="F33" i="40"/>
  <c r="F38" i="40"/>
  <c r="F24" i="48"/>
  <c r="F43" i="40"/>
  <c r="H21" i="50"/>
  <c r="H46" i="40"/>
  <c r="H38" i="40"/>
  <c r="H47" i="40"/>
  <c r="H44" i="40"/>
  <c r="H22" i="40"/>
  <c r="H53" i="40"/>
  <c r="H32" i="40"/>
  <c r="H52" i="40"/>
  <c r="H48" i="40"/>
  <c r="H45" i="40"/>
  <c r="H36" i="40"/>
  <c r="H28" i="40"/>
  <c r="H23" i="40"/>
  <c r="H16" i="40"/>
  <c r="H55" i="40" s="1"/>
  <c r="H29" i="40"/>
  <c r="H37" i="40"/>
  <c r="C32" i="70"/>
  <c r="H43" i="40"/>
  <c r="H21" i="40"/>
  <c r="F44" i="40"/>
  <c r="H60" i="37"/>
  <c r="H53" i="37"/>
  <c r="H44" i="37"/>
  <c r="H37" i="37"/>
  <c r="H28" i="37"/>
  <c r="H61" i="37"/>
  <c r="H36" i="37"/>
  <c r="H29" i="37"/>
  <c r="H20" i="37"/>
  <c r="H63" i="37"/>
  <c r="H54" i="37"/>
  <c r="H47" i="37"/>
  <c r="H38" i="37"/>
  <c r="H31" i="37"/>
  <c r="H22" i="37"/>
  <c r="H15" i="37"/>
  <c r="H34" i="37"/>
  <c r="H27" i="37"/>
  <c r="H57" i="37"/>
  <c r="H50" i="37"/>
  <c r="H43" i="37"/>
  <c r="H59" i="37"/>
  <c r="H41" i="37"/>
  <c r="H48" i="37"/>
  <c r="H18" i="37"/>
  <c r="H21" i="37"/>
  <c r="F49" i="37"/>
  <c r="F33" i="37"/>
  <c r="F25" i="37"/>
  <c r="F59" i="37"/>
  <c r="F43" i="37"/>
  <c r="F27" i="37"/>
  <c r="E69" i="37"/>
  <c r="F39" i="37"/>
  <c r="F53" i="37"/>
  <c r="F65" i="37" s="1"/>
  <c r="F55" i="37"/>
  <c r="F23" i="37"/>
  <c r="F17" i="37"/>
  <c r="N35" i="84"/>
  <c r="F18" i="48"/>
  <c r="H14" i="50"/>
  <c r="E18" i="69"/>
  <c r="E14" i="69"/>
  <c r="E19" i="69"/>
  <c r="E15" i="69"/>
  <c r="E17" i="69"/>
  <c r="F25" i="48"/>
  <c r="F37" i="48"/>
  <c r="P35" i="84"/>
  <c r="E93" i="92"/>
  <c r="G94" i="92"/>
  <c r="D93" i="92"/>
  <c r="F91" i="92"/>
  <c r="C90" i="92"/>
  <c r="E88" i="92"/>
  <c r="G86" i="92"/>
  <c r="D85" i="92"/>
  <c r="F83" i="92"/>
  <c r="C82" i="92"/>
  <c r="E80" i="92"/>
  <c r="G78" i="92"/>
  <c r="D77" i="92"/>
  <c r="F75" i="92"/>
  <c r="C74" i="92"/>
  <c r="E72" i="92"/>
  <c r="G70" i="92"/>
  <c r="D69" i="92"/>
  <c r="F67" i="92"/>
  <c r="C66" i="92"/>
  <c r="E64" i="92"/>
  <c r="G62" i="92"/>
  <c r="D61" i="92"/>
  <c r="F59" i="92"/>
  <c r="C58" i="92"/>
  <c r="E56" i="92"/>
  <c r="J18" i="70" s="1"/>
  <c r="J17" i="70" s="1"/>
  <c r="G54" i="92"/>
  <c r="D53" i="92"/>
  <c r="F51" i="92"/>
  <c r="C50" i="92"/>
  <c r="E48" i="92"/>
  <c r="G46" i="92"/>
  <c r="D45" i="92"/>
  <c r="F43" i="92"/>
  <c r="C42" i="92"/>
  <c r="E40" i="92"/>
  <c r="G38" i="92"/>
  <c r="D37" i="92"/>
  <c r="F35" i="92"/>
  <c r="C34" i="92"/>
  <c r="E32" i="92"/>
  <c r="G30" i="92"/>
  <c r="D29" i="92"/>
  <c r="F27" i="92"/>
  <c r="C26" i="92"/>
  <c r="E24" i="92"/>
  <c r="G22" i="92"/>
  <c r="D21" i="92"/>
  <c r="F19" i="92"/>
  <c r="C18" i="92"/>
  <c r="E16" i="92"/>
  <c r="F94" i="92"/>
  <c r="C93" i="92"/>
  <c r="E91" i="92"/>
  <c r="G89" i="92"/>
  <c r="D88" i="92"/>
  <c r="F86" i="92"/>
  <c r="C85" i="92"/>
  <c r="E83" i="92"/>
  <c r="G81" i="92"/>
  <c r="D80" i="92"/>
  <c r="F78" i="92"/>
  <c r="C77" i="92"/>
  <c r="E75" i="92"/>
  <c r="G73" i="92"/>
  <c r="D72" i="92"/>
  <c r="F70" i="92"/>
  <c r="C69" i="92"/>
  <c r="E67" i="92"/>
  <c r="G65" i="92"/>
  <c r="D64" i="92"/>
  <c r="F62" i="92"/>
  <c r="C61" i="92"/>
  <c r="E59" i="92"/>
  <c r="G57" i="92"/>
  <c r="D56" i="92"/>
  <c r="F54" i="92"/>
  <c r="C53" i="92"/>
  <c r="E51" i="92"/>
  <c r="G49" i="92"/>
  <c r="D48" i="92"/>
  <c r="F46" i="92"/>
  <c r="C45" i="92"/>
  <c r="E43" i="92"/>
  <c r="G41" i="92"/>
  <c r="D40" i="92"/>
  <c r="F38" i="92"/>
  <c r="C37" i="92"/>
  <c r="E35" i="92"/>
  <c r="E94" i="92"/>
  <c r="G92" i="92"/>
  <c r="D91" i="92"/>
  <c r="F89" i="92"/>
  <c r="C88" i="92"/>
  <c r="E86" i="92"/>
  <c r="G84" i="92"/>
  <c r="D83" i="92"/>
  <c r="F81" i="92"/>
  <c r="C80" i="92"/>
  <c r="E78" i="92"/>
  <c r="G76" i="92"/>
  <c r="D75" i="92"/>
  <c r="F73" i="92"/>
  <c r="C72" i="92"/>
  <c r="E70" i="92"/>
  <c r="G68" i="92"/>
  <c r="D67" i="92"/>
  <c r="F65" i="92"/>
  <c r="C64" i="92"/>
  <c r="E62" i="92"/>
  <c r="G60" i="92"/>
  <c r="D59" i="92"/>
  <c r="F57" i="92"/>
  <c r="C56" i="92"/>
  <c r="E54" i="92"/>
  <c r="G52" i="92"/>
  <c r="D51" i="92"/>
  <c r="F49" i="92"/>
  <c r="C48" i="92"/>
  <c r="E46" i="92"/>
  <c r="G44" i="92"/>
  <c r="D43" i="92"/>
  <c r="F41" i="92"/>
  <c r="C40" i="92"/>
  <c r="E38" i="92"/>
  <c r="G36" i="92"/>
  <c r="D35" i="92"/>
  <c r="F33" i="92"/>
  <c r="C32" i="92"/>
  <c r="E30" i="92"/>
  <c r="G28" i="92"/>
  <c r="D27" i="92"/>
  <c r="F25" i="92"/>
  <c r="C24" i="92"/>
  <c r="E22" i="92"/>
  <c r="G20" i="92"/>
  <c r="D19" i="92"/>
  <c r="F17" i="92"/>
  <c r="C16" i="92"/>
  <c r="D94" i="92"/>
  <c r="F92" i="92"/>
  <c r="C91" i="92"/>
  <c r="E89" i="92"/>
  <c r="G87" i="92"/>
  <c r="D86" i="92"/>
  <c r="F84" i="92"/>
  <c r="C83" i="92"/>
  <c r="E81" i="92"/>
  <c r="G79" i="92"/>
  <c r="D78" i="92"/>
  <c r="F76" i="92"/>
  <c r="C75" i="92"/>
  <c r="E73" i="92"/>
  <c r="G71" i="92"/>
  <c r="D70" i="92"/>
  <c r="F68" i="92"/>
  <c r="C67" i="92"/>
  <c r="E65" i="92"/>
  <c r="G63" i="92"/>
  <c r="D62" i="92"/>
  <c r="F60" i="92"/>
  <c r="C59" i="92"/>
  <c r="E57" i="92"/>
  <c r="F18" i="70" s="1"/>
  <c r="G55" i="92"/>
  <c r="D54" i="92"/>
  <c r="F52" i="92"/>
  <c r="C51" i="92"/>
  <c r="E49" i="92"/>
  <c r="G47" i="92"/>
  <c r="D46" i="92"/>
  <c r="F44" i="92"/>
  <c r="C43" i="92"/>
  <c r="E41" i="92"/>
  <c r="G39" i="92"/>
  <c r="D38" i="92"/>
  <c r="F36" i="92"/>
  <c r="C35" i="92"/>
  <c r="E33" i="92"/>
  <c r="G31" i="92"/>
  <c r="D30" i="92"/>
  <c r="F28" i="92"/>
  <c r="C27" i="92"/>
  <c r="E25" i="92"/>
  <c r="G23" i="92"/>
  <c r="D22" i="92"/>
  <c r="F20" i="92"/>
  <c r="C19" i="92"/>
  <c r="E17" i="92"/>
  <c r="G15" i="92"/>
  <c r="C94" i="92"/>
  <c r="E92" i="92"/>
  <c r="G90" i="92"/>
  <c r="D89" i="92"/>
  <c r="F87" i="92"/>
  <c r="C86" i="92"/>
  <c r="E84" i="92"/>
  <c r="G82" i="92"/>
  <c r="D81" i="92"/>
  <c r="F79" i="92"/>
  <c r="C78" i="92"/>
  <c r="E76" i="92"/>
  <c r="G74" i="92"/>
  <c r="D73" i="92"/>
  <c r="F71" i="92"/>
  <c r="C70" i="92"/>
  <c r="E68" i="92"/>
  <c r="G66" i="92"/>
  <c r="D65" i="92"/>
  <c r="F63" i="92"/>
  <c r="C62" i="92"/>
  <c r="E60" i="92"/>
  <c r="G58" i="92"/>
  <c r="D57" i="92"/>
  <c r="F55" i="92"/>
  <c r="C54" i="92"/>
  <c r="E52" i="92"/>
  <c r="G50" i="92"/>
  <c r="D49" i="92"/>
  <c r="F47" i="92"/>
  <c r="C46" i="92"/>
  <c r="E44" i="92"/>
  <c r="G42" i="92"/>
  <c r="D41" i="92"/>
  <c r="F39" i="92"/>
  <c r="C38" i="92"/>
  <c r="E36" i="92"/>
  <c r="G34" i="92"/>
  <c r="D33" i="92"/>
  <c r="F31" i="92"/>
  <c r="C30" i="92"/>
  <c r="E28" i="92"/>
  <c r="G26" i="92"/>
  <c r="D25" i="92"/>
  <c r="F23" i="92"/>
  <c r="C22" i="92"/>
  <c r="E20" i="92"/>
  <c r="G18" i="92"/>
  <c r="D17" i="92"/>
  <c r="F15" i="92"/>
  <c r="F93" i="92"/>
  <c r="C92" i="92"/>
  <c r="E90" i="92"/>
  <c r="G88" i="92"/>
  <c r="D87" i="92"/>
  <c r="F85" i="92"/>
  <c r="C84" i="92"/>
  <c r="E82" i="92"/>
  <c r="G80" i="92"/>
  <c r="D79" i="92"/>
  <c r="F77" i="92"/>
  <c r="C76" i="92"/>
  <c r="E74" i="92"/>
  <c r="G72" i="92"/>
  <c r="D71" i="92"/>
  <c r="F69" i="92"/>
  <c r="C68" i="92"/>
  <c r="E66" i="92"/>
  <c r="G64" i="92"/>
  <c r="D63" i="92"/>
  <c r="F61" i="92"/>
  <c r="C60" i="92"/>
  <c r="E58" i="92"/>
  <c r="G56" i="92"/>
  <c r="D55" i="92"/>
  <c r="F53" i="92"/>
  <c r="C52" i="92"/>
  <c r="E50" i="92"/>
  <c r="G48" i="92"/>
  <c r="D47" i="92"/>
  <c r="F45" i="92"/>
  <c r="C44" i="92"/>
  <c r="E42" i="92"/>
  <c r="G40" i="92"/>
  <c r="D39" i="92"/>
  <c r="F37" i="92"/>
  <c r="C36" i="92"/>
  <c r="E34" i="92"/>
  <c r="G32" i="92"/>
  <c r="D31" i="92"/>
  <c r="F29" i="92"/>
  <c r="C28" i="92"/>
  <c r="E26" i="92"/>
  <c r="G24" i="92"/>
  <c r="D23" i="92"/>
  <c r="F21" i="92"/>
  <c r="C20" i="92"/>
  <c r="E18" i="92"/>
  <c r="G16" i="92"/>
  <c r="D15" i="92"/>
  <c r="G93" i="92"/>
  <c r="C87" i="92"/>
  <c r="F80" i="92"/>
  <c r="D74" i="92"/>
  <c r="G67" i="92"/>
  <c r="E61" i="92"/>
  <c r="C55" i="92"/>
  <c r="F48" i="92"/>
  <c r="D42" i="92"/>
  <c r="G35" i="92"/>
  <c r="C31" i="92"/>
  <c r="F26" i="92"/>
  <c r="F22" i="92"/>
  <c r="D18" i="92"/>
  <c r="D92" i="92"/>
  <c r="G85" i="92"/>
  <c r="E79" i="92"/>
  <c r="C73" i="92"/>
  <c r="F66" i="92"/>
  <c r="D60" i="92"/>
  <c r="G53" i="92"/>
  <c r="E47" i="92"/>
  <c r="C41" i="92"/>
  <c r="F34" i="92"/>
  <c r="F30" i="92"/>
  <c r="D26" i="92"/>
  <c r="G21" i="92"/>
  <c r="G17" i="92"/>
  <c r="G91" i="92"/>
  <c r="E85" i="92"/>
  <c r="C79" i="92"/>
  <c r="F72" i="92"/>
  <c r="D66" i="92"/>
  <c r="G59" i="92"/>
  <c r="E53" i="92"/>
  <c r="C47" i="92"/>
  <c r="F40" i="92"/>
  <c r="D34" i="92"/>
  <c r="G29" i="92"/>
  <c r="G25" i="92"/>
  <c r="E21" i="92"/>
  <c r="C17" i="92"/>
  <c r="F90" i="92"/>
  <c r="D84" i="92"/>
  <c r="G77" i="92"/>
  <c r="E71" i="92"/>
  <c r="C65" i="92"/>
  <c r="F58" i="92"/>
  <c r="D52" i="92"/>
  <c r="G45" i="92"/>
  <c r="E39" i="92"/>
  <c r="G33" i="92"/>
  <c r="E29" i="92"/>
  <c r="C25" i="92"/>
  <c r="C21" i="92"/>
  <c r="F16" i="92"/>
  <c r="D90" i="92"/>
  <c r="G83" i="92"/>
  <c r="E77" i="92"/>
  <c r="C71" i="92"/>
  <c r="F64" i="92"/>
  <c r="D58" i="92"/>
  <c r="G51" i="92"/>
  <c r="E45" i="92"/>
  <c r="C39" i="92"/>
  <c r="C33" i="92"/>
  <c r="C29" i="92"/>
  <c r="F24" i="92"/>
  <c r="D20" i="92"/>
  <c r="D16" i="92"/>
  <c r="C89" i="92"/>
  <c r="F82" i="92"/>
  <c r="D76" i="92"/>
  <c r="G69" i="92"/>
  <c r="E63" i="92"/>
  <c r="C57" i="92"/>
  <c r="F50" i="92"/>
  <c r="D44" i="92"/>
  <c r="G37" i="92"/>
  <c r="F32" i="92"/>
  <c r="D28" i="92"/>
  <c r="D24" i="92"/>
  <c r="G19" i="92"/>
  <c r="E15" i="92"/>
  <c r="F88" i="92"/>
  <c r="D82" i="92"/>
  <c r="G75" i="92"/>
  <c r="E69" i="92"/>
  <c r="C63" i="92"/>
  <c r="F56" i="92"/>
  <c r="D50" i="92"/>
  <c r="G43" i="92"/>
  <c r="E37" i="92"/>
  <c r="D32" i="92"/>
  <c r="G27" i="92"/>
  <c r="E23" i="92"/>
  <c r="E19" i="92"/>
  <c r="C15" i="92"/>
  <c r="F41" i="85" s="1"/>
  <c r="H41" i="85" s="1"/>
  <c r="E87" i="92"/>
  <c r="C81" i="92"/>
  <c r="F74" i="92"/>
  <c r="D68" i="92"/>
  <c r="E55" i="92"/>
  <c r="C49" i="92"/>
  <c r="F42" i="92"/>
  <c r="D36" i="92"/>
  <c r="E31" i="92"/>
  <c r="E27" i="92"/>
  <c r="C23" i="92"/>
  <c r="F18" i="92"/>
  <c r="G61" i="92"/>
  <c r="J6" i="69"/>
  <c r="J6" i="47"/>
  <c r="J6" i="44"/>
  <c r="J6" i="63"/>
  <c r="J6" i="62"/>
  <c r="J6" i="83"/>
  <c r="J6" i="50"/>
  <c r="J6" i="90"/>
  <c r="J6" i="43"/>
  <c r="J6" i="41"/>
  <c r="L6" i="82"/>
  <c r="J6" i="71"/>
  <c r="J6" i="65"/>
  <c r="L6" i="72"/>
  <c r="J6" i="79"/>
  <c r="K6" i="78"/>
  <c r="J6" i="61"/>
  <c r="J6" i="89"/>
  <c r="J6" i="49"/>
  <c r="J6" i="48"/>
  <c r="J6" i="46"/>
  <c r="J6" i="66"/>
  <c r="J6" i="64"/>
  <c r="J6" i="67"/>
  <c r="J6" i="37"/>
  <c r="J6" i="40"/>
  <c r="J6" i="42"/>
  <c r="J6" i="84"/>
  <c r="J6" i="85"/>
  <c r="J6" i="91"/>
  <c r="J6" i="87"/>
  <c r="J6" i="57"/>
  <c r="J6" i="86"/>
  <c r="J6" i="70"/>
  <c r="J6" i="92"/>
  <c r="F40" i="40"/>
  <c r="F22" i="48"/>
  <c r="F31" i="42"/>
  <c r="F15" i="48"/>
  <c r="H29" i="42"/>
  <c r="H27" i="42"/>
  <c r="H25" i="42"/>
  <c r="H23" i="42"/>
  <c r="H21" i="42"/>
  <c r="H19" i="42"/>
  <c r="H17" i="42"/>
  <c r="H15" i="42"/>
  <c r="H31" i="42" s="1"/>
  <c r="H24" i="42"/>
  <c r="H28" i="42"/>
  <c r="H30" i="42"/>
  <c r="H22" i="42"/>
  <c r="H26" i="42"/>
  <c r="F36" i="40"/>
  <c r="H40" i="48"/>
  <c r="F18" i="40"/>
  <c r="F25" i="40"/>
  <c r="H38" i="48"/>
  <c r="F29" i="40"/>
  <c r="H30" i="48"/>
  <c r="F31" i="40"/>
  <c r="F25" i="50"/>
  <c r="F19" i="50"/>
  <c r="F15" i="44"/>
  <c r="H34" i="40"/>
  <c r="H64" i="37"/>
  <c r="G100" i="86"/>
  <c r="C98" i="86"/>
  <c r="E97" i="86"/>
  <c r="G96" i="86"/>
  <c r="C94" i="86"/>
  <c r="E93" i="86"/>
  <c r="G92" i="86"/>
  <c r="C100" i="86"/>
  <c r="D99" i="86"/>
  <c r="E98" i="86"/>
  <c r="F97" i="86"/>
  <c r="F96" i="86"/>
  <c r="G95" i="86"/>
  <c r="D90" i="86"/>
  <c r="F89" i="86"/>
  <c r="D86" i="86"/>
  <c r="F85" i="86"/>
  <c r="D82" i="86"/>
  <c r="F81" i="86"/>
  <c r="D78" i="86"/>
  <c r="F77" i="86"/>
  <c r="D74" i="86"/>
  <c r="F73" i="86"/>
  <c r="D70" i="86"/>
  <c r="F69" i="86"/>
  <c r="D66" i="86"/>
  <c r="F65" i="86"/>
  <c r="D62" i="86"/>
  <c r="F61" i="86"/>
  <c r="D58" i="86"/>
  <c r="F57" i="86"/>
  <c r="D54" i="86"/>
  <c r="F53" i="86"/>
  <c r="D50" i="86"/>
  <c r="F49" i="86"/>
  <c r="D46" i="86"/>
  <c r="F45" i="86"/>
  <c r="D42" i="86"/>
  <c r="F41" i="86"/>
  <c r="D38" i="86"/>
  <c r="F37" i="86"/>
  <c r="D34" i="86"/>
  <c r="F33" i="86"/>
  <c r="C99" i="86"/>
  <c r="D98" i="86"/>
  <c r="D97" i="86"/>
  <c r="E96" i="86"/>
  <c r="F95" i="86"/>
  <c r="G94" i="86"/>
  <c r="C90" i="86"/>
  <c r="E89" i="86"/>
  <c r="G88" i="86"/>
  <c r="C86" i="86"/>
  <c r="E85" i="86"/>
  <c r="G84" i="86"/>
  <c r="C82" i="86"/>
  <c r="E81" i="86"/>
  <c r="G80" i="86"/>
  <c r="C78" i="86"/>
  <c r="E77" i="86"/>
  <c r="G76" i="86"/>
  <c r="C74" i="86"/>
  <c r="E73" i="86"/>
  <c r="G72" i="86"/>
  <c r="C70" i="86"/>
  <c r="E69" i="86"/>
  <c r="G68" i="86"/>
  <c r="C66" i="86"/>
  <c r="E65" i="86"/>
  <c r="G64" i="86"/>
  <c r="C62" i="86"/>
  <c r="E61" i="86"/>
  <c r="G60" i="86"/>
  <c r="C58" i="86"/>
  <c r="E57" i="86"/>
  <c r="G56" i="86"/>
  <c r="C54" i="86"/>
  <c r="E53" i="86"/>
  <c r="G52" i="86"/>
  <c r="C50" i="86"/>
  <c r="E49" i="86"/>
  <c r="G48" i="86"/>
  <c r="C46" i="86"/>
  <c r="E45" i="86"/>
  <c r="G44" i="86"/>
  <c r="C42" i="86"/>
  <c r="E41" i="86"/>
  <c r="G40" i="86"/>
  <c r="C96" i="86"/>
  <c r="D95" i="86"/>
  <c r="E94" i="86"/>
  <c r="F93" i="86"/>
  <c r="F92" i="86"/>
  <c r="G91" i="86"/>
  <c r="C89" i="86"/>
  <c r="E88" i="86"/>
  <c r="G87" i="86"/>
  <c r="C85" i="86"/>
  <c r="E84" i="86"/>
  <c r="G83" i="86"/>
  <c r="C81" i="86"/>
  <c r="E80" i="86"/>
  <c r="G79" i="86"/>
  <c r="C77" i="86"/>
  <c r="E76" i="86"/>
  <c r="G75" i="86"/>
  <c r="C73" i="86"/>
  <c r="E72" i="86"/>
  <c r="G71" i="86"/>
  <c r="C69" i="86"/>
  <c r="E68" i="86"/>
  <c r="G67" i="86"/>
  <c r="C65" i="86"/>
  <c r="E64" i="86"/>
  <c r="G63" i="86"/>
  <c r="C61" i="86"/>
  <c r="E60" i="86"/>
  <c r="G59" i="86"/>
  <c r="C57" i="86"/>
  <c r="E56" i="86"/>
  <c r="G55" i="86"/>
  <c r="C53" i="86"/>
  <c r="E52" i="86"/>
  <c r="G51" i="86"/>
  <c r="C49" i="86"/>
  <c r="E48" i="86"/>
  <c r="G47" i="86"/>
  <c r="C45" i="86"/>
  <c r="E44" i="86"/>
  <c r="G43" i="86"/>
  <c r="C41" i="86"/>
  <c r="E40" i="86"/>
  <c r="G39" i="86"/>
  <c r="C37" i="86"/>
  <c r="E36" i="86"/>
  <c r="G35" i="86"/>
  <c r="C33" i="86"/>
  <c r="E32" i="86"/>
  <c r="G31" i="86"/>
  <c r="C29" i="86"/>
  <c r="E28" i="86"/>
  <c r="G27" i="86"/>
  <c r="C25" i="86"/>
  <c r="E24" i="86"/>
  <c r="G23" i="86"/>
  <c r="C95" i="86"/>
  <c r="D94" i="86"/>
  <c r="D93" i="86"/>
  <c r="E92" i="86"/>
  <c r="F91" i="86"/>
  <c r="D88" i="86"/>
  <c r="F87" i="86"/>
  <c r="D84" i="86"/>
  <c r="F83" i="86"/>
  <c r="D80" i="86"/>
  <c r="F79" i="86"/>
  <c r="D76" i="86"/>
  <c r="F75" i="86"/>
  <c r="D72" i="86"/>
  <c r="F71" i="86"/>
  <c r="D68" i="86"/>
  <c r="F67" i="86"/>
  <c r="D64" i="86"/>
  <c r="F63" i="86"/>
  <c r="D60" i="86"/>
  <c r="F59" i="86"/>
  <c r="D56" i="86"/>
  <c r="F55" i="86"/>
  <c r="D52" i="86"/>
  <c r="F51" i="86"/>
  <c r="D48" i="86"/>
  <c r="F47" i="86"/>
  <c r="D44" i="86"/>
  <c r="F43" i="86"/>
  <c r="D40" i="86"/>
  <c r="F39" i="86"/>
  <c r="D36" i="86"/>
  <c r="F35" i="86"/>
  <c r="D32" i="86"/>
  <c r="F31" i="86"/>
  <c r="F100" i="86"/>
  <c r="G99" i="86"/>
  <c r="C93" i="86"/>
  <c r="D92" i="86"/>
  <c r="E91" i="86"/>
  <c r="G90" i="86"/>
  <c r="C88" i="86"/>
  <c r="E87" i="86"/>
  <c r="G86" i="86"/>
  <c r="C84" i="86"/>
  <c r="E83" i="86"/>
  <c r="G82" i="86"/>
  <c r="C80" i="86"/>
  <c r="E79" i="86"/>
  <c r="G78" i="86"/>
  <c r="C76" i="86"/>
  <c r="E75" i="86"/>
  <c r="G74" i="86"/>
  <c r="C72" i="86"/>
  <c r="E71" i="86"/>
  <c r="G70" i="86"/>
  <c r="C68" i="86"/>
  <c r="E67" i="86"/>
  <c r="G66" i="86"/>
  <c r="C64" i="86"/>
  <c r="E63" i="86"/>
  <c r="G62" i="86"/>
  <c r="C60" i="86"/>
  <c r="E59" i="86"/>
  <c r="G58" i="86"/>
  <c r="C56" i="86"/>
  <c r="E55" i="86"/>
  <c r="G54" i="86"/>
  <c r="C52" i="86"/>
  <c r="E51" i="86"/>
  <c r="G50" i="86"/>
  <c r="C48" i="86"/>
  <c r="E47" i="86"/>
  <c r="E100" i="86"/>
  <c r="F99" i="86"/>
  <c r="G98" i="86"/>
  <c r="C92" i="86"/>
  <c r="D91" i="86"/>
  <c r="F90" i="86"/>
  <c r="D100" i="86"/>
  <c r="G89" i="86"/>
  <c r="D87" i="86"/>
  <c r="D85" i="86"/>
  <c r="C83" i="86"/>
  <c r="F74" i="86"/>
  <c r="F72" i="86"/>
  <c r="E70" i="86"/>
  <c r="G57" i="86"/>
  <c r="D55" i="86"/>
  <c r="D53" i="86"/>
  <c r="C51" i="86"/>
  <c r="D45" i="86"/>
  <c r="F40" i="86"/>
  <c r="C39" i="86"/>
  <c r="G36" i="86"/>
  <c r="D35" i="86"/>
  <c r="G30" i="86"/>
  <c r="G29" i="86"/>
  <c r="G28" i="86"/>
  <c r="C22" i="86"/>
  <c r="D96" i="86"/>
  <c r="D89" i="86"/>
  <c r="C87" i="86"/>
  <c r="F78" i="86"/>
  <c r="F76" i="86"/>
  <c r="E74" i="86"/>
  <c r="G61" i="86"/>
  <c r="D59" i="86"/>
  <c r="D57" i="86"/>
  <c r="C55" i="86"/>
  <c r="G46" i="86"/>
  <c r="E43" i="86"/>
  <c r="C40" i="86"/>
  <c r="F36" i="86"/>
  <c r="C35" i="86"/>
  <c r="F30" i="86"/>
  <c r="F29" i="86"/>
  <c r="F28" i="86"/>
  <c r="F27" i="86"/>
  <c r="G26" i="86"/>
  <c r="E99" i="86"/>
  <c r="F82" i="86"/>
  <c r="F80" i="86"/>
  <c r="E78" i="86"/>
  <c r="G65" i="86"/>
  <c r="D63" i="86"/>
  <c r="D61" i="86"/>
  <c r="C59" i="86"/>
  <c r="F50" i="86"/>
  <c r="F48" i="86"/>
  <c r="F46" i="86"/>
  <c r="D43" i="86"/>
  <c r="G37" i="86"/>
  <c r="C36" i="86"/>
  <c r="G32" i="86"/>
  <c r="E31" i="86"/>
  <c r="E30" i="86"/>
  <c r="E29" i="86"/>
  <c r="D28" i="86"/>
  <c r="E27" i="86"/>
  <c r="F26" i="86"/>
  <c r="G25" i="86"/>
  <c r="E95" i="86"/>
  <c r="F86" i="86"/>
  <c r="F84" i="86"/>
  <c r="E82" i="86"/>
  <c r="G69" i="86"/>
  <c r="D67" i="86"/>
  <c r="D65" i="86"/>
  <c r="C63" i="86"/>
  <c r="F54" i="86"/>
  <c r="F52" i="86"/>
  <c r="E50" i="86"/>
  <c r="E46" i="86"/>
  <c r="C43" i="86"/>
  <c r="G41" i="86"/>
  <c r="G38" i="86"/>
  <c r="E37" i="86"/>
  <c r="G33" i="86"/>
  <c r="F32" i="86"/>
  <c r="D31" i="86"/>
  <c r="D30" i="86"/>
  <c r="D29" i="86"/>
  <c r="C28" i="86"/>
  <c r="D27" i="86"/>
  <c r="E26" i="86"/>
  <c r="F25" i="86"/>
  <c r="G24" i="86"/>
  <c r="F98" i="86"/>
  <c r="C91" i="86"/>
  <c r="F88" i="86"/>
  <c r="E86" i="86"/>
  <c r="G73" i="86"/>
  <c r="D71" i="86"/>
  <c r="D69" i="86"/>
  <c r="C67" i="86"/>
  <c r="F58" i="86"/>
  <c r="F56" i="86"/>
  <c r="E54" i="86"/>
  <c r="F44" i="86"/>
  <c r="D41" i="86"/>
  <c r="F38" i="86"/>
  <c r="D37" i="86"/>
  <c r="G34" i="86"/>
  <c r="E33" i="86"/>
  <c r="C32" i="86"/>
  <c r="C31" i="86"/>
  <c r="C30" i="86"/>
  <c r="C27" i="86"/>
  <c r="D26" i="86"/>
  <c r="E25" i="86"/>
  <c r="F24" i="86"/>
  <c r="F23" i="86"/>
  <c r="G22" i="86"/>
  <c r="F94" i="86"/>
  <c r="G77" i="86"/>
  <c r="D75" i="86"/>
  <c r="D73" i="86"/>
  <c r="C71" i="86"/>
  <c r="F62" i="86"/>
  <c r="F60" i="86"/>
  <c r="E58" i="86"/>
  <c r="C44" i="86"/>
  <c r="G42" i="86"/>
  <c r="E38" i="86"/>
  <c r="F34" i="86"/>
  <c r="D33" i="86"/>
  <c r="C26" i="86"/>
  <c r="D25" i="86"/>
  <c r="D24" i="86"/>
  <c r="E23" i="86"/>
  <c r="F22" i="86"/>
  <c r="C97" i="86"/>
  <c r="G93" i="86"/>
  <c r="G85" i="86"/>
  <c r="D83" i="86"/>
  <c r="D81" i="86"/>
  <c r="C79" i="86"/>
  <c r="F70" i="86"/>
  <c r="F68" i="86"/>
  <c r="E66" i="86"/>
  <c r="G53" i="86"/>
  <c r="D51" i="86"/>
  <c r="D49" i="86"/>
  <c r="C47" i="86"/>
  <c r="G45" i="86"/>
  <c r="E42" i="86"/>
  <c r="D39" i="86"/>
  <c r="E35" i="86"/>
  <c r="C34" i="86"/>
  <c r="C23" i="86"/>
  <c r="D22" i="86"/>
  <c r="E39" i="86"/>
  <c r="E22" i="86"/>
  <c r="C38" i="86"/>
  <c r="F66" i="86"/>
  <c r="G49" i="86"/>
  <c r="G81" i="86"/>
  <c r="F64" i="86"/>
  <c r="D47" i="86"/>
  <c r="D79" i="86"/>
  <c r="E62" i="86"/>
  <c r="E34" i="86"/>
  <c r="G97" i="86"/>
  <c r="D77" i="86"/>
  <c r="C75" i="86"/>
  <c r="F42" i="86"/>
  <c r="C24" i="86"/>
  <c r="E90" i="86"/>
  <c r="D23" i="86"/>
  <c r="P52" i="84"/>
  <c r="H24" i="50"/>
  <c r="H28" i="47"/>
  <c r="E16" i="69"/>
  <c r="F18" i="50"/>
  <c r="H41" i="48"/>
  <c r="H29" i="50"/>
  <c r="F16" i="44"/>
  <c r="F26" i="50"/>
  <c r="F34" i="48"/>
  <c r="F28" i="50"/>
  <c r="F21" i="40"/>
  <c r="H35" i="48"/>
  <c r="F35" i="48"/>
  <c r="H26" i="50"/>
  <c r="H15" i="48"/>
  <c r="F52" i="40"/>
  <c r="H27" i="48"/>
  <c r="H33" i="48"/>
  <c r="F17" i="41"/>
  <c r="G17" i="41" s="1"/>
  <c r="E18" i="41"/>
  <c r="H17" i="41"/>
  <c r="F23" i="40"/>
  <c r="F33" i="48"/>
  <c r="F56" i="37"/>
  <c r="F20" i="40"/>
  <c r="F64" i="37"/>
  <c r="H19" i="48"/>
  <c r="L34" i="84"/>
  <c r="L35" i="84"/>
  <c r="F14" i="40"/>
  <c r="H26" i="40"/>
  <c r="H24" i="48"/>
  <c r="H42" i="48" s="1"/>
  <c r="H45" i="37"/>
  <c r="H51" i="37"/>
  <c r="H20" i="49"/>
  <c r="F44" i="37"/>
  <c r="F60" i="37"/>
  <c r="F45" i="37"/>
  <c r="D35" i="84"/>
  <c r="D34" i="84"/>
  <c r="C33" i="84"/>
  <c r="D52" i="84"/>
  <c r="H20" i="40"/>
  <c r="H16" i="42"/>
  <c r="H30" i="40"/>
  <c r="D51" i="84"/>
  <c r="L39" i="91" l="1"/>
  <c r="L51" i="91"/>
  <c r="L26" i="91"/>
  <c r="L57" i="91"/>
  <c r="L34" i="91"/>
  <c r="L61" i="91"/>
  <c r="L35" i="91"/>
  <c r="L40" i="91"/>
  <c r="L56" i="91"/>
  <c r="L36" i="91"/>
  <c r="L27" i="91"/>
  <c r="L60" i="91"/>
  <c r="L41" i="91"/>
  <c r="L58" i="91"/>
  <c r="L24" i="91"/>
  <c r="L49" i="91"/>
  <c r="L22" i="91"/>
  <c r="L53" i="91"/>
  <c r="L43" i="91"/>
  <c r="L48" i="91"/>
  <c r="L59" i="91"/>
  <c r="L54" i="91"/>
  <c r="L44" i="91"/>
  <c r="L55" i="91"/>
  <c r="L25" i="91"/>
  <c r="L28" i="91"/>
  <c r="L62" i="91"/>
  <c r="L32" i="91"/>
  <c r="L54" i="86"/>
  <c r="K54" i="86"/>
  <c r="I54" i="86"/>
  <c r="H54" i="86"/>
  <c r="J54" i="86"/>
  <c r="L86" i="86"/>
  <c r="K86" i="86"/>
  <c r="I86" i="86"/>
  <c r="H86" i="86"/>
  <c r="J86" i="86"/>
  <c r="H44" i="86"/>
  <c r="L44" i="86"/>
  <c r="K44" i="86"/>
  <c r="J44" i="86"/>
  <c r="I44" i="86"/>
  <c r="K23" i="86"/>
  <c r="J23" i="86"/>
  <c r="I23" i="86"/>
  <c r="H23" i="86"/>
  <c r="L23" i="86"/>
  <c r="H36" i="86"/>
  <c r="L36" i="86"/>
  <c r="K36" i="86"/>
  <c r="I36" i="86"/>
  <c r="J36" i="86"/>
  <c r="C35" i="84"/>
  <c r="F36" i="70" s="1"/>
  <c r="F34" i="84"/>
  <c r="J34" i="84"/>
  <c r="C33" i="57"/>
  <c r="C24" i="57"/>
  <c r="C42" i="57"/>
  <c r="C25" i="57"/>
  <c r="H34" i="84"/>
  <c r="K97" i="86"/>
  <c r="J97" i="86"/>
  <c r="I97" i="86"/>
  <c r="H97" i="86"/>
  <c r="L97" i="86"/>
  <c r="H27" i="86"/>
  <c r="L27" i="86"/>
  <c r="K27" i="86"/>
  <c r="I27" i="86"/>
  <c r="J27" i="86"/>
  <c r="J92" i="86"/>
  <c r="I92" i="86"/>
  <c r="L92" i="86"/>
  <c r="K92" i="86"/>
  <c r="H92" i="86"/>
  <c r="H52" i="86"/>
  <c r="L52" i="86"/>
  <c r="K52" i="86"/>
  <c r="J52" i="86"/>
  <c r="I52" i="86"/>
  <c r="H84" i="86"/>
  <c r="L84" i="86"/>
  <c r="K84" i="86"/>
  <c r="J84" i="86"/>
  <c r="I84" i="86"/>
  <c r="K37" i="86"/>
  <c r="J37" i="86"/>
  <c r="I37" i="86"/>
  <c r="H37" i="86"/>
  <c r="L37" i="86"/>
  <c r="K69" i="86"/>
  <c r="J69" i="86"/>
  <c r="I69" i="86"/>
  <c r="L69" i="86"/>
  <c r="H69" i="86"/>
  <c r="L42" i="86"/>
  <c r="K42" i="86"/>
  <c r="I42" i="86"/>
  <c r="H42" i="86"/>
  <c r="J42" i="86"/>
  <c r="L74" i="86"/>
  <c r="K74" i="86"/>
  <c r="I74" i="86"/>
  <c r="H74" i="86"/>
  <c r="J74" i="86"/>
  <c r="P34" i="84"/>
  <c r="F42" i="48"/>
  <c r="H64" i="86"/>
  <c r="L64" i="86"/>
  <c r="K64" i="86"/>
  <c r="J64" i="86"/>
  <c r="I64" i="86"/>
  <c r="H76" i="86"/>
  <c r="L76" i="86"/>
  <c r="K76" i="86"/>
  <c r="I76" i="86"/>
  <c r="J76" i="86"/>
  <c r="L66" i="86"/>
  <c r="K66" i="86"/>
  <c r="I66" i="86"/>
  <c r="H66" i="86"/>
  <c r="J66" i="86"/>
  <c r="F55" i="40"/>
  <c r="J79" i="86"/>
  <c r="I79" i="86"/>
  <c r="L79" i="86"/>
  <c r="K79" i="86"/>
  <c r="H79" i="86"/>
  <c r="L32" i="86"/>
  <c r="I32" i="86"/>
  <c r="H32" i="86"/>
  <c r="J32" i="86"/>
  <c r="K32" i="86"/>
  <c r="I91" i="86"/>
  <c r="K91" i="86"/>
  <c r="J91" i="86"/>
  <c r="L91" i="86"/>
  <c r="H91" i="86"/>
  <c r="H56" i="86"/>
  <c r="L56" i="86"/>
  <c r="K56" i="86"/>
  <c r="J56" i="86"/>
  <c r="I56" i="86"/>
  <c r="H88" i="86"/>
  <c r="L88" i="86"/>
  <c r="K88" i="86"/>
  <c r="J88" i="86"/>
  <c r="I88" i="86"/>
  <c r="K41" i="86"/>
  <c r="J41" i="86"/>
  <c r="L41" i="86"/>
  <c r="I41" i="86"/>
  <c r="H41" i="86"/>
  <c r="K73" i="86"/>
  <c r="J73" i="86"/>
  <c r="I73" i="86"/>
  <c r="L73" i="86"/>
  <c r="H73" i="86"/>
  <c r="L46" i="86"/>
  <c r="K46" i="86"/>
  <c r="I46" i="86"/>
  <c r="H46" i="86"/>
  <c r="J46" i="86"/>
  <c r="L78" i="86"/>
  <c r="K78" i="86"/>
  <c r="I78" i="86"/>
  <c r="H78" i="86"/>
  <c r="J78" i="86"/>
  <c r="L42" i="91"/>
  <c r="L28" i="86"/>
  <c r="K28" i="86"/>
  <c r="J28" i="86"/>
  <c r="H28" i="86"/>
  <c r="I28" i="86"/>
  <c r="J83" i="86"/>
  <c r="I83" i="86"/>
  <c r="L83" i="86"/>
  <c r="K83" i="86"/>
  <c r="H83" i="86"/>
  <c r="H30" i="50"/>
  <c r="I31" i="86"/>
  <c r="H31" i="86"/>
  <c r="L31" i="86"/>
  <c r="J31" i="86"/>
  <c r="K31" i="86"/>
  <c r="K61" i="86"/>
  <c r="J61" i="86"/>
  <c r="I61" i="86"/>
  <c r="H61" i="86"/>
  <c r="L61" i="86"/>
  <c r="J47" i="86"/>
  <c r="I47" i="86"/>
  <c r="L47" i="86"/>
  <c r="K47" i="86"/>
  <c r="H47" i="86"/>
  <c r="H40" i="86"/>
  <c r="L40" i="86"/>
  <c r="K40" i="86"/>
  <c r="I40" i="86"/>
  <c r="J40" i="86"/>
  <c r="H68" i="86"/>
  <c r="L68" i="86"/>
  <c r="K68" i="86"/>
  <c r="J68" i="86"/>
  <c r="I68" i="86"/>
  <c r="I95" i="86"/>
  <c r="L95" i="86"/>
  <c r="K95" i="86"/>
  <c r="J95" i="86"/>
  <c r="H95" i="86"/>
  <c r="K53" i="86"/>
  <c r="J53" i="86"/>
  <c r="I53" i="86"/>
  <c r="L53" i="86"/>
  <c r="H53" i="86"/>
  <c r="K85" i="86"/>
  <c r="J85" i="86"/>
  <c r="I85" i="86"/>
  <c r="L85" i="86"/>
  <c r="H85" i="86"/>
  <c r="L58" i="86"/>
  <c r="K58" i="86"/>
  <c r="I58" i="86"/>
  <c r="H58" i="86"/>
  <c r="J58" i="86"/>
  <c r="L90" i="86"/>
  <c r="K90" i="86"/>
  <c r="I90" i="86"/>
  <c r="H90" i="86"/>
  <c r="J90" i="86"/>
  <c r="K98" i="86"/>
  <c r="J98" i="86"/>
  <c r="I98" i="86"/>
  <c r="H98" i="86"/>
  <c r="L98" i="86"/>
  <c r="F34" i="70"/>
  <c r="F17" i="70"/>
  <c r="N34" i="84"/>
  <c r="L46" i="91"/>
  <c r="I30" i="86"/>
  <c r="H30" i="86"/>
  <c r="L30" i="86"/>
  <c r="J30" i="86"/>
  <c r="K30" i="86"/>
  <c r="I22" i="86"/>
  <c r="L22" i="86"/>
  <c r="K22" i="86"/>
  <c r="J22" i="86"/>
  <c r="H22" i="86"/>
  <c r="K49" i="86"/>
  <c r="J49" i="86"/>
  <c r="I49" i="86"/>
  <c r="L49" i="86"/>
  <c r="H49" i="86"/>
  <c r="K81" i="86"/>
  <c r="J81" i="86"/>
  <c r="I81" i="86"/>
  <c r="L81" i="86"/>
  <c r="H81" i="86"/>
  <c r="F30" i="50"/>
  <c r="J43" i="86"/>
  <c r="I43" i="86"/>
  <c r="H43" i="86"/>
  <c r="K43" i="86"/>
  <c r="L43" i="86"/>
  <c r="J51" i="86"/>
  <c r="I51" i="86"/>
  <c r="L51" i="86"/>
  <c r="K51" i="86"/>
  <c r="H51" i="86"/>
  <c r="H18" i="41"/>
  <c r="F18" i="41"/>
  <c r="G18" i="41" s="1"/>
  <c r="E19" i="41"/>
  <c r="J24" i="86"/>
  <c r="I24" i="86"/>
  <c r="H24" i="86"/>
  <c r="K24" i="86"/>
  <c r="L24" i="86"/>
  <c r="I26" i="86"/>
  <c r="H26" i="86"/>
  <c r="L26" i="86"/>
  <c r="J26" i="86"/>
  <c r="K26" i="86"/>
  <c r="J67" i="86"/>
  <c r="I67" i="86"/>
  <c r="L67" i="86"/>
  <c r="K67" i="86"/>
  <c r="H67" i="86"/>
  <c r="J59" i="86"/>
  <c r="I59" i="86"/>
  <c r="H59" i="86"/>
  <c r="K59" i="86"/>
  <c r="L59" i="86"/>
  <c r="H48" i="86"/>
  <c r="L48" i="86"/>
  <c r="K48" i="86"/>
  <c r="J48" i="86"/>
  <c r="I48" i="86"/>
  <c r="H80" i="86"/>
  <c r="L80" i="86"/>
  <c r="K80" i="86"/>
  <c r="J80" i="86"/>
  <c r="I80" i="86"/>
  <c r="K33" i="86"/>
  <c r="J33" i="86"/>
  <c r="L33" i="86"/>
  <c r="I33" i="86"/>
  <c r="H33" i="86"/>
  <c r="K65" i="86"/>
  <c r="J65" i="86"/>
  <c r="I65" i="86"/>
  <c r="L65" i="86"/>
  <c r="H65" i="86"/>
  <c r="L96" i="86"/>
  <c r="K96" i="86"/>
  <c r="J96" i="86"/>
  <c r="I96" i="86"/>
  <c r="H96" i="86"/>
  <c r="L70" i="86"/>
  <c r="K70" i="86"/>
  <c r="I70" i="86"/>
  <c r="H70" i="86"/>
  <c r="J70" i="86"/>
  <c r="L30" i="91"/>
  <c r="L47" i="91"/>
  <c r="J35" i="86"/>
  <c r="L35" i="86"/>
  <c r="K35" i="86"/>
  <c r="I35" i="86"/>
  <c r="H35" i="86"/>
  <c r="J71" i="86"/>
  <c r="I71" i="86"/>
  <c r="L71" i="86"/>
  <c r="K71" i="86"/>
  <c r="H71" i="86"/>
  <c r="J87" i="86"/>
  <c r="I87" i="86"/>
  <c r="L87" i="86"/>
  <c r="H87" i="86"/>
  <c r="K87" i="86"/>
  <c r="H60" i="86"/>
  <c r="L60" i="86"/>
  <c r="K60" i="86"/>
  <c r="J60" i="86"/>
  <c r="I60" i="86"/>
  <c r="K45" i="86"/>
  <c r="J45" i="86"/>
  <c r="L45" i="86"/>
  <c r="I45" i="86"/>
  <c r="H45" i="86"/>
  <c r="K77" i="86"/>
  <c r="J77" i="86"/>
  <c r="I77" i="86"/>
  <c r="L77" i="86"/>
  <c r="H77" i="86"/>
  <c r="L50" i="86"/>
  <c r="K50" i="86"/>
  <c r="I50" i="86"/>
  <c r="H50" i="86"/>
  <c r="J50" i="86"/>
  <c r="L82" i="86"/>
  <c r="K82" i="86"/>
  <c r="I82" i="86"/>
  <c r="H82" i="86"/>
  <c r="J82" i="86"/>
  <c r="L100" i="86"/>
  <c r="K100" i="86"/>
  <c r="I100" i="86"/>
  <c r="H100" i="86"/>
  <c r="J100" i="86"/>
  <c r="G19" i="69"/>
  <c r="G15" i="69"/>
  <c r="G20" i="69"/>
  <c r="G16" i="69"/>
  <c r="G17" i="69"/>
  <c r="L31" i="91"/>
  <c r="K94" i="86"/>
  <c r="H94" i="86"/>
  <c r="L94" i="86"/>
  <c r="J94" i="86"/>
  <c r="I94" i="86"/>
  <c r="L38" i="86"/>
  <c r="I38" i="86"/>
  <c r="H38" i="86"/>
  <c r="K38" i="86"/>
  <c r="J38" i="86"/>
  <c r="K29" i="86"/>
  <c r="J29" i="86"/>
  <c r="L29" i="86"/>
  <c r="H29" i="86"/>
  <c r="I29" i="86"/>
  <c r="I99" i="86"/>
  <c r="L99" i="86"/>
  <c r="J99" i="86"/>
  <c r="H99" i="86"/>
  <c r="K99" i="86"/>
  <c r="J75" i="86"/>
  <c r="I75" i="86"/>
  <c r="L75" i="86"/>
  <c r="K75" i="86"/>
  <c r="H75" i="86"/>
  <c r="L34" i="86"/>
  <c r="I34" i="86"/>
  <c r="H34" i="86"/>
  <c r="K34" i="86"/>
  <c r="J34" i="86"/>
  <c r="J63" i="86"/>
  <c r="I63" i="86"/>
  <c r="K63" i="86"/>
  <c r="H63" i="86"/>
  <c r="L63" i="86"/>
  <c r="J55" i="86"/>
  <c r="I55" i="86"/>
  <c r="L55" i="86"/>
  <c r="H55" i="86"/>
  <c r="K55" i="86"/>
  <c r="J39" i="86"/>
  <c r="L39" i="86"/>
  <c r="K39" i="86"/>
  <c r="I39" i="86"/>
  <c r="H39" i="86"/>
  <c r="H72" i="86"/>
  <c r="L72" i="86"/>
  <c r="K72" i="86"/>
  <c r="I72" i="86"/>
  <c r="J72" i="86"/>
  <c r="I93" i="86"/>
  <c r="H93" i="86"/>
  <c r="L93" i="86"/>
  <c r="K93" i="86"/>
  <c r="J93" i="86"/>
  <c r="K25" i="86"/>
  <c r="I25" i="86"/>
  <c r="H25" i="86"/>
  <c r="J25" i="86"/>
  <c r="L25" i="86"/>
  <c r="K57" i="86"/>
  <c r="J57" i="86"/>
  <c r="I57" i="86"/>
  <c r="H57" i="86"/>
  <c r="L57" i="86"/>
  <c r="K89" i="86"/>
  <c r="J89" i="86"/>
  <c r="I89" i="86"/>
  <c r="H89" i="86"/>
  <c r="L89" i="86"/>
  <c r="L62" i="86"/>
  <c r="K62" i="86"/>
  <c r="I62" i="86"/>
  <c r="H62" i="86"/>
  <c r="J62" i="86"/>
  <c r="E21" i="69"/>
  <c r="G18" i="69"/>
  <c r="H65" i="37"/>
  <c r="G14" i="69"/>
  <c r="G21" i="69" s="1"/>
  <c r="F19" i="41" l="1"/>
  <c r="G19" i="41" s="1"/>
  <c r="E20" i="41"/>
  <c r="H19" i="41"/>
  <c r="H20" i="41" l="1"/>
  <c r="F20" i="41"/>
  <c r="G20" i="41" s="1"/>
  <c r="E21" i="41"/>
  <c r="F21" i="41" l="1"/>
  <c r="G21" i="41" s="1"/>
  <c r="E22" i="41"/>
  <c r="H21" i="41"/>
  <c r="H22" i="41" l="1"/>
  <c r="F22" i="41"/>
  <c r="G22" i="41" s="1"/>
  <c r="E23" i="41"/>
  <c r="F23" i="41" l="1"/>
  <c r="G23" i="41" s="1"/>
  <c r="E24" i="41"/>
  <c r="H23" i="41"/>
  <c r="H24" i="41" l="1"/>
  <c r="F24" i="41"/>
  <c r="G24" i="41" s="1"/>
  <c r="E25" i="41"/>
  <c r="F25" i="41" l="1"/>
  <c r="G25" i="41" s="1"/>
  <c r="E26" i="41"/>
  <c r="H25" i="41"/>
  <c r="H26" i="41" l="1"/>
  <c r="F26" i="41"/>
  <c r="G26" i="41" s="1"/>
  <c r="E27" i="41"/>
  <c r="F27" i="41" l="1"/>
  <c r="G27" i="41" s="1"/>
  <c r="E28" i="41"/>
  <c r="H27" i="41"/>
  <c r="H28" i="41" l="1"/>
  <c r="F28" i="41"/>
  <c r="G28" i="41" s="1"/>
  <c r="E29" i="41"/>
  <c r="F29" i="41" l="1"/>
  <c r="G29" i="41" s="1"/>
  <c r="H29" i="41"/>
  <c r="E30" i="41"/>
  <c r="H30" i="41" l="1"/>
  <c r="F30" i="41"/>
  <c r="G30" i="41" s="1"/>
  <c r="E31" i="41"/>
  <c r="F31" i="41" l="1"/>
  <c r="G31" i="41" s="1"/>
  <c r="H31" i="41"/>
  <c r="E32" i="41"/>
  <c r="H32" i="41" l="1"/>
  <c r="F32" i="41"/>
  <c r="G32" i="41" s="1"/>
  <c r="E33" i="41"/>
  <c r="F33" i="41" l="1"/>
  <c r="G33" i="41" s="1"/>
  <c r="E34" i="41"/>
  <c r="H33" i="41"/>
  <c r="H34" i="41" l="1"/>
  <c r="F34" i="41"/>
  <c r="G34" i="41" s="1"/>
  <c r="E35" i="41"/>
  <c r="F35" i="41" l="1"/>
  <c r="G35" i="41" s="1"/>
  <c r="E36" i="41"/>
  <c r="H35" i="41"/>
  <c r="H36" i="41" l="1"/>
  <c r="F36" i="41"/>
  <c r="G36" i="41" s="1"/>
  <c r="E37" i="41"/>
  <c r="F37" i="41" l="1"/>
  <c r="G37" i="41" s="1"/>
  <c r="E38" i="41"/>
  <c r="H37" i="41"/>
  <c r="H38" i="41" l="1"/>
  <c r="H39" i="41" s="1"/>
  <c r="F38" i="41"/>
  <c r="G38" i="41" l="1"/>
  <c r="G39" i="41" s="1"/>
  <c r="F39" i="41"/>
</calcChain>
</file>

<file path=xl/sharedStrings.xml><?xml version="1.0" encoding="utf-8"?>
<sst xmlns="http://schemas.openxmlformats.org/spreadsheetml/2006/main" count="2858" uniqueCount="1594">
  <si>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</si>
  <si>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</si>
  <si>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</si>
  <si>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</si>
  <si>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</si>
  <si>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</si>
  <si>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</si>
  <si>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</si>
  <si>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</si>
  <si>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</si>
  <si>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</si>
  <si>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</si>
  <si>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</si>
  <si>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</si>
  <si>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</si>
  <si>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</si>
  <si>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</si>
  <si>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</si>
  <si>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</si>
  <si>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</si>
  <si>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</si>
  <si>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</si>
  <si>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</si>
  <si>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</si>
  <si>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</si>
  <si>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</si>
  <si>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</si>
  <si>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</si>
  <si>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</si>
  <si>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</si>
  <si>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</si>
  <si>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</si>
  <si>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</si>
  <si>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</si>
  <si>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</si>
  <si>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</si>
  <si>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</si>
  <si>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</si>
  <si>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</si>
  <si>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</si>
  <si>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</si>
  <si>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</si>
  <si>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</si>
  <si>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</si>
  <si>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</si>
  <si>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</si>
  <si>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</si>
  <si>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</si>
  <si>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</si>
  <si>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</si>
  <si>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</si>
  <si>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</si>
  <si>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</si>
  <si>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</si>
  <si>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</si>
  <si>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</si>
  <si>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</si>
  <si>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</si>
  <si>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</si>
  <si>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</si>
  <si>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</si>
  <si>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</si>
  <si>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</si>
  <si>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</si>
  <si>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</si>
  <si>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</si>
  <si>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</si>
  <si>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</si>
  <si>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</si>
  <si>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</si>
  <si>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</si>
  <si>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</si>
  <si>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</si>
  <si>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</si>
  <si>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</si>
  <si>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</si>
  <si>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</si>
  <si>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</si>
  <si>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Berlin</t>
  </si>
  <si>
    <t>Brandenburg</t>
  </si>
  <si>
    <t>Bremen</t>
  </si>
  <si>
    <t>Hamburg</t>
  </si>
  <si>
    <t>Saarland</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</si>
  <si>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</si>
  <si>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</si>
  <si>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</si>
  <si>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</si>
  <si>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</si>
  <si>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</si>
  <si>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</si>
  <si>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</si>
  <si>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</si>
  <si>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</si>
  <si>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</si>
  <si>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</si>
  <si>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</si>
  <si>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</si>
  <si>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</si>
  <si>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</si>
  <si>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</si>
  <si>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</si>
  <si>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</si>
  <si>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</si>
  <si>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</si>
  <si>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</si>
  <si>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</si>
  <si>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</si>
  <si>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</si>
  <si>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</si>
  <si>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</si>
  <si>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</si>
  <si>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</si>
  <si>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</si>
  <si>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</si>
  <si>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</si>
  <si>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</si>
  <si>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</si>
  <si>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</si>
  <si>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</si>
  <si>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</si>
  <si>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Bavaria</t>
  </si>
  <si>
    <t>Hesse</t>
  </si>
  <si>
    <t>Lower Saxony</t>
  </si>
  <si>
    <t>Saxony-Anhalt</t>
  </si>
  <si>
    <t>Thuringia</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</si>
  <si>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</si>
  <si>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</si>
  <si>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</si>
  <si>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</si>
  <si>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</si>
  <si>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</si>
  <si>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</si>
  <si>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</si>
  <si>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</si>
  <si>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</si>
  <si>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</si>
  <si>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</si>
  <si>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</si>
  <si>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</si>
  <si>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</si>
  <si>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</si>
  <si>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</si>
  <si>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</si>
  <si>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</si>
  <si>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</si>
  <si>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</si>
  <si>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</si>
  <si>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</si>
  <si>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</si>
  <si>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</si>
  <si>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</si>
  <si>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</si>
  <si>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</si>
  <si>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</si>
  <si>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</si>
  <si>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</si>
  <si>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</si>
  <si>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</si>
  <si>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</si>
  <si>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</si>
  <si>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</si>
  <si>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</si>
  <si>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</si>
  <si>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</si>
  <si>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</si>
  <si>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</si>
  <si>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</si>
  <si>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</si>
  <si>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</si>
  <si>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</si>
  <si>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</si>
  <si>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</si>
  <si>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</si>
  <si>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</si>
  <si>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</si>
  <si>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</si>
  <si>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</si>
  <si>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</si>
  <si>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</si>
  <si>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</si>
  <si>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</si>
  <si>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</si>
  <si>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</si>
  <si>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</si>
  <si>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</si>
  <si>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</si>
  <si>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</si>
  <si>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</si>
  <si>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</si>
  <si>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</si>
  <si>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</si>
  <si>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</si>
  <si>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</si>
  <si>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</si>
  <si>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</si>
  <si>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</si>
  <si>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</si>
  <si>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</si>
  <si>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</si>
  <si>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</si>
  <si>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</si>
  <si>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</si>
  <si>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</si>
  <si>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</si>
  <si>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</si>
  <si>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</si>
  <si>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</si>
  <si>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</si>
  <si>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</si>
  <si>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</si>
  <si>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</si>
  <si>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</si>
  <si>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</si>
  <si>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</si>
  <si>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</si>
  <si>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</si>
  <si>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</si>
  <si>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</si>
  <si>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</si>
  <si>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</si>
  <si>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</si>
  <si>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</si>
  <si>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</si>
  <si>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</si>
  <si>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</si>
  <si>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</si>
  <si>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</si>
  <si>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</si>
  <si>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</si>
  <si>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</si>
  <si>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</si>
  <si>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</si>
  <si>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</si>
  <si>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</si>
  <si>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</si>
  <si>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</si>
  <si>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Transaction and Purchase Shortfall Account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</si>
  <si>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</si>
  <si>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</si>
  <si>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</si>
  <si>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</si>
  <si>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</si>
  <si>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</si>
  <si>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</si>
  <si>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</si>
  <si>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</si>
  <si>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</si>
  <si>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</si>
  <si>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</si>
  <si>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</si>
  <si>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</si>
  <si>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Class G</t>
  </si>
  <si>
    <t>Fitch</t>
  </si>
  <si>
    <t>Moody's</t>
  </si>
  <si>
    <t>RTG_MDY_OUTLOOK</t>
  </si>
  <si>
    <t xml:space="preserve">    Original Rating (Fitch / Moody's)</t>
  </si>
  <si>
    <t xml:space="preserve">    Current Rating (Fitch / Moody's)*</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</si>
  <si>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</si>
  <si>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</si>
  <si>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</si>
  <si>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</si>
  <si>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</si>
  <si>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</si>
  <si>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</si>
  <si>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</si>
  <si>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</si>
  <si>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</si>
  <si>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Société Générale S.A.</t>
  </si>
  <si>
    <t>22-24 Boulevard Royal</t>
  </si>
  <si>
    <t>Grand Duchy of Luxembourg</t>
  </si>
  <si>
    <t>L-2449 Luxembourg,</t>
  </si>
  <si>
    <t>Circumference FS (Luxembourg) S.A.</t>
  </si>
  <si>
    <t>Spain</t>
  </si>
  <si>
    <t>Barbara Strozzilaan 101</t>
  </si>
  <si>
    <t>Interest Swap Counterparty:</t>
  </si>
  <si>
    <t>Platz der Republik</t>
  </si>
  <si>
    <t>60265 Frankfurt am Main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</si>
  <si>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</si>
  <si>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</si>
  <si>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</si>
  <si>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DZ Bank AG</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</si>
  <si>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</si>
  <si>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</si>
  <si>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</si>
  <si>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</si>
  <si>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</si>
  <si>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</si>
  <si>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</si>
  <si>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</si>
  <si>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</si>
  <si>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</si>
  <si>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</si>
  <si>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</si>
  <si>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</si>
  <si>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</si>
  <si>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</si>
  <si>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</si>
  <si>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Kapitalmärkte Handel / ABS-Emissionen</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</si>
  <si>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</si>
  <si>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</si>
  <si>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</si>
  <si>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</si>
  <si>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</si>
  <si>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</si>
  <si>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</si>
  <si>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</si>
  <si>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</si>
  <si>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</si>
  <si>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</si>
  <si>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</si>
  <si>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</si>
  <si>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</si>
  <si>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</si>
  <si>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</si>
  <si>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</si>
  <si>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</si>
  <si>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</si>
  <si>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</si>
  <si>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B (If Most Senior Note or Class B PDL &lt; 25%)</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</si>
  <si>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</si>
  <si>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</si>
  <si>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</si>
  <si>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</si>
  <si>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</si>
  <si>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</si>
  <si>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</si>
  <si>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</si>
  <si>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Required Liquidity Reserve Amount Replenishment</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</si>
  <si>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</si>
  <si>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</si>
  <si>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</si>
  <si>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</si>
  <si>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</si>
  <si>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</si>
  <si>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</si>
  <si>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</si>
  <si>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Subordinateed Swap Amounts (if applicable)</t>
  </si>
  <si>
    <t>Interest on Liquidity Reserve Loan</t>
  </si>
  <si>
    <t>Principal on Liquidity Reserve Loan</t>
  </si>
  <si>
    <t>Remaining Amount to the Seller</t>
  </si>
  <si>
    <t>Fees for Commingling Reserve Account and Set-Off Reserve Account</t>
  </si>
  <si>
    <t>Recoveries</t>
  </si>
  <si>
    <t>Amounts on the Liquidity Reserve Account</t>
  </si>
  <si>
    <t>Amounts received by the Interest Rate Swap counterparty</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</si>
  <si>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</si>
  <si>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</si>
  <si>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</si>
  <si>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</si>
  <si>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</si>
  <si>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</si>
  <si>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</si>
  <si>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</si>
  <si>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</si>
  <si>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</si>
  <si>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</si>
  <si>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</si>
  <si>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</si>
  <si>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</si>
  <si>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</si>
  <si>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</si>
  <si>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</si>
  <si>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</si>
  <si>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</si>
  <si>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</si>
  <si>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</si>
  <si>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</si>
  <si>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</si>
  <si>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</si>
  <si>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</si>
  <si>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</si>
  <si>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</si>
  <si>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</si>
  <si>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</si>
  <si>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</si>
  <si>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</si>
  <si>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</si>
  <si>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</si>
  <si>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</si>
  <si>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</si>
  <si>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</si>
  <si>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</si>
  <si>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</si>
  <si>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</si>
  <si>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</si>
  <si>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</si>
  <si>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</si>
  <si>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</si>
  <si>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</si>
  <si>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</si>
  <si>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</si>
  <si>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</si>
  <si>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</si>
  <si>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</si>
  <si>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</si>
  <si>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</si>
  <si>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</si>
  <si>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</si>
  <si>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</si>
  <si>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</si>
  <si>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</si>
  <si>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</si>
  <si>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</si>
  <si>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</si>
  <si>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</si>
  <si>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</si>
  <si>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</si>
  <si>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</si>
  <si>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</si>
  <si>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</si>
  <si>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</si>
  <si>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</si>
  <si>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</si>
  <si>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</si>
  <si>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</si>
  <si>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</si>
  <si>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</si>
  <si>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</si>
  <si>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</si>
  <si>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</si>
  <si>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</si>
  <si>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</si>
  <si>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</si>
  <si>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</si>
  <si>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</si>
  <si>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</si>
  <si>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</si>
  <si>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</si>
  <si>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</si>
  <si>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</si>
  <si>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</si>
  <si>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</si>
  <si>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</si>
  <si>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AAA (sf) / Aaa (sf)</t>
  </si>
  <si>
    <t>AA (sf) / Aa1 (sf)</t>
  </si>
  <si>
    <t>n.r. / n.r.</t>
  </si>
  <si>
    <t>Other Interest Payments by the Seller to the Issuer</t>
  </si>
  <si>
    <t>Other Amounts payed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</si>
  <si>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</si>
  <si>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</si>
  <si>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</si>
  <si>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</si>
  <si>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</si>
  <si>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Full Redemption Class B - G ( after Regulatory Change Event)</t>
  </si>
  <si>
    <t>Mezzanine Loan Principal</t>
  </si>
  <si>
    <t>Calculation Date</t>
  </si>
  <si>
    <t>F &amp; M</t>
  </si>
  <si>
    <t>RTG_FITCH_LT_ISSUER_DEFAULT</t>
  </si>
  <si>
    <t>RTG_FITCH_ST_ISSUER_DEFAULT</t>
  </si>
  <si>
    <t>RTG_MDY_SHORT_TERM_DEBT</t>
  </si>
  <si>
    <t>RTG_FITCH_OUTLOOK</t>
  </si>
  <si>
    <t>F2</t>
  </si>
  <si>
    <t>Moody's Investors Service España, S.A.</t>
  </si>
  <si>
    <t>Set-Off Reserve Required Amount</t>
  </si>
  <si>
    <t>RTG_MDY_LT_CRA</t>
  </si>
  <si>
    <t>Class G Amount debited to the PDL</t>
  </si>
  <si>
    <t>Class G Amount credited to the PDL</t>
  </si>
  <si>
    <t>Class G PDL EoP</t>
  </si>
  <si>
    <t>Outstanding BOP</t>
  </si>
  <si>
    <t>SC Germany Consumer 2021-1</t>
  </si>
  <si>
    <t>SC GERMANY S.A., COMPARTMENT CONSUMER 2021-1</t>
  </si>
  <si>
    <t>XS2398387071</t>
  </si>
  <si>
    <t>XS2398387741</t>
  </si>
  <si>
    <t>XS2398388129</t>
  </si>
  <si>
    <t>XS2398388632</t>
  </si>
  <si>
    <t>XS2398388715</t>
  </si>
  <si>
    <t>XS2398389010</t>
  </si>
  <si>
    <t>XS2398389440</t>
  </si>
  <si>
    <t>BBB (sf) / Baa3 (sf)</t>
  </si>
  <si>
    <t>BBB- (sf) / Ba3 (sf)</t>
  </si>
  <si>
    <t>BB+ (sf) / B2 (sf)</t>
  </si>
  <si>
    <t>- prior to 31 October 2022</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</si>
  <si>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</si>
  <si>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</si>
  <si>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</si>
  <si>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</si>
  <si>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</si>
  <si>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</si>
  <si>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</si>
  <si>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</si>
  <si>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</si>
  <si>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</si>
  <si>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</si>
  <si>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Citigroup Global Markets Europe AG</t>
  </si>
  <si>
    <t>Reuterweg 16</t>
  </si>
  <si>
    <t>60323 Frankfurt am Main</t>
  </si>
  <si>
    <t>Joint Lead Manager (Class A)</t>
  </si>
  <si>
    <t>Joint Lead Managers</t>
  </si>
  <si>
    <t>1083 HN Amsterdam</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</si>
  <si>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</si>
  <si>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</si>
  <si>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</si>
  <si>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</si>
  <si>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</si>
  <si>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</si>
  <si>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</si>
  <si>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</si>
  <si>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</si>
  <si>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</si>
  <si>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Target Amortisation of Class F (inlcuding previously accrued)</t>
  </si>
  <si>
    <t>Redemption Class F Notes</t>
  </si>
  <si>
    <t>Clearing of rounding differences</t>
  </si>
  <si>
    <t xml:space="preserve">Amounts standing to the credit of the Set-Off Reserve Account </t>
  </si>
  <si>
    <t>A (sf) / Aa3 (sf)</t>
  </si>
  <si>
    <t>Tax Call Redemption date</t>
  </si>
  <si>
    <t>Any debit of class G after application of funds in current period</t>
  </si>
  <si>
    <t>In case of Rating Trigger breach: Set-Off Reserve Required Amount</t>
  </si>
  <si>
    <t xml:space="preserve">22-24 Boulevard Royal </t>
  </si>
  <si>
    <t>29 Boulevard Haussmann</t>
  </si>
  <si>
    <t>75009 Paris</t>
  </si>
  <si>
    <t>France</t>
  </si>
  <si>
    <t>Paseo de Pareda 9 - 12</t>
  </si>
  <si>
    <t xml:space="preserve">39004 Santander </t>
  </si>
  <si>
    <t>Mezzanine Loan Interest</t>
  </si>
  <si>
    <t>cumulative net loss ratio %</t>
  </si>
  <si>
    <t>Cumulative Net Losses</t>
  </si>
  <si>
    <t>- from the Payment Date in Dec 2022 until (and including) the Payment Date in Nov 2023</t>
  </si>
  <si>
    <t xml:space="preserve">    Class F only: Accrued Target Amortisation Amounts</t>
  </si>
  <si>
    <t>Bank of New York Mellon</t>
  </si>
  <si>
    <t xml:space="preserve">Debit balance PDL </t>
  </si>
  <si>
    <t>Amounts on the Commingling Reserve account*</t>
  </si>
  <si>
    <t>Replacement</t>
  </si>
  <si>
    <t>Bank of New York Mellon SA-NV/Luxembourg</t>
  </si>
  <si>
    <t>1mE+95bp</t>
  </si>
  <si>
    <t>1mE+135bp</t>
  </si>
  <si>
    <t>1mE+185bp</t>
  </si>
  <si>
    <t>1mE+280bp</t>
  </si>
  <si>
    <t>1mE+350bp</t>
  </si>
  <si>
    <t>1mE+70bp</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</si>
  <si>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</si>
  <si>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</si>
  <si>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</si>
  <si>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</si>
  <si>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 trigger applies for the first 24 Payment Dates following the end of the Replenishment Period</t>
  </si>
  <si>
    <t>In case of Fitch, only one required rating must be held</t>
  </si>
  <si>
    <t>RTG_FITCH_DERIV_COUNTERPARTY</t>
  </si>
  <si>
    <t>Long Term or Derivative Counterparty Rating</t>
  </si>
  <si>
    <t>Amortising</t>
  </si>
  <si>
    <t xml:space="preserve">Remaining Pre-Enforcement Available Principal Amount </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</si>
  <si>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</si>
  <si>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</si>
  <si>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</si>
  <si>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Email: structured.products@dzbank.de</t>
  </si>
  <si>
    <t>- current value</t>
  </si>
  <si>
    <r>
      <t>Contact Details</t>
    </r>
    <r>
      <rPr>
        <sz val="14"/>
        <color rgb="FF000000"/>
        <rFont val="Arial"/>
        <family val="2"/>
      </rPr>
      <t xml:space="preserve"> </t>
    </r>
  </si>
  <si>
    <t>Team ABS</t>
  </si>
  <si>
    <r>
      <t>abs_ger@santander.de</t>
    </r>
    <r>
      <rPr>
        <sz val="10"/>
        <color rgb="FF000000"/>
        <rFont val="Arial"/>
        <family val="2"/>
      </rPr>
      <t xml:space="preserve"> </t>
    </r>
  </si>
  <si>
    <t>yes</t>
  </si>
  <si>
    <t>PACKAGE</t>
  </si>
  <si>
    <t>VARIABLE</t>
  </si>
  <si>
    <t>NUM</t>
  </si>
  <si>
    <t>DATE</t>
  </si>
  <si>
    <t>STRG</t>
  </si>
  <si>
    <t>IDCONTR_PACK</t>
  </si>
  <si>
    <t>RANGE</t>
  </si>
  <si>
    <t>_FREQ_</t>
  </si>
  <si>
    <t>RANGEVAL</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</si>
  <si>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</si>
  <si>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</si>
  <si>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</si>
  <si>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</si>
  <si>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</si>
  <si>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</si>
  <si>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</si>
  <si>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</si>
  <si>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</si>
  <si>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</si>
  <si>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</si>
  <si>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</si>
  <si>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</si>
  <si>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</si>
  <si>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</si>
  <si>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</si>
  <si>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</si>
  <si>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</si>
  <si>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</si>
  <si>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</si>
  <si>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</si>
  <si>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</si>
  <si>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</si>
  <si>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</si>
  <si>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</si>
  <si>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</si>
  <si>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</si>
  <si>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</si>
  <si>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</si>
  <si>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</si>
  <si>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</si>
  <si>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</si>
  <si>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</si>
  <si>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</si>
  <si>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</si>
  <si>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</si>
  <si>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</si>
  <si>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</si>
  <si>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</si>
  <si>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</si>
  <si>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</si>
  <si>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</si>
  <si>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</si>
  <si>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</si>
  <si>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</si>
  <si>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</si>
  <si>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</si>
  <si>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</si>
  <si>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</si>
  <si>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</si>
  <si>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100000:</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</si>
  <si>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</si>
  <si>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</si>
  <si>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</si>
  <si>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</si>
  <si>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</si>
  <si>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</si>
  <si>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</si>
  <si>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</si>
  <si>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</si>
  <si>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</si>
  <si>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</si>
  <si>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</si>
  <si>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</si>
  <si>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</si>
  <si>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</si>
  <si>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</si>
  <si>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</si>
  <si>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</si>
  <si>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</si>
  <si>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</si>
  <si>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</si>
  <si>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</si>
  <si>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</si>
  <si>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</si>
  <si>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</si>
  <si>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</si>
  <si>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</si>
  <si>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</si>
  <si>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</si>
  <si>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</si>
  <si>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</si>
  <si>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</si>
  <si>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</si>
  <si>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</si>
  <si>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</si>
  <si>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</si>
  <si>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</si>
  <si>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</si>
  <si>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</si>
  <si>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</si>
  <si>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80000:</t>
  </si>
  <si>
    <t>Baden-Wuerttemberg</t>
  </si>
  <si>
    <t>Mecklenburg-Western Pomerania</t>
  </si>
  <si>
    <t>North Rhine-Westphalia</t>
  </si>
  <si>
    <t>Rhineland-Palatinate</t>
  </si>
  <si>
    <t>Schleswig-Holstein</t>
  </si>
  <si>
    <t>secured</t>
  </si>
  <si>
    <t>unsecured</t>
  </si>
  <si>
    <t>Yes</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</si>
  <si>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</si>
  <si>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</si>
  <si>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</si>
  <si>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</si>
  <si>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</si>
  <si>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</si>
  <si>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</si>
  <si>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</si>
  <si>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</si>
  <si>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</si>
  <si>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</si>
  <si>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</si>
  <si>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</si>
  <si>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</si>
  <si>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</si>
  <si>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</si>
  <si>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</si>
  <si>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</si>
  <si>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</si>
  <si>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</si>
  <si>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</si>
  <si>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</si>
  <si>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</si>
  <si>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</si>
  <si>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</si>
  <si>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</si>
  <si>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</si>
  <si>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</si>
  <si>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</si>
  <si>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</si>
  <si>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</si>
  <si>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</si>
  <si>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</si>
  <si>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</si>
  <si>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</si>
  <si>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</si>
  <si>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</si>
  <si>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</si>
  <si>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</si>
  <si>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</si>
  <si>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</si>
  <si>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</si>
  <si>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</si>
  <si>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</si>
  <si>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</si>
  <si>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</si>
  <si>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</si>
  <si>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</si>
  <si>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</si>
  <si>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</si>
  <si>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</si>
  <si>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</si>
  <si>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</si>
  <si>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</si>
  <si>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</si>
  <si>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</si>
  <si>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</si>
  <si>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</si>
  <si>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</si>
  <si>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</si>
  <si>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</si>
  <si>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</si>
  <si>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</si>
  <si>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</si>
  <si>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</si>
  <si>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</si>
  <si>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POOL</t>
  </si>
  <si>
    <t>COUNTERPARTY</t>
  </si>
  <si>
    <t>RTG_MDY_ST_CRA</t>
  </si>
  <si>
    <t>RTG_FITCH_SEN_UNSECURED</t>
  </si>
  <si>
    <t>RTG_FITCH_SHORT_TERM</t>
  </si>
  <si>
    <t>RTG_DATE</t>
  </si>
  <si>
    <t>ABS_RAT</t>
  </si>
  <si>
    <t>F4</t>
  </si>
  <si>
    <t>F5</t>
  </si>
  <si>
    <t>F6</t>
  </si>
  <si>
    <t>F7</t>
  </si>
  <si>
    <t>F8</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</si>
  <si>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</si>
  <si>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</si>
  <si>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</si>
  <si>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</si>
  <si>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</si>
  <si>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</si>
  <si>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</si>
  <si>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</si>
  <si>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</si>
  <si>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</si>
  <si>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</si>
  <si>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</si>
  <si>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</si>
  <si>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</si>
  <si>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</si>
  <si>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</si>
  <si>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</si>
  <si>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</si>
  <si>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</si>
  <si>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</si>
  <si>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</si>
  <si>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</si>
  <si>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</si>
  <si>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</si>
  <si>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</si>
  <si>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</si>
  <si>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</si>
  <si>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</si>
  <si>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</si>
  <si>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</si>
  <si>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</si>
  <si>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</si>
  <si>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</si>
  <si>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</si>
  <si>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</si>
  <si>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</si>
  <si>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</si>
  <si>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</si>
  <si>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</si>
  <si>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</si>
  <si>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</si>
  <si>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</si>
  <si>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</si>
  <si>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</si>
  <si>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</si>
  <si>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</si>
  <si>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</si>
  <si>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</si>
  <si>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</si>
  <si>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</si>
  <si>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</si>
  <si>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</si>
  <si>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</si>
  <si>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</si>
  <si>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</si>
  <si>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</si>
  <si>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</si>
  <si>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</si>
  <si>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</si>
  <si>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</si>
  <si>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</si>
  <si>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</si>
  <si>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</si>
  <si>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</si>
  <si>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</si>
  <si>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</si>
  <si>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</si>
  <si>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</si>
  <si>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</si>
  <si>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</si>
  <si>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</si>
  <si>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</si>
  <si>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</si>
  <si>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</si>
  <si>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</si>
  <si>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</si>
  <si>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</si>
  <si>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</si>
  <si>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</si>
  <si>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</si>
  <si>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</si>
  <si>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</si>
  <si>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</si>
  <si>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</si>
  <si>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</si>
  <si>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</si>
  <si>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</si>
  <si>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</si>
  <si>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</si>
  <si>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</si>
  <si>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</si>
  <si>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</si>
  <si>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</si>
  <si>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</si>
  <si>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</si>
  <si>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</si>
  <si>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</si>
  <si>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</si>
  <si>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</si>
  <si>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</si>
  <si>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</si>
  <si>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</si>
  <si>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</si>
  <si>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</si>
  <si>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</si>
  <si>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</si>
  <si>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</si>
  <si>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</si>
  <si>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</si>
  <si>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</si>
  <si>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</si>
  <si>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</si>
  <si>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</si>
  <si>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</si>
  <si>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</si>
  <si>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</si>
  <si>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</si>
  <si>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</si>
  <si>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</si>
  <si>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</si>
  <si>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</si>
  <si>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</si>
  <si>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</si>
  <si>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</si>
  <si>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</si>
  <si>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</si>
  <si>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</si>
  <si>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</si>
  <si>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</si>
  <si>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</si>
  <si>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</si>
  <si>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</si>
  <si>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</si>
  <si>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</si>
  <si>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</si>
  <si>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</si>
  <si>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</si>
  <si>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</si>
  <si>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</si>
  <si>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</si>
  <si>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</si>
  <si>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</si>
  <si>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</si>
  <si>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</si>
  <si>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</si>
  <si>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</si>
  <si>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</si>
  <si>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</si>
  <si>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</si>
  <si>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</si>
  <si>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</si>
  <si>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</si>
  <si>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</si>
  <si>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</si>
  <si>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</si>
  <si>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</si>
  <si>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</si>
  <si>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</si>
  <si>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</si>
  <si>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</si>
  <si>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</si>
  <si>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</si>
  <si>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Saxony</t>
  </si>
  <si>
    <r>
      <t xml:space="preserve">Maturity date of the notes under the assumption of inter alia (a) a 27 </t>
    </r>
    <r>
      <rPr>
        <b/>
        <sz val="10"/>
        <rFont val="Arial"/>
        <family val="2"/>
      </rPr>
      <t>%</t>
    </r>
    <r>
      <rPr>
        <sz val="10"/>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</si>
  <si>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</si>
  <si>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</si>
  <si>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</si>
  <si>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Excess Spread equals WA Portfolio Yield minus Fixed Swap Rate minus WA Notes Margin.</t>
  </si>
  <si>
    <t>0000030</t>
  </si>
  <si>
    <t>Initial</t>
  </si>
  <si>
    <t xml:space="preserve">     30</t>
  </si>
  <si>
    <t>delinquency_.</t>
  </si>
  <si>
    <t>defaults_.</t>
  </si>
  <si>
    <t>OUTSTANDING</t>
  </si>
  <si>
    <t>SCHEDULED</t>
  </si>
  <si>
    <t>PREPAYMENTS</t>
  </si>
  <si>
    <t>COLLECTIONS</t>
  </si>
  <si>
    <t>RATE</t>
  </si>
  <si>
    <t>RTG_DBRS_SENIOR_UNSECURED</t>
  </si>
  <si>
    <t>RTG_DBRS_LT_BANK_DEPOSITS</t>
  </si>
  <si>
    <t>RTG_DBRS_ST</t>
  </si>
  <si>
    <t>RTG_DBRS_OUTLOOK</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</si>
  <si>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</si>
  <si>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</si>
  <si>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</si>
  <si>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</si>
  <si>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</si>
  <si>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</si>
  <si>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</si>
  <si>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</si>
  <si>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</si>
  <si>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</si>
  <si>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</si>
  <si>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</si>
  <si>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</si>
  <si>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</si>
  <si>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</si>
  <si>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</si>
  <si>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</si>
  <si>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</si>
  <si>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</si>
  <si>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</si>
  <si>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</si>
  <si>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</si>
  <si>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</si>
  <si>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</si>
  <si>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</si>
  <si>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</si>
  <si>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</si>
  <si>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</si>
  <si>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</si>
  <si>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</si>
  <si>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</si>
  <si>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</si>
  <si>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</si>
  <si>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</si>
  <si>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</si>
  <si>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</si>
  <si>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</si>
  <si>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</si>
  <si>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</si>
  <si>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</si>
  <si>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</si>
  <si>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</si>
  <si>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</si>
  <si>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</si>
  <si>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</si>
  <si>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</si>
  <si>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</si>
  <si>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</si>
  <si>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</si>
  <si>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</si>
  <si>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</si>
  <si>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</si>
  <si>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</si>
  <si>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</si>
  <si>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</si>
  <si>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</si>
  <si>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</si>
  <si>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</si>
  <si>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</si>
  <si>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</si>
  <si>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</si>
  <si>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</si>
  <si>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</si>
  <si>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</si>
  <si>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</si>
  <si>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</si>
  <si>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</si>
  <si>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</si>
  <si>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</si>
  <si>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</si>
  <si>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</si>
  <si>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</si>
  <si>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</si>
  <si>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</si>
  <si>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</si>
  <si>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</si>
  <si>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</si>
  <si>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</si>
  <si>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</si>
  <si>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</si>
  <si>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</si>
  <si>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</si>
  <si>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</si>
  <si>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</si>
  <si>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</si>
  <si>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</si>
  <si>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</si>
  <si>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</si>
  <si>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</si>
  <si>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</si>
  <si>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</si>
  <si>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</si>
  <si>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</si>
  <si>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</si>
  <si>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</si>
  <si>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</si>
  <si>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</si>
  <si>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</si>
  <si>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</si>
  <si>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</si>
  <si>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</si>
  <si>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</si>
  <si>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</si>
  <si>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</si>
  <si>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</si>
  <si>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</si>
  <si>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</si>
  <si>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</si>
  <si>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</si>
  <si>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</si>
  <si>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</si>
  <si>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</si>
  <si>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</si>
  <si>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</si>
  <si>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</si>
  <si>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</si>
  <si>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</si>
  <si>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</si>
  <si>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</si>
  <si>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</si>
  <si>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</si>
  <si>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</si>
  <si>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</si>
  <si>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</si>
  <si>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</si>
  <si>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</si>
  <si>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</si>
  <si>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</si>
  <si>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</si>
  <si>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</si>
  <si>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</si>
  <si>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</si>
  <si>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</si>
  <si>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</si>
  <si>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</si>
  <si>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</si>
  <si>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</si>
  <si>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</si>
  <si>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</si>
  <si>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</si>
  <si>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</si>
  <si>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</si>
  <si>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</si>
  <si>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</si>
  <si>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</si>
  <si>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</si>
  <si>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</si>
  <si>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</si>
  <si>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</si>
  <si>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</si>
  <si>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</si>
  <si>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</si>
  <si>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</si>
  <si>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</si>
  <si>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</si>
  <si>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</si>
  <si>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</si>
  <si>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</si>
  <si>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</si>
  <si>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</si>
  <si>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</si>
  <si>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</si>
  <si>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</si>
  <si>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</si>
  <si>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</si>
  <si>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</si>
  <si>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</si>
  <si>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</si>
  <si>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</si>
  <si>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</si>
  <si>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</si>
  <si>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</si>
  <si>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</si>
  <si>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</si>
  <si>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</si>
  <si>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</si>
  <si>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</si>
  <si>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</si>
  <si>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</si>
  <si>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</si>
  <si>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</si>
  <si>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</si>
  <si>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</si>
  <si>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</si>
  <si>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</si>
  <si>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</si>
  <si>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</si>
  <si>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</si>
  <si>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</si>
  <si>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</si>
  <si>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</si>
  <si>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</si>
  <si>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</si>
  <si>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</si>
  <si>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</si>
  <si>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</si>
  <si>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</si>
  <si>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</si>
  <si>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</si>
  <si>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</si>
  <si>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</si>
  <si>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period_111</t>
  </si>
  <si>
    <t>period_112</t>
  </si>
  <si>
    <t>period_113</t>
  </si>
  <si>
    <t>period_114</t>
  </si>
  <si>
    <t>period_115</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</si>
  <si>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</si>
  <si>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</si>
  <si>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</si>
  <si>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</si>
  <si>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</si>
  <si>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</si>
  <si>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</si>
  <si>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</si>
  <si>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</si>
  <si>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</si>
  <si>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</si>
  <si>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</si>
  <si>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</si>
  <si>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</si>
  <si>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</si>
  <si>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</si>
  <si>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</si>
  <si>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</si>
  <si>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</si>
  <si>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</si>
  <si>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</si>
  <si>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</si>
  <si>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</si>
  <si>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</si>
  <si>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</si>
  <si>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</si>
  <si>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</si>
  <si>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</si>
  <si>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</si>
  <si>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</si>
  <si>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</si>
  <si>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</si>
  <si>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</si>
  <si>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</si>
  <si>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</si>
  <si>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</si>
  <si>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</si>
  <si>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</si>
  <si>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</si>
  <si>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</si>
  <si>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</si>
  <si>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</si>
  <si>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</si>
  <si>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</si>
  <si>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</si>
  <si>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</si>
  <si>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</si>
  <si>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</si>
  <si>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</si>
  <si>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</si>
  <si>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</si>
  <si>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</si>
  <si>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</si>
  <si>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</si>
  <si>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</si>
  <si>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</si>
  <si>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</si>
  <si>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</si>
  <si>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</si>
  <si>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</si>
  <si>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</si>
  <si>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</si>
  <si>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</si>
  <si>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</si>
  <si>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</si>
  <si>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</si>
  <si>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</si>
  <si>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</si>
  <si>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</si>
  <si>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</si>
  <si>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</si>
  <si>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</si>
  <si>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</si>
  <si>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</si>
  <si>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</si>
  <si>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</si>
  <si>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</si>
  <si>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</si>
  <si>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</si>
  <si>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</si>
  <si>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</si>
  <si>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</si>
  <si>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</si>
  <si>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</si>
  <si>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</si>
  <si>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</si>
  <si>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</si>
  <si>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</si>
  <si>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</si>
  <si>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</si>
  <si>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</si>
  <si>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</si>
  <si>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</si>
  <si>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</si>
  <si>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</si>
  <si>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</si>
  <si>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</si>
  <si>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</si>
  <si>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</si>
  <si>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</si>
  <si>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</si>
  <si>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</si>
  <si>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</si>
  <si>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</si>
  <si>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</si>
  <si>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</si>
  <si>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</si>
  <si>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</si>
  <si>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</si>
  <si>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</si>
  <si>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</si>
  <si>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</si>
  <si>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</si>
  <si>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</si>
  <si>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</si>
  <si>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</si>
  <si>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</si>
  <si>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</si>
  <si>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</si>
  <si>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</si>
  <si>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</si>
  <si>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</si>
  <si>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</si>
  <si>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</si>
  <si>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</si>
  <si>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</si>
  <si>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</si>
  <si>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</si>
  <si>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</si>
  <si>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</si>
  <si>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</si>
  <si>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</si>
  <si>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</si>
  <si>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</si>
  <si>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</si>
  <si>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</si>
  <si>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</si>
  <si>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</si>
  <si>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</si>
  <si>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</si>
  <si>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</si>
  <si>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</si>
  <si>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</si>
  <si>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</si>
  <si>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</si>
  <si>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</si>
  <si>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</si>
  <si>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</si>
  <si>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</si>
  <si>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</si>
  <si>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</si>
  <si>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</si>
  <si>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</si>
  <si>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</si>
  <si>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</si>
  <si>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</si>
  <si>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</si>
  <si>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</si>
  <si>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</si>
  <si>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</si>
  <si>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</si>
  <si>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</si>
  <si>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</si>
  <si>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</si>
  <si>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</si>
  <si>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</si>
  <si>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</si>
  <si>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Liquidity_Reserve_pop</t>
  </si>
  <si>
    <t>Liquidity_Reserve_cashin</t>
  </si>
  <si>
    <t>Liquidity_Reserve_eop</t>
  </si>
  <si>
    <t>Liquidity_Reserve_fund</t>
  </si>
  <si>
    <t>Com_Reserve_bop</t>
  </si>
  <si>
    <t>Com_Reserve_cashout</t>
  </si>
  <si>
    <t>Com_Reserve_excess_amount</t>
  </si>
  <si>
    <t>Com_Reserve_pop</t>
  </si>
  <si>
    <t>Com_Reserve_cashin</t>
  </si>
  <si>
    <t>Com_Reserve_eop</t>
  </si>
  <si>
    <t>Com_Reserve_required</t>
  </si>
  <si>
    <t>Com_Reserve_Trigger</t>
  </si>
  <si>
    <t>Setoff_Reserve_bop</t>
  </si>
  <si>
    <t>Setoff_Reserve_cashout</t>
  </si>
  <si>
    <t>Setoff_Reserve_excess_amount</t>
  </si>
  <si>
    <t>Setoff_Reserve_pop</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</si>
  <si>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</si>
  <si>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</si>
  <si>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</si>
  <si>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</si>
  <si>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</si>
  <si>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</si>
  <si>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</si>
  <si>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</si>
  <si>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</si>
  <si>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</si>
  <si>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</si>
  <si>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</si>
  <si>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</si>
  <si>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</si>
  <si>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</si>
  <si>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</si>
  <si>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</si>
  <si>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</si>
  <si>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</si>
  <si>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</si>
  <si>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</si>
  <si>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</si>
  <si>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</si>
  <si>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</si>
  <si>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</si>
  <si>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</si>
  <si>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</si>
  <si>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</si>
  <si>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</si>
  <si>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</si>
  <si>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</si>
  <si>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</si>
  <si>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</si>
  <si>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</si>
  <si>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</si>
  <si>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</si>
  <si>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</si>
  <si>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</si>
  <si>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G_PDL_bop</t>
  </si>
  <si>
    <t>G_debited_PDL</t>
  </si>
  <si>
    <t>G_credited_PDL</t>
  </si>
  <si>
    <t>G_PDL_eop</t>
  </si>
  <si>
    <t>Cum_Default_Ratio</t>
  </si>
  <si>
    <t>Purchase_Shortfall_before_previous</t>
  </si>
  <si>
    <t>Delinquency_Ratio</t>
  </si>
  <si>
    <t>Debit_Balance_G_PDL_previous</t>
  </si>
  <si>
    <t>Debit_Balance_G_PDL_current</t>
  </si>
  <si>
    <t>Total_Notes_bop</t>
  </si>
  <si>
    <t>A_Notes_bop</t>
  </si>
  <si>
    <t>B_Notes_bop</t>
  </si>
  <si>
    <t>C_Notes_bop</t>
  </si>
  <si>
    <t>D_Notes_bop</t>
  </si>
  <si>
    <t>E_Notes_bop</t>
  </si>
  <si>
    <t>F_Notes_bop</t>
  </si>
  <si>
    <t>G_Notes_bop</t>
  </si>
  <si>
    <t>Amortisation</t>
  </si>
  <si>
    <t>Total_Redemption</t>
  </si>
  <si>
    <t>A_Redemption</t>
  </si>
  <si>
    <t>B_Redemption</t>
  </si>
  <si>
    <t>C_Redemption</t>
  </si>
  <si>
    <t>D_Redemption</t>
  </si>
  <si>
    <t>E_Redemption</t>
  </si>
  <si>
    <t>F_Redemption</t>
  </si>
  <si>
    <t>G_Redemption</t>
  </si>
  <si>
    <t>Interest_Days</t>
  </si>
  <si>
    <t>A_Interests</t>
  </si>
  <si>
    <t>B_Interests</t>
  </si>
  <si>
    <t>C_Interests</t>
  </si>
  <si>
    <t>D_Interests</t>
  </si>
  <si>
    <t>E_Interests</t>
  </si>
  <si>
    <t>F_Interests</t>
  </si>
  <si>
    <t>G_Interests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</si>
  <si>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</si>
  <si>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</si>
  <si>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</si>
  <si>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</si>
  <si>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</si>
  <si>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</si>
  <si>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</si>
  <si>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</si>
  <si>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</si>
  <si>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Remaining_PreEnforcement_available_Principal_amount</t>
  </si>
  <si>
    <t>Other_amounts_paid_Interests</t>
  </si>
  <si>
    <t>Available_Interest_amount</t>
  </si>
  <si>
    <t>Senior_Expenses</t>
  </si>
  <si>
    <t>Swap_payment</t>
  </si>
  <si>
    <t>A_interest_amount_notes</t>
  </si>
  <si>
    <t>B_interest_amount_notes</t>
  </si>
  <si>
    <t>C_interest_amount_notes</t>
  </si>
  <si>
    <t>D_interest_amount_notes</t>
  </si>
  <si>
    <t>E_interest_amount_notes</t>
  </si>
  <si>
    <t>F_interest_amount_notes</t>
  </si>
  <si>
    <t>Liquidity_Reserve_amount_Repl</t>
  </si>
  <si>
    <t>Elimination_PDL</t>
  </si>
  <si>
    <t>B_Interests_notes</t>
  </si>
  <si>
    <t>C_Interests_notes</t>
  </si>
  <si>
    <t>D_Interests_notes</t>
  </si>
  <si>
    <t>E_Interests_notes</t>
  </si>
  <si>
    <t>F_Interests_notes</t>
  </si>
  <si>
    <t>F_Principal_Redemption_amount</t>
  </si>
  <si>
    <t>Mezzanine_loan_interests</t>
  </si>
  <si>
    <t>G_Interests_notes</t>
  </si>
  <si>
    <t>Subordinated_swap_amounts</t>
  </si>
  <si>
    <t>Fees_commingling_setoff_reserve</t>
  </si>
  <si>
    <t>Liqudity_Reserve_Interests</t>
  </si>
  <si>
    <t>Liqudity_Reserve_Principal</t>
  </si>
  <si>
    <t>Remaining_amount_seller</t>
  </si>
  <si>
    <t>Principal_collections</t>
  </si>
  <si>
    <t>Other_Principal_amount</t>
  </si>
  <si>
    <t>Final_Repurchase_Price</t>
  </si>
  <si>
    <t>Amounts_credit_Com_Reserve_Account</t>
  </si>
  <si>
    <t>Amounts_credit_SetOff_Reserve_Account</t>
  </si>
  <si>
    <t>Amounts_credit_Purchase_Shortfall_Account</t>
  </si>
  <si>
    <t>Mezzanine_loan_disbursement</t>
  </si>
  <si>
    <t>PDL</t>
  </si>
  <si>
    <t>Rounding_differences_previous</t>
  </si>
  <si>
    <t>Available_Principal_amount</t>
  </si>
  <si>
    <t>Addition_amounts</t>
  </si>
  <si>
    <t>Net_note_available_Principal_Proceeds</t>
  </si>
  <si>
    <t>Purchase_Shortfall</t>
  </si>
  <si>
    <t>A_prorata_Principal</t>
  </si>
  <si>
    <t>B_prorata_Principal</t>
  </si>
  <si>
    <t>C_prorata_Principal</t>
  </si>
  <si>
    <t>D_prorata_Principal</t>
  </si>
  <si>
    <t>E_prorata_Principal</t>
  </si>
  <si>
    <t>A_sequential_Principal</t>
  </si>
  <si>
    <t>B_to_G_Full_Redemption</t>
  </si>
  <si>
    <t>B_Redemption_triggerbreach</t>
  </si>
  <si>
    <t>C_Redemption_triggerbreach</t>
  </si>
  <si>
    <t>D_Redemption_triggerbreach</t>
  </si>
  <si>
    <t>E_Redemption_triggerbreach</t>
  </si>
  <si>
    <t>F_Redemption_Principal</t>
  </si>
  <si>
    <t>G_Redemption_Principal</t>
  </si>
  <si>
    <t>Mezzanine_loan_principal</t>
  </si>
  <si>
    <t>Rounding_differences_clearing</t>
  </si>
  <si>
    <t>Transaction_Account_remaining_amount</t>
  </si>
  <si>
    <t>Total_Interests_accrued</t>
  </si>
  <si>
    <t>A_Interests_accrued</t>
  </si>
  <si>
    <t>B_Interests_accrued</t>
  </si>
  <si>
    <t>C_Interests_accrued</t>
  </si>
  <si>
    <t>D_Interests_accrued</t>
  </si>
  <si>
    <t>E_Interests_accrued</t>
  </si>
  <si>
    <t>F_Interests_accrued</t>
  </si>
  <si>
    <t>G_Interests_accrued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</si>
  <si>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</si>
  <si>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</si>
  <si>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</si>
  <si>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</si>
  <si>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</si>
  <si>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</si>
  <si>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</si>
  <si>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</si>
  <si>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G_Interests_accrued_cum</t>
  </si>
  <si>
    <t>Reserve_Interests_accrued_cum</t>
  </si>
  <si>
    <t>Total_Interest_Payments</t>
  </si>
  <si>
    <t>A_Interest_Payments</t>
  </si>
  <si>
    <t>B_Interest_Payments</t>
  </si>
  <si>
    <t>C_Interest_Payments</t>
  </si>
  <si>
    <t>D_Interest_Payments</t>
  </si>
  <si>
    <t>E_Interest_Payments</t>
  </si>
  <si>
    <t>F_Interest_Payments</t>
  </si>
  <si>
    <t>G_Interest_Payments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</si>
  <si>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</si>
  <si>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</si>
  <si>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</si>
  <si>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</si>
  <si>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</si>
  <si>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</si>
  <si>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</si>
  <si>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</si>
  <si>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G_Interest_Payments_cum</t>
  </si>
  <si>
    <t>Reserve_Interest_Payments_cum</t>
  </si>
  <si>
    <t>Total_Interests_unpaid</t>
  </si>
  <si>
    <t>A_Interests_unpaid</t>
  </si>
  <si>
    <t>B_Interests_unpaid</t>
  </si>
  <si>
    <t>C_Interests_unpaid</t>
  </si>
  <si>
    <t>D_Interests_unpaid</t>
  </si>
  <si>
    <t>E_Interests_unpaid</t>
  </si>
  <si>
    <t>F_Interests_unpaid</t>
  </si>
  <si>
    <t>G_Interests_unpaid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</si>
  <si>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</si>
  <si>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</si>
  <si>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</si>
  <si>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</si>
  <si>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</si>
  <si>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</si>
  <si>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</si>
  <si>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</si>
  <si>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G_Interests_unpaid_cum</t>
  </si>
  <si>
    <t>Reserve_Interests_unpaid_cum</t>
  </si>
  <si>
    <t>Reserve_outstanding</t>
  </si>
  <si>
    <t>Swap_Notional_amount</t>
  </si>
  <si>
    <t>Fixed_Rate</t>
  </si>
  <si>
    <t>Floating_Rate</t>
  </si>
  <si>
    <t>Net_Swap_Payments</t>
  </si>
  <si>
    <t>Swap_Notional_amount_next</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</si>
  <si>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</si>
  <si>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</si>
  <si>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</si>
  <si>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</si>
  <si>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</si>
  <si>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</si>
  <si>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</si>
  <si>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</si>
  <si>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</si>
  <si>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</si>
  <si>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</si>
  <si>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</si>
  <si>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</si>
  <si>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</si>
  <si>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</si>
  <si>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portfolio_16</t>
  </si>
  <si>
    <t>portfolio_17</t>
  </si>
  <si>
    <t>portfolio_18</t>
  </si>
  <si>
    <t>portfolio_19</t>
  </si>
  <si>
    <t>portfolio_20</t>
  </si>
  <si>
    <t>portfolio_21</t>
  </si>
  <si>
    <t>portfolio_22</t>
  </si>
  <si>
    <t>portfolio_23</t>
  </si>
  <si>
    <t>portfolio_24</t>
  </si>
  <si>
    <t>portfolio_25</t>
  </si>
  <si>
    <t>portfolio_26</t>
  </si>
  <si>
    <t>portfolio_27</t>
  </si>
  <si>
    <t>portfolio_28</t>
  </si>
  <si>
    <t>portfolio_29</t>
  </si>
  <si>
    <t>portfolio_30</t>
  </si>
  <si>
    <t>portfolio_31</t>
  </si>
  <si>
    <t>portfolio_32</t>
  </si>
  <si>
    <t>portfolio_33</t>
  </si>
  <si>
    <t>portfolio_34</t>
  </si>
  <si>
    <t>portfolio_35</t>
  </si>
  <si>
    <t>portfolio_36</t>
  </si>
  <si>
    <t>portfolio_37</t>
  </si>
  <si>
    <t>portfolio_38</t>
  </si>
  <si>
    <t>portfolio_39</t>
  </si>
  <si>
    <t>portfolio_40</t>
  </si>
  <si>
    <t>portfolio_41</t>
  </si>
  <si>
    <t>portfolio_42</t>
  </si>
  <si>
    <t>portfolio_43</t>
  </si>
  <si>
    <t>A3(cr)</t>
  </si>
  <si>
    <t>A2</t>
  </si>
  <si>
    <t>P-2(cr)</t>
  </si>
  <si>
    <t>P-1</t>
  </si>
  <si>
    <t>POS</t>
  </si>
  <si>
    <t>STABLE</t>
  </si>
  <si>
    <t>A+(dcr)</t>
  </si>
  <si>
    <t>AH</t>
  </si>
  <si>
    <t>R-1M</t>
  </si>
  <si>
    <t>Aa1(cr)</t>
  </si>
  <si>
    <t>Aa2</t>
  </si>
  <si>
    <t>P-1(cr)</t>
  </si>
  <si>
    <t>AA</t>
  </si>
  <si>
    <t>F1+</t>
  </si>
  <si>
    <t>AA(dcr)</t>
  </si>
  <si>
    <t>AAH</t>
  </si>
  <si>
    <t>R-1H</t>
  </si>
  <si>
    <t>Aa3(cr)</t>
  </si>
  <si>
    <t>Aa2(cr)</t>
  </si>
  <si>
    <t>AA-</t>
  </si>
  <si>
    <t>AAL</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</si>
  <si>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</si>
  <si>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</si>
  <si>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</si>
  <si>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</si>
  <si>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</si>
  <si>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</si>
  <si>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</si>
  <si>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</si>
  <si>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</si>
  <si>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</si>
  <si>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</si>
  <si>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</si>
  <si>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</si>
  <si>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</si>
  <si>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</si>
  <si>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</si>
  <si>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31.05.2025, data source: Bloomberg</t>
  </si>
  <si>
    <t>A1(cr)</t>
  </si>
  <si>
    <t>A1</t>
  </si>
  <si>
    <t>A+</t>
  </si>
  <si>
    <t>Santander Corporate &amp; Investment Banking</t>
  </si>
  <si>
    <t>NEG</t>
  </si>
  <si>
    <t>A-</t>
  </si>
  <si>
    <t>A(dcr)</t>
  </si>
  <si>
    <t>AAA (sf)/Aaa (sf)</t>
  </si>
  <si>
    <t>AA+ (sf)/Aa1 (sf)</t>
  </si>
  <si>
    <t>A- (sf)/A2 (sf)</t>
  </si>
  <si>
    <t>BBB- (sf)/Ba1 (sf)</t>
  </si>
  <si>
    <t>PIF (sf)/WR (sf)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</si>
</sst>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s>
  <fonts count="83">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color theme="0"/>
      <name val="Arial"/>
      <family val="2"/>
    </font>
    <font>
      <b/>
      <sz val="14"/>
      <color rgb="FF000000"/>
      <name val="Arial"/>
      <family val="2"/>
    </font>
    <font>
      <sz val="14"/>
      <color rgb="FF000000"/>
      <name val="Arial"/>
      <family val="2"/>
    </font>
    <font>
      <u/>
      <sz val="10"/>
      <color rgb="FF0000FF"/>
      <name val="Arial"/>
      <family val="2"/>
    </font>
    <font>
      <b/>
      <i/>
      <sz val="10"/>
      <name val="Arial"/>
      <family val="2"/>
    </font>
    <font>
      <b/>
      <u/>
      <sz val="10"/>
      <color indexed="12"/>
      <name val="Arial"/>
      <family val="2"/>
    </font>
  </fonts>
  <fills count="31">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1">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1064">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4" applyFont="1" applyFill="1" applyBorder="1" applyAlignment="1">
      <alignment horizontal="center" vertical="center" wrapText="1"/>
    </xf>
    <xf numFmtId="0" fontId="2" fillId="2" borderId="10" xfId="24" applyFont="1" applyFill="1" applyBorder="1" applyAlignment="1">
      <alignment horizontal="center" vertical="center" wrapText="1"/>
    </xf>
    <xf numFmtId="0" fontId="2" fillId="0" borderId="38" xfId="24" applyFont="1" applyFill="1" applyBorder="1" applyAlignment="1">
      <alignment horizontal="center" vertical="center"/>
    </xf>
    <xf numFmtId="0" fontId="2" fillId="0" borderId="0" xfId="24" applyFont="1" applyFill="1" applyBorder="1" applyAlignment="1">
      <alignment horizontal="center" vertical="center"/>
    </xf>
    <xf numFmtId="0" fontId="21" fillId="0" borderId="0" xfId="24" applyFont="1" applyFill="1" applyAlignment="1">
      <alignment vertical="center"/>
    </xf>
    <xf numFmtId="0" fontId="22" fillId="0" borderId="0" xfId="24" applyFont="1" applyAlignment="1">
      <alignment vertical="center"/>
    </xf>
    <xf numFmtId="0" fontId="12" fillId="0" borderId="0" xfId="24"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4" applyNumberFormat="1" applyFont="1" applyFill="1" applyBorder="1" applyAlignment="1">
      <alignment vertical="center"/>
    </xf>
    <xf numFmtId="0" fontId="7" fillId="0" borderId="0" xfId="24" applyFont="1" applyFill="1" applyBorder="1" applyAlignment="1">
      <alignment vertical="center"/>
    </xf>
    <xf numFmtId="0" fontId="2" fillId="0" borderId="0" xfId="24"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4" applyFont="1" applyFill="1" applyBorder="1" applyAlignment="1">
      <alignment vertical="center"/>
    </xf>
    <xf numFmtId="0" fontId="6" fillId="0" borderId="7" xfId="9" applyFont="1" applyFill="1" applyBorder="1" applyAlignment="1">
      <alignment horizontal="right" vertical="center" wrapText="1"/>
    </xf>
    <xf numFmtId="0" fontId="12" fillId="0" borderId="0" xfId="24" applyFont="1" applyAlignment="1">
      <alignment vertical="center"/>
    </xf>
    <xf numFmtId="0" fontId="25" fillId="0" borderId="0" xfId="24" applyFont="1" applyAlignment="1">
      <alignment vertical="center"/>
    </xf>
    <xf numFmtId="0" fontId="44" fillId="0" borderId="7" xfId="24" applyFont="1" applyFill="1" applyBorder="1" applyAlignment="1">
      <alignment vertical="center"/>
    </xf>
    <xf numFmtId="0" fontId="2" fillId="0" borderId="0" xfId="24" applyFont="1" applyBorder="1" applyAlignment="1">
      <alignment vertical="center"/>
    </xf>
    <xf numFmtId="0" fontId="44" fillId="0" borderId="38" xfId="24" applyFont="1" applyFill="1" applyBorder="1" applyAlignment="1">
      <alignment vertical="center"/>
    </xf>
    <xf numFmtId="0" fontId="44" fillId="0" borderId="0" xfId="24" applyFont="1" applyFill="1" applyBorder="1" applyAlignment="1">
      <alignment vertical="center"/>
    </xf>
    <xf numFmtId="1" fontId="7" fillId="0" borderId="0" xfId="24" applyNumberFormat="1" applyFont="1" applyFill="1" applyBorder="1" applyAlignment="1">
      <alignment vertical="center" wrapText="1"/>
    </xf>
    <xf numFmtId="0" fontId="7" fillId="0" borderId="0" xfId="0" applyFont="1" applyFill="1" applyBorder="1" applyAlignment="1">
      <alignment vertical="center"/>
    </xf>
    <xf numFmtId="0" fontId="2" fillId="0" borderId="38" xfId="24" applyFont="1" applyFill="1" applyBorder="1" applyAlignment="1">
      <alignment vertical="center"/>
    </xf>
    <xf numFmtId="0" fontId="2" fillId="0" borderId="39" xfId="24" applyFont="1" applyFill="1" applyBorder="1" applyAlignment="1">
      <alignment vertical="center"/>
    </xf>
    <xf numFmtId="0" fontId="2" fillId="0" borderId="7" xfId="24" applyFont="1" applyFill="1" applyBorder="1" applyAlignment="1">
      <alignment vertical="center"/>
    </xf>
    <xf numFmtId="0" fontId="2" fillId="0" borderId="39" xfId="24" applyFont="1" applyFill="1" applyBorder="1" applyAlignment="1">
      <alignment horizontal="center" vertical="center"/>
    </xf>
    <xf numFmtId="0" fontId="12" fillId="0" borderId="7" xfId="24" applyFont="1" applyFill="1" applyBorder="1" applyAlignment="1">
      <alignment vertical="center"/>
    </xf>
    <xf numFmtId="0" fontId="2" fillId="0" borderId="0" xfId="24"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2" fillId="0" borderId="7" xfId="0"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4" applyFont="1" applyFill="1" applyBorder="1" applyAlignment="1">
      <alignment vertical="center"/>
    </xf>
    <xf numFmtId="0" fontId="46" fillId="0" borderId="0" xfId="24" applyFont="1" applyFill="1" applyBorder="1" applyAlignment="1">
      <alignment vertical="center"/>
    </xf>
    <xf numFmtId="0" fontId="45" fillId="0" borderId="0" xfId="0" applyFont="1" applyFill="1" applyBorder="1" applyAlignment="1">
      <alignment vertical="center"/>
    </xf>
    <xf numFmtId="0" fontId="47" fillId="0" borderId="0" xfId="24" applyFont="1" applyFill="1" applyBorder="1" applyAlignment="1">
      <alignment vertical="center"/>
    </xf>
    <xf numFmtId="0" fontId="48" fillId="0" borderId="0" xfId="24" applyFont="1" applyFill="1" applyBorder="1" applyAlignment="1">
      <alignment vertical="center"/>
    </xf>
    <xf numFmtId="0" fontId="49" fillId="0" borderId="0" xfId="24"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4" applyFont="1" applyFill="1" applyBorder="1" applyAlignment="1">
      <alignment horizontal="center" vertical="center" wrapText="1"/>
    </xf>
    <xf numFmtId="0" fontId="2" fillId="0" borderId="27" xfId="24"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4" applyFont="1" applyFill="1" applyBorder="1" applyAlignment="1">
      <alignment horizontal="center" vertical="center"/>
    </xf>
    <xf numFmtId="0" fontId="7" fillId="0" borderId="0" xfId="24"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4"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7" fillId="0" borderId="0" xfId="0" applyFont="1" applyBorder="1"/>
    <xf numFmtId="0" fontId="2" fillId="0" borderId="0" xfId="0" quotePrefix="1" applyFont="1" applyFill="1" applyBorder="1"/>
    <xf numFmtId="4" fontId="6" fillId="0" borderId="7" xfId="9" applyNumberFormat="1" applyFont="1" applyFill="1" applyBorder="1" applyAlignment="1">
      <alignment horizontal="left" vertical="center" wrapText="1"/>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8"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4"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8"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4" fontId="2" fillId="0" borderId="5" xfId="0" applyNumberFormat="1" applyFont="1" applyBorder="1" applyAlignment="1">
      <alignment vertical="center"/>
    </xf>
    <xf numFmtId="0" fontId="6" fillId="0" borderId="0" xfId="19" applyFont="1" applyFill="1" applyBorder="1" applyAlignment="1">
      <alignment horizontal="center" vertical="center" wrapText="1"/>
    </xf>
    <xf numFmtId="0" fontId="6" fillId="0" borderId="0" xfId="21" applyFont="1" applyFill="1" applyBorder="1" applyAlignment="1">
      <alignment horizontal="center" vertical="center" wrapText="1"/>
    </xf>
    <xf numFmtId="164" fontId="2" fillId="0" borderId="0" xfId="0" applyNumberFormat="1" applyFont="1" applyFill="1" applyBorder="1" applyAlignment="1">
      <alignment vertical="center"/>
    </xf>
    <xf numFmtId="0" fontId="2" fillId="0" borderId="5" xfId="0" applyFont="1" applyFill="1" applyBorder="1" applyAlignment="1">
      <alignment vertical="center"/>
    </xf>
    <xf numFmtId="164" fontId="2" fillId="0" borderId="0" xfId="0" applyNumberFormat="1" applyFont="1" applyAlignment="1">
      <alignment vertical="center"/>
    </xf>
    <xf numFmtId="0" fontId="57" fillId="0" borderId="0" xfId="21" applyFont="1" applyFill="1" applyBorder="1" applyAlignment="1">
      <alignment horizontal="left" vertical="center" wrapText="1"/>
    </xf>
    <xf numFmtId="0" fontId="57" fillId="0" borderId="0" xfId="23" applyFont="1" applyFill="1" applyBorder="1" applyAlignment="1">
      <alignment horizontal="right" vertical="center" wrapText="1"/>
    </xf>
    <xf numFmtId="0" fontId="47" fillId="0" borderId="0" xfId="21"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9"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4"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4"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9"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5" fontId="6" fillId="0" borderId="0" xfId="27"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5" fontId="59" fillId="0" borderId="0" xfId="27"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2" applyFont="1" applyFill="1" applyBorder="1" applyAlignment="1">
      <alignment horizontal="center" vertical="center" wrapText="1"/>
    </xf>
    <xf numFmtId="49" fontId="6" fillId="0" borderId="0" xfId="21" applyNumberFormat="1" applyFont="1" applyFill="1" applyBorder="1" applyAlignment="1">
      <alignment horizontal="center" vertical="center" wrapText="1"/>
    </xf>
    <xf numFmtId="0" fontId="60" fillId="0" borderId="0" xfId="23" applyFont="1" applyFill="1" applyBorder="1" applyAlignment="1">
      <alignment horizontal="left" vertical="center" wrapText="1"/>
    </xf>
    <xf numFmtId="0" fontId="60" fillId="0" borderId="0" xfId="19" applyFont="1" applyFill="1" applyBorder="1" applyAlignment="1">
      <alignment horizontal="right" vertical="center" wrapText="1"/>
    </xf>
    <xf numFmtId="0" fontId="60" fillId="0" borderId="0" xfId="21" applyFont="1" applyFill="1" applyBorder="1" applyAlignment="1">
      <alignment horizontal="left" vertical="center" wrapText="1"/>
    </xf>
    <xf numFmtId="0" fontId="60" fillId="0" borderId="0" xfId="23"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8"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8"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8" applyNumberFormat="1" applyFont="1" applyFill="1" applyBorder="1" applyAlignment="1">
      <alignment vertical="center"/>
    </xf>
    <xf numFmtId="165" fontId="6" fillId="0" borderId="0" xfId="3" applyFont="1" applyFill="1" applyBorder="1" applyAlignment="1">
      <alignment horizontal="right" vertical="center" wrapText="1"/>
    </xf>
    <xf numFmtId="165" fontId="59" fillId="0" borderId="0" xfId="3" applyFont="1" applyFill="1" applyBorder="1" applyAlignment="1">
      <alignment horizontal="right" vertical="center" wrapText="1"/>
    </xf>
    <xf numFmtId="0" fontId="2" fillId="0" borderId="1" xfId="24" applyFont="1" applyFill="1" applyBorder="1" applyAlignment="1">
      <alignment vertical="center"/>
    </xf>
    <xf numFmtId="0" fontId="2" fillId="0" borderId="2" xfId="24" applyFont="1" applyFill="1" applyBorder="1" applyAlignment="1">
      <alignment vertical="center"/>
    </xf>
    <xf numFmtId="0" fontId="2" fillId="0" borderId="3" xfId="24" applyFont="1" applyFill="1" applyBorder="1" applyAlignment="1">
      <alignment vertical="center"/>
    </xf>
    <xf numFmtId="0" fontId="2" fillId="0" borderId="0" xfId="24" applyFont="1" applyFill="1" applyAlignment="1">
      <alignment vertical="center"/>
    </xf>
    <xf numFmtId="0" fontId="2" fillId="0" borderId="4" xfId="24" applyFont="1" applyBorder="1" applyAlignment="1">
      <alignment vertical="center"/>
    </xf>
    <xf numFmtId="0" fontId="9" fillId="0" borderId="0" xfId="24" applyFont="1" applyBorder="1" applyAlignment="1">
      <alignment vertical="center"/>
    </xf>
    <xf numFmtId="0" fontId="2" fillId="2" borderId="1" xfId="24" applyFont="1" applyFill="1" applyBorder="1" applyAlignment="1">
      <alignment horizontal="right" vertical="center"/>
    </xf>
    <xf numFmtId="0" fontId="2" fillId="2" borderId="2" xfId="24" applyFont="1" applyFill="1" applyBorder="1" applyAlignment="1">
      <alignment vertical="center"/>
    </xf>
    <xf numFmtId="14" fontId="2" fillId="2" borderId="2" xfId="24" applyNumberFormat="1" applyFont="1" applyFill="1" applyBorder="1" applyAlignment="1">
      <alignment horizontal="center" vertical="center"/>
    </xf>
    <xf numFmtId="0" fontId="2" fillId="2" borderId="3" xfId="24" applyFont="1" applyFill="1" applyBorder="1" applyAlignment="1">
      <alignment vertical="center"/>
    </xf>
    <xf numFmtId="14" fontId="7" fillId="0" borderId="0" xfId="24" applyNumberFormat="1" applyFont="1" applyBorder="1" applyAlignment="1">
      <alignment horizontal="center" vertical="center"/>
    </xf>
    <xf numFmtId="0" fontId="2" fillId="0" borderId="5" xfId="24" applyFont="1" applyBorder="1" applyAlignment="1">
      <alignment vertical="center"/>
    </xf>
    <xf numFmtId="0" fontId="2" fillId="0" borderId="0" xfId="24" applyFont="1" applyAlignment="1">
      <alignment vertical="center"/>
    </xf>
    <xf numFmtId="0" fontId="2" fillId="2" borderId="4" xfId="24" applyFont="1" applyFill="1" applyBorder="1" applyAlignment="1">
      <alignment horizontal="right" vertical="center"/>
    </xf>
    <xf numFmtId="0" fontId="2" fillId="2" borderId="0" xfId="24" applyFont="1" applyFill="1" applyBorder="1" applyAlignment="1">
      <alignment vertical="center"/>
    </xf>
    <xf numFmtId="14" fontId="2" fillId="2" borderId="0" xfId="24" applyNumberFormat="1" applyFont="1" applyFill="1" applyBorder="1" applyAlignment="1">
      <alignment horizontal="center" vertical="center"/>
    </xf>
    <xf numFmtId="0" fontId="2" fillId="2" borderId="5" xfId="24" applyFont="1" applyFill="1" applyBorder="1" applyAlignment="1">
      <alignment vertical="center"/>
    </xf>
    <xf numFmtId="0" fontId="7" fillId="0" borderId="0" xfId="24" applyFont="1" applyBorder="1" applyAlignment="1">
      <alignment horizontal="center" vertical="center"/>
    </xf>
    <xf numFmtId="0" fontId="53" fillId="0" borderId="0" xfId="24" applyFont="1" applyFill="1" applyBorder="1" applyAlignment="1">
      <alignment vertical="center"/>
    </xf>
    <xf numFmtId="1" fontId="2" fillId="2" borderId="0" xfId="24" applyNumberFormat="1" applyFont="1" applyFill="1" applyBorder="1" applyAlignment="1">
      <alignment horizontal="center" vertical="center"/>
    </xf>
    <xf numFmtId="0" fontId="2" fillId="2" borderId="0" xfId="24" applyFont="1" applyFill="1" applyBorder="1" applyAlignment="1">
      <alignment horizontal="right" vertical="center"/>
    </xf>
    <xf numFmtId="0" fontId="2" fillId="2" borderId="5" xfId="24" applyFont="1" applyFill="1" applyBorder="1" applyAlignment="1">
      <alignment horizontal="center" vertical="center"/>
    </xf>
    <xf numFmtId="0" fontId="11" fillId="0" borderId="0" xfId="24" quotePrefix="1" applyFont="1" applyFill="1" applyBorder="1" applyAlignment="1">
      <alignment vertical="center"/>
    </xf>
    <xf numFmtId="0" fontId="54" fillId="0" borderId="0" xfId="24" quotePrefix="1" applyFont="1" applyFill="1" applyBorder="1" applyAlignment="1">
      <alignment vertical="center"/>
    </xf>
    <xf numFmtId="14" fontId="2" fillId="2" borderId="4" xfId="24" applyNumberFormat="1" applyFont="1" applyFill="1" applyBorder="1" applyAlignment="1">
      <alignment horizontal="right" vertical="center"/>
    </xf>
    <xf numFmtId="0" fontId="2" fillId="2" borderId="0" xfId="24" applyFont="1" applyFill="1" applyBorder="1" applyAlignment="1">
      <alignment horizontal="center" vertical="center"/>
    </xf>
    <xf numFmtId="14" fontId="2" fillId="2" borderId="5" xfId="24" applyNumberFormat="1" applyFont="1" applyFill="1" applyBorder="1" applyAlignment="1">
      <alignment horizontal="center" vertical="center"/>
    </xf>
    <xf numFmtId="0" fontId="11" fillId="0" borderId="5" xfId="24" applyFont="1" applyBorder="1" applyAlignment="1">
      <alignment vertical="center"/>
    </xf>
    <xf numFmtId="14" fontId="2" fillId="2" borderId="6" xfId="24" applyNumberFormat="1" applyFont="1" applyFill="1" applyBorder="1" applyAlignment="1">
      <alignment horizontal="right" vertical="center"/>
    </xf>
    <xf numFmtId="14" fontId="2" fillId="2" borderId="7" xfId="24" applyNumberFormat="1" applyFont="1" applyFill="1" applyBorder="1" applyAlignment="1">
      <alignment horizontal="center" vertical="center"/>
    </xf>
    <xf numFmtId="0" fontId="2" fillId="2" borderId="7" xfId="24" applyFont="1" applyFill="1" applyBorder="1" applyAlignment="1">
      <alignment vertical="center"/>
    </xf>
    <xf numFmtId="0" fontId="2" fillId="2" borderId="8" xfId="24" applyFont="1" applyFill="1" applyBorder="1" applyAlignment="1">
      <alignment vertical="center"/>
    </xf>
    <xf numFmtId="0" fontId="2" fillId="0" borderId="0" xfId="24" applyFont="1" applyBorder="1" applyAlignment="1">
      <alignment horizontal="center" vertical="center"/>
    </xf>
    <xf numFmtId="171" fontId="7" fillId="0" borderId="0" xfId="24" applyNumberFormat="1" applyFont="1" applyBorder="1" applyAlignment="1">
      <alignment horizontal="center" vertical="center"/>
    </xf>
    <xf numFmtId="0" fontId="7" fillId="0" borderId="5" xfId="24" applyFont="1" applyBorder="1" applyAlignment="1">
      <alignment vertical="center"/>
    </xf>
    <xf numFmtId="164" fontId="2" fillId="0" borderId="0" xfId="24" applyNumberFormat="1" applyFont="1" applyBorder="1" applyAlignment="1">
      <alignment vertical="center"/>
    </xf>
    <xf numFmtId="0" fontId="56" fillId="0" borderId="0" xfId="24" applyFont="1" applyBorder="1" applyAlignment="1">
      <alignment vertical="center"/>
    </xf>
    <xf numFmtId="0" fontId="61" fillId="0" borderId="0" xfId="24" applyFont="1" applyBorder="1" applyAlignment="1">
      <alignment vertical="center"/>
    </xf>
    <xf numFmtId="164" fontId="2" fillId="0" borderId="5" xfId="24" applyNumberFormat="1" applyFont="1" applyBorder="1" applyAlignment="1">
      <alignment vertical="center"/>
    </xf>
    <xf numFmtId="0" fontId="61" fillId="0" borderId="0" xfId="24" applyFont="1" applyFill="1" applyBorder="1" applyAlignment="1">
      <alignment vertical="center"/>
    </xf>
    <xf numFmtId="0" fontId="9" fillId="0" borderId="0" xfId="24" applyFont="1" applyFill="1" applyBorder="1" applyAlignment="1">
      <alignment vertical="center"/>
    </xf>
    <xf numFmtId="0" fontId="2" fillId="0" borderId="0" xfId="22" applyFont="1" applyFill="1" applyBorder="1" applyAlignment="1">
      <alignment horizontal="center" vertical="center" wrapText="1"/>
    </xf>
    <xf numFmtId="0" fontId="2" fillId="0" borderId="0" xfId="19" applyFont="1" applyFill="1" applyBorder="1" applyAlignment="1">
      <alignment horizontal="center" vertical="center" wrapText="1"/>
    </xf>
    <xf numFmtId="0" fontId="2" fillId="0" borderId="0" xfId="21" applyFont="1" applyFill="1" applyBorder="1" applyAlignment="1">
      <alignment horizontal="center" vertical="center" wrapText="1"/>
    </xf>
    <xf numFmtId="164" fontId="2" fillId="0" borderId="0" xfId="24" applyNumberFormat="1" applyFont="1" applyFill="1" applyBorder="1" applyAlignment="1">
      <alignment vertical="center"/>
    </xf>
    <xf numFmtId="0" fontId="62" fillId="0" borderId="0" xfId="23" applyFont="1" applyFill="1" applyBorder="1" applyAlignment="1">
      <alignment horizontal="left" vertical="center" wrapText="1"/>
    </xf>
    <xf numFmtId="0" fontId="62" fillId="0" borderId="0" xfId="19" applyFont="1" applyFill="1" applyBorder="1" applyAlignment="1">
      <alignment horizontal="right" vertical="center" wrapText="1"/>
    </xf>
    <xf numFmtId="0" fontId="62" fillId="0" borderId="0" xfId="21" applyFont="1" applyFill="1" applyBorder="1" applyAlignment="1">
      <alignment horizontal="right" vertical="center" wrapText="1"/>
    </xf>
    <xf numFmtId="0" fontId="62" fillId="0" borderId="0" xfId="23" applyFont="1" applyFill="1" applyBorder="1" applyAlignment="1">
      <alignment horizontal="right" vertical="center" wrapText="1"/>
    </xf>
    <xf numFmtId="0" fontId="2" fillId="0" borderId="4" xfId="24"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4" applyFont="1" applyFill="1" applyBorder="1" applyAlignment="1">
      <alignment vertical="center"/>
    </xf>
    <xf numFmtId="0" fontId="2" fillId="2" borderId="30" xfId="24" applyFont="1" applyFill="1" applyBorder="1" applyAlignment="1">
      <alignment horizontal="center" vertical="center"/>
    </xf>
    <xf numFmtId="0" fontId="2" fillId="2" borderId="36" xfId="24" applyFont="1" applyFill="1" applyBorder="1" applyAlignment="1">
      <alignment horizontal="center" vertical="center" wrapText="1"/>
    </xf>
    <xf numFmtId="0" fontId="2" fillId="0" borderId="59" xfId="24" applyFont="1" applyFill="1" applyBorder="1" applyAlignment="1">
      <alignment vertical="center"/>
    </xf>
    <xf numFmtId="0" fontId="44" fillId="0" borderId="0" xfId="24" applyFont="1" applyFill="1" applyBorder="1" applyAlignment="1">
      <alignment horizontal="center" vertical="center"/>
    </xf>
    <xf numFmtId="0" fontId="44" fillId="0" borderId="1" xfId="24" applyFont="1" applyFill="1" applyBorder="1" applyAlignment="1">
      <alignment horizontal="center" vertical="center"/>
    </xf>
    <xf numFmtId="0" fontId="44" fillId="0" borderId="2" xfId="24" applyFont="1" applyFill="1" applyBorder="1" applyAlignment="1">
      <alignment horizontal="center" vertical="center"/>
    </xf>
    <xf numFmtId="0" fontId="44" fillId="0" borderId="3" xfId="24" applyFont="1" applyFill="1" applyBorder="1" applyAlignment="1">
      <alignment horizontal="center" vertical="center"/>
    </xf>
    <xf numFmtId="0" fontId="2" fillId="0" borderId="60" xfId="24" applyFont="1" applyFill="1" applyBorder="1" applyAlignment="1">
      <alignment horizontal="center" vertical="center"/>
    </xf>
    <xf numFmtId="0" fontId="2" fillId="0" borderId="10" xfId="24" applyFont="1" applyFill="1" applyBorder="1" applyAlignment="1">
      <alignment vertical="center" wrapText="1"/>
    </xf>
    <xf numFmtId="0" fontId="2" fillId="0" borderId="41" xfId="24" applyFont="1" applyFill="1" applyBorder="1" applyAlignment="1">
      <alignment horizontal="center" vertical="center"/>
    </xf>
    <xf numFmtId="0" fontId="2" fillId="0" borderId="4" xfId="24" quotePrefix="1" applyFont="1" applyFill="1" applyBorder="1" applyAlignment="1">
      <alignment horizontal="center" vertical="center"/>
    </xf>
    <xf numFmtId="0" fontId="2" fillId="0" borderId="5" xfId="24"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4" applyFont="1" applyFill="1" applyBorder="1" applyAlignment="1">
      <alignment vertical="center"/>
    </xf>
    <xf numFmtId="0" fontId="2" fillId="0" borderId="42" xfId="24" applyFont="1" applyFill="1" applyBorder="1" applyAlignment="1">
      <alignment vertical="center"/>
    </xf>
    <xf numFmtId="0" fontId="2" fillId="0" borderId="11" xfId="24" applyFont="1" applyFill="1" applyBorder="1" applyAlignment="1">
      <alignment horizontal="center" vertical="center"/>
    </xf>
    <xf numFmtId="0" fontId="2" fillId="2" borderId="57" xfId="24" applyFont="1" applyFill="1" applyBorder="1" applyAlignment="1">
      <alignment vertical="center"/>
    </xf>
    <xf numFmtId="0" fontId="2" fillId="2" borderId="34" xfId="24" applyFont="1" applyFill="1" applyBorder="1" applyAlignment="1">
      <alignment vertical="center"/>
    </xf>
    <xf numFmtId="0" fontId="2" fillId="2" borderId="61" xfId="24" applyFont="1" applyFill="1" applyBorder="1" applyAlignment="1">
      <alignment vertical="center"/>
    </xf>
    <xf numFmtId="0" fontId="2" fillId="0" borderId="0" xfId="21" applyFont="1" applyFill="1" applyBorder="1" applyAlignment="1">
      <alignment horizontal="left" vertical="center"/>
    </xf>
    <xf numFmtId="184" fontId="2" fillId="0" borderId="0" xfId="1" applyNumberFormat="1" applyFont="1" applyFill="1" applyBorder="1" applyAlignment="1">
      <alignment horizontal="right" vertical="center"/>
    </xf>
    <xf numFmtId="10" fontId="7" fillId="0" borderId="0" xfId="28" applyNumberFormat="1" applyFont="1" applyFill="1" applyBorder="1" applyAlignment="1">
      <alignment vertical="center"/>
    </xf>
    <xf numFmtId="3" fontId="7" fillId="0" borderId="0" xfId="24" applyNumberFormat="1" applyFont="1" applyBorder="1" applyAlignment="1">
      <alignment vertical="center"/>
    </xf>
    <xf numFmtId="164" fontId="2" fillId="0" borderId="0" xfId="1" applyFont="1" applyFill="1" applyBorder="1" applyAlignment="1">
      <alignment horizontal="right" vertical="center"/>
    </xf>
    <xf numFmtId="0" fontId="2" fillId="0" borderId="5" xfId="24" applyFont="1" applyFill="1" applyBorder="1" applyAlignment="1">
      <alignment vertical="center"/>
    </xf>
    <xf numFmtId="0" fontId="2" fillId="0" borderId="6" xfId="24" applyFont="1" applyBorder="1" applyAlignment="1">
      <alignment vertical="center"/>
    </xf>
    <xf numFmtId="10" fontId="6" fillId="0" borderId="7" xfId="9" applyNumberFormat="1" applyFont="1" applyFill="1" applyBorder="1" applyAlignment="1">
      <alignment horizontal="right" vertical="center" wrapText="1"/>
    </xf>
    <xf numFmtId="164" fontId="2" fillId="0" borderId="7" xfId="24" applyNumberFormat="1" applyFont="1" applyBorder="1" applyAlignment="1">
      <alignment vertical="center"/>
    </xf>
    <xf numFmtId="0" fontId="2" fillId="0" borderId="7" xfId="24" applyFont="1" applyBorder="1" applyAlignment="1">
      <alignment vertical="center"/>
    </xf>
    <xf numFmtId="0" fontId="2" fillId="0" borderId="8" xfId="24" applyFont="1" applyBorder="1" applyAlignment="1">
      <alignment vertical="center"/>
    </xf>
    <xf numFmtId="0" fontId="6" fillId="0" borderId="0" xfId="24" applyFont="1" applyFill="1" applyBorder="1" applyAlignment="1">
      <alignment vertical="center"/>
    </xf>
    <xf numFmtId="4" fontId="6" fillId="0" borderId="0" xfId="24" applyNumberFormat="1" applyFont="1" applyFill="1" applyBorder="1" applyAlignment="1">
      <alignment vertical="center"/>
    </xf>
    <xf numFmtId="3" fontId="6" fillId="0" borderId="0" xfId="24" applyNumberFormat="1" applyFont="1" applyFill="1" applyBorder="1" applyAlignment="1">
      <alignment vertical="center"/>
    </xf>
    <xf numFmtId="0" fontId="58" fillId="0" borderId="0" xfId="24" applyFont="1" applyFill="1" applyBorder="1" applyAlignment="1">
      <alignment vertical="center"/>
    </xf>
    <xf numFmtId="4" fontId="58" fillId="0" borderId="0" xfId="24" applyNumberFormat="1" applyFont="1" applyFill="1" applyBorder="1" applyAlignment="1">
      <alignment vertical="center"/>
    </xf>
    <xf numFmtId="4" fontId="2" fillId="0" borderId="0" xfId="24" applyNumberFormat="1" applyFont="1" applyFill="1" applyBorder="1" applyAlignment="1">
      <alignment vertical="center"/>
    </xf>
    <xf numFmtId="14" fontId="7" fillId="0" borderId="5" xfId="24" applyNumberFormat="1" applyFont="1" applyBorder="1" applyAlignment="1">
      <alignment horizontal="center" vertical="center"/>
    </xf>
    <xf numFmtId="0" fontId="7" fillId="0" borderId="5" xfId="24" applyFont="1" applyBorder="1" applyAlignment="1">
      <alignment horizontal="center" vertical="center"/>
    </xf>
    <xf numFmtId="0" fontId="2" fillId="0" borderId="0" xfId="24" applyFont="1" applyBorder="1" applyAlignment="1">
      <alignment horizontal="right" vertical="center"/>
    </xf>
    <xf numFmtId="0" fontId="11" fillId="0" borderId="0" xfId="24" quotePrefix="1" applyFont="1" applyBorder="1" applyAlignment="1">
      <alignment vertical="center"/>
    </xf>
    <xf numFmtId="0" fontId="53" fillId="0" borderId="0" xfId="24" applyFont="1" applyBorder="1" applyAlignment="1">
      <alignment vertical="center"/>
    </xf>
    <xf numFmtId="0" fontId="11" fillId="0" borderId="0" xfId="24" applyFont="1" applyAlignment="1">
      <alignment vertical="center"/>
    </xf>
    <xf numFmtId="0" fontId="7" fillId="0" borderId="0" xfId="24" applyFont="1" applyAlignment="1">
      <alignment vertical="center"/>
    </xf>
    <xf numFmtId="164" fontId="2" fillId="0" borderId="0" xfId="24" applyNumberFormat="1" applyFont="1" applyAlignment="1">
      <alignment vertical="center"/>
    </xf>
    <xf numFmtId="1" fontId="9" fillId="0" borderId="0" xfId="24" applyNumberFormat="1" applyFont="1" applyFill="1" applyBorder="1" applyAlignment="1">
      <alignment vertical="center"/>
    </xf>
    <xf numFmtId="0" fontId="25" fillId="0" borderId="0" xfId="19" applyFont="1" applyFill="1" applyBorder="1" applyAlignment="1">
      <alignment horizontal="center" vertical="center" wrapText="1"/>
    </xf>
    <xf numFmtId="0" fontId="25" fillId="0" borderId="0" xfId="21" applyFont="1" applyFill="1" applyBorder="1" applyAlignment="1">
      <alignment horizontal="center" vertical="center" wrapText="1"/>
    </xf>
    <xf numFmtId="0" fontId="63" fillId="0" borderId="0" xfId="21" applyFont="1" applyFill="1" applyBorder="1" applyAlignment="1">
      <alignment horizontal="left" vertical="center" wrapText="1"/>
    </xf>
    <xf numFmtId="0" fontId="63" fillId="0" borderId="0" xfId="23"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4"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8" applyNumberFormat="1" applyFont="1" applyBorder="1" applyAlignment="1">
      <alignment vertical="center"/>
    </xf>
    <xf numFmtId="3" fontId="13" fillId="0" borderId="0" xfId="24" applyNumberFormat="1" applyFont="1" applyBorder="1" applyAlignment="1">
      <alignment vertical="center"/>
    </xf>
    <xf numFmtId="0" fontId="46" fillId="0" borderId="0" xfId="24" applyFont="1" applyBorder="1" applyAlignment="1">
      <alignment vertical="center"/>
    </xf>
    <xf numFmtId="0" fontId="12" fillId="0" borderId="0" xfId="24" applyFont="1" applyBorder="1" applyAlignment="1">
      <alignment vertical="center"/>
    </xf>
    <xf numFmtId="0" fontId="2" fillId="0" borderId="6" xfId="24"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4" fontId="2" fillId="0" borderId="7" xfId="24" applyNumberFormat="1" applyFont="1" applyFill="1" applyBorder="1" applyAlignment="1">
      <alignment vertical="center"/>
    </xf>
    <xf numFmtId="0" fontId="2" fillId="0" borderId="8" xfId="24" applyFont="1" applyFill="1" applyBorder="1" applyAlignment="1">
      <alignment vertical="center"/>
    </xf>
    <xf numFmtId="14" fontId="2" fillId="2" borderId="2" xfId="24" applyNumberFormat="1" applyFont="1" applyFill="1" applyBorder="1" applyAlignment="1">
      <alignment vertical="center"/>
    </xf>
    <xf numFmtId="14" fontId="2" fillId="2" borderId="0" xfId="24" applyNumberFormat="1" applyFont="1" applyFill="1" applyBorder="1" applyAlignment="1">
      <alignment vertical="center"/>
    </xf>
    <xf numFmtId="1" fontId="2" fillId="2" borderId="0" xfId="24" applyNumberFormat="1" applyFont="1" applyFill="1" applyBorder="1" applyAlignment="1">
      <alignment vertical="center"/>
    </xf>
    <xf numFmtId="174" fontId="2" fillId="2" borderId="0" xfId="24" applyNumberFormat="1" applyFont="1" applyFill="1" applyBorder="1" applyAlignment="1">
      <alignment horizontal="center" vertical="center"/>
    </xf>
    <xf numFmtId="0" fontId="7" fillId="2" borderId="7" xfId="24" applyFont="1" applyFill="1" applyBorder="1" applyAlignment="1">
      <alignment horizontal="center" vertical="center"/>
    </xf>
    <xf numFmtId="0" fontId="65" fillId="0" borderId="0" xfId="24"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8" applyNumberFormat="1" applyFont="1" applyBorder="1" applyAlignment="1">
      <alignment vertical="center"/>
    </xf>
    <xf numFmtId="168" fontId="6" fillId="0" borderId="0" xfId="18" applyNumberFormat="1" applyFont="1" applyFill="1" applyBorder="1" applyAlignment="1">
      <alignment horizontal="right" vertical="center" wrapText="1"/>
    </xf>
    <xf numFmtId="10" fontId="6" fillId="29"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5" fontId="2" fillId="2" borderId="5" xfId="116" applyFont="1" applyFill="1" applyBorder="1" applyAlignment="1">
      <alignment horizontal="center" vertical="center"/>
    </xf>
    <xf numFmtId="0" fontId="2" fillId="0" borderId="0" xfId="0" applyFont="1" applyFill="1" applyBorder="1" applyAlignment="1">
      <alignment horizontal="left" vertical="center"/>
    </xf>
    <xf numFmtId="184" fontId="2" fillId="0" borderId="0" xfId="117"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1" applyFont="1" applyFill="1" applyBorder="1" applyAlignment="1">
      <alignment horizontal="right" vertical="center" wrapText="1"/>
    </xf>
    <xf numFmtId="0" fontId="9" fillId="0" borderId="2" xfId="0" applyFont="1" applyBorder="1" applyAlignment="1">
      <alignment vertical="center"/>
    </xf>
    <xf numFmtId="0" fontId="6" fillId="0" borderId="2" xfId="22" applyFont="1" applyFill="1" applyBorder="1" applyAlignment="1">
      <alignment horizontal="center" vertical="center" wrapText="1"/>
    </xf>
    <xf numFmtId="0" fontId="6" fillId="0" borderId="2" xfId="19" applyFont="1" applyFill="1" applyBorder="1" applyAlignment="1">
      <alignment horizontal="center" vertical="center" wrapText="1"/>
    </xf>
    <xf numFmtId="0" fontId="6" fillId="0" borderId="2" xfId="21" applyFont="1" applyFill="1" applyBorder="1" applyAlignment="1">
      <alignment horizontal="center" vertical="center" wrapText="1"/>
    </xf>
    <xf numFmtId="0" fontId="6" fillId="0" borderId="2" xfId="21" applyFont="1" applyFill="1" applyBorder="1" applyAlignment="1">
      <alignment horizontal="right" vertical="center" wrapText="1"/>
    </xf>
    <xf numFmtId="164"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4" fontId="2" fillId="0" borderId="7" xfId="0" applyNumberFormat="1" applyFont="1" applyFill="1" applyBorder="1" applyAlignment="1">
      <alignment vertical="center"/>
    </xf>
    <xf numFmtId="165" fontId="6" fillId="0" borderId="0" xfId="116" applyFont="1" applyFill="1" applyBorder="1" applyAlignment="1">
      <alignment horizontal="right" vertical="center" wrapText="1"/>
    </xf>
    <xf numFmtId="4" fontId="6" fillId="0" borderId="0" xfId="0" applyNumberFormat="1" applyFont="1" applyFill="1" applyBorder="1" applyAlignment="1">
      <alignment horizontal="right" vertical="center"/>
    </xf>
    <xf numFmtId="165" fontId="59" fillId="0" borderId="0" xfId="116" applyFont="1" applyFill="1" applyBorder="1" applyAlignment="1">
      <alignment horizontal="right" vertical="center" wrapText="1"/>
    </xf>
    <xf numFmtId="0" fontId="2" fillId="0" borderId="0" xfId="0" applyFont="1" applyFill="1" applyAlignment="1">
      <alignment horizontal="right" vertical="center"/>
    </xf>
    <xf numFmtId="0" fontId="2" fillId="0" borderId="1" xfId="50" applyFont="1" applyFill="1" applyBorder="1" applyAlignment="1">
      <alignment vertical="center"/>
    </xf>
    <xf numFmtId="0" fontId="2" fillId="0" borderId="2" xfId="50" applyFont="1" applyBorder="1" applyAlignment="1">
      <alignment vertical="center"/>
    </xf>
    <xf numFmtId="0" fontId="2" fillId="0" borderId="3" xfId="50" applyFont="1" applyBorder="1" applyAlignment="1">
      <alignment vertical="center"/>
    </xf>
    <xf numFmtId="0" fontId="2" fillId="0" borderId="4" xfId="50" applyFont="1" applyBorder="1" applyAlignment="1">
      <alignment vertical="center"/>
    </xf>
    <xf numFmtId="0" fontId="2" fillId="0" borderId="0" xfId="50" applyFont="1" applyBorder="1" applyAlignment="1">
      <alignment vertical="center"/>
    </xf>
    <xf numFmtId="0" fontId="9" fillId="0" borderId="1" xfId="50" applyFont="1" applyBorder="1" applyAlignment="1">
      <alignment vertical="center"/>
    </xf>
    <xf numFmtId="0" fontId="9" fillId="0" borderId="2" xfId="50" applyFont="1" applyBorder="1" applyAlignment="1">
      <alignment vertical="center"/>
    </xf>
    <xf numFmtId="0" fontId="2" fillId="2" borderId="1" xfId="50" applyFont="1" applyFill="1" applyBorder="1" applyAlignment="1">
      <alignment horizontal="right" vertical="center"/>
    </xf>
    <xf numFmtId="0" fontId="2" fillId="2" borderId="2" xfId="50" applyFont="1" applyFill="1" applyBorder="1" applyAlignment="1">
      <alignment vertical="center"/>
    </xf>
    <xf numFmtId="14" fontId="2" fillId="2" borderId="2" xfId="50" applyNumberFormat="1" applyFont="1" applyFill="1" applyBorder="1" applyAlignment="1">
      <alignment horizontal="center" vertical="center"/>
    </xf>
    <xf numFmtId="0" fontId="2" fillId="2" borderId="3" xfId="50" applyFont="1" applyFill="1" applyBorder="1" applyAlignment="1">
      <alignment vertical="center"/>
    </xf>
    <xf numFmtId="0" fontId="2" fillId="0" borderId="5" xfId="50" applyFont="1" applyFill="1" applyBorder="1" applyAlignment="1">
      <alignment vertical="center"/>
    </xf>
    <xf numFmtId="0" fontId="2" fillId="0" borderId="4" xfId="50" applyFont="1" applyFill="1" applyBorder="1" applyAlignment="1">
      <alignment vertical="center"/>
    </xf>
    <xf numFmtId="0" fontId="9" fillId="0" borderId="4" xfId="50" applyFont="1" applyBorder="1" applyAlignment="1">
      <alignment vertical="center"/>
    </xf>
    <xf numFmtId="0" fontId="9" fillId="0" borderId="0" xfId="50" applyFont="1" applyBorder="1" applyAlignment="1">
      <alignment vertical="center"/>
    </xf>
    <xf numFmtId="0" fontId="2" fillId="2" borderId="4" xfId="50" applyFont="1" applyFill="1" applyBorder="1" applyAlignment="1">
      <alignment horizontal="right" vertical="center"/>
    </xf>
    <xf numFmtId="0" fontId="2" fillId="2" borderId="0" xfId="50" applyFont="1" applyFill="1" applyBorder="1" applyAlignment="1">
      <alignment vertical="center"/>
    </xf>
    <xf numFmtId="14" fontId="2" fillId="2" borderId="0" xfId="50" applyNumberFormat="1" applyFont="1" applyFill="1" applyBorder="1" applyAlignment="1">
      <alignment horizontal="center" vertical="center"/>
    </xf>
    <xf numFmtId="0" fontId="2" fillId="2" borderId="5" xfId="50" applyFont="1" applyFill="1" applyBorder="1" applyAlignment="1">
      <alignment vertical="center"/>
    </xf>
    <xf numFmtId="0" fontId="53" fillId="0" borderId="4" xfId="50" applyFont="1" applyBorder="1" applyAlignment="1">
      <alignment horizontal="right" vertical="center"/>
    </xf>
    <xf numFmtId="0" fontId="2" fillId="0" borderId="0" xfId="50" applyFont="1" applyBorder="1" applyAlignment="1">
      <alignment horizontal="right" vertical="center"/>
    </xf>
    <xf numFmtId="1" fontId="2" fillId="2" borderId="0" xfId="50" applyNumberFormat="1" applyFont="1" applyFill="1" applyBorder="1" applyAlignment="1">
      <alignment horizontal="center" vertical="center"/>
    </xf>
    <xf numFmtId="0" fontId="2" fillId="2" borderId="0" xfId="50" applyFont="1" applyFill="1" applyBorder="1" applyAlignment="1">
      <alignment horizontal="right" vertical="center"/>
    </xf>
    <xf numFmtId="0" fontId="2" fillId="0" borderId="5" xfId="50" applyFont="1" applyFill="1" applyBorder="1" applyAlignment="1">
      <alignment horizontal="center" vertical="center"/>
    </xf>
    <xf numFmtId="0" fontId="2" fillId="0" borderId="4" xfId="50" applyFont="1" applyFill="1" applyBorder="1" applyAlignment="1">
      <alignment horizontal="center" vertical="center"/>
    </xf>
    <xf numFmtId="0" fontId="11" fillId="0" borderId="4" xfId="50" quotePrefix="1" applyFont="1" applyBorder="1" applyAlignment="1">
      <alignment vertical="center"/>
    </xf>
    <xf numFmtId="0" fontId="11" fillId="0" borderId="0" xfId="50" quotePrefix="1" applyFont="1" applyBorder="1" applyAlignment="1">
      <alignment vertical="center"/>
    </xf>
    <xf numFmtId="0" fontId="54" fillId="0" borderId="4" xfId="50" quotePrefix="1" applyFont="1" applyFill="1" applyBorder="1" applyAlignment="1">
      <alignment vertical="center"/>
    </xf>
    <xf numFmtId="0" fontId="53" fillId="0" borderId="0" xfId="50" applyFont="1" applyBorder="1" applyAlignment="1">
      <alignment vertical="center"/>
    </xf>
    <xf numFmtId="0" fontId="2" fillId="2" borderId="0" xfId="50" applyFont="1" applyFill="1" applyBorder="1" applyAlignment="1">
      <alignment horizontal="center" vertical="center"/>
    </xf>
    <xf numFmtId="0" fontId="2" fillId="2" borderId="5" xfId="50" applyFont="1" applyFill="1" applyBorder="1" applyAlignment="1">
      <alignment horizontal="center" vertical="center"/>
    </xf>
    <xf numFmtId="165" fontId="2" fillId="0" borderId="5" xfId="37" applyFont="1" applyFill="1" applyBorder="1" applyAlignment="1">
      <alignment horizontal="center" vertical="center"/>
    </xf>
    <xf numFmtId="165" fontId="2" fillId="0" borderId="4" xfId="37" applyFont="1" applyFill="1" applyBorder="1" applyAlignment="1">
      <alignment horizontal="center" vertical="center"/>
    </xf>
    <xf numFmtId="0" fontId="7" fillId="0" borderId="0" xfId="50" applyFont="1" applyBorder="1" applyAlignment="1">
      <alignment horizontal="center" vertical="center"/>
    </xf>
    <xf numFmtId="0" fontId="2" fillId="0" borderId="0" xfId="50" applyFont="1" applyAlignment="1">
      <alignment vertical="center"/>
    </xf>
    <xf numFmtId="0" fontId="2" fillId="2" borderId="6" xfId="50" applyFont="1" applyFill="1" applyBorder="1" applyAlignment="1">
      <alignment horizontal="right" vertical="center"/>
    </xf>
    <xf numFmtId="0" fontId="2" fillId="2" borderId="7" xfId="50" applyFont="1" applyFill="1" applyBorder="1" applyAlignment="1">
      <alignment horizontal="center" vertical="center"/>
    </xf>
    <xf numFmtId="14" fontId="2" fillId="2" borderId="7" xfId="50" applyNumberFormat="1" applyFont="1" applyFill="1" applyBorder="1" applyAlignment="1">
      <alignment horizontal="center" vertical="center"/>
    </xf>
    <xf numFmtId="0" fontId="2" fillId="2" borderId="7" xfId="50" applyFont="1" applyFill="1" applyBorder="1" applyAlignment="1">
      <alignment vertical="center"/>
    </xf>
    <xf numFmtId="0" fontId="2" fillId="2" borderId="8" xfId="50" applyFont="1" applyFill="1" applyBorder="1" applyAlignment="1">
      <alignment vertical="center"/>
    </xf>
    <xf numFmtId="0" fontId="66" fillId="0" borderId="0" xfId="50" applyNumberFormat="1" applyFont="1" applyBorder="1" applyAlignment="1">
      <alignment horizontal="center" vertical="center"/>
    </xf>
    <xf numFmtId="0" fontId="2" fillId="0" borderId="0" xfId="50" applyFont="1" applyBorder="1" applyAlignment="1">
      <alignment horizontal="center" vertical="center"/>
    </xf>
    <xf numFmtId="14" fontId="7" fillId="0" borderId="0" xfId="50" applyNumberFormat="1" applyFont="1" applyBorder="1" applyAlignment="1">
      <alignment horizontal="center" vertical="center"/>
    </xf>
    <xf numFmtId="171" fontId="7" fillId="0" borderId="5" xfId="50" applyNumberFormat="1" applyFont="1" applyBorder="1" applyAlignment="1">
      <alignment horizontal="center" vertical="center"/>
    </xf>
    <xf numFmtId="0" fontId="2" fillId="0" borderId="5" xfId="50" applyFont="1" applyBorder="1" applyAlignment="1">
      <alignment vertical="center"/>
    </xf>
    <xf numFmtId="171" fontId="7" fillId="0" borderId="4" xfId="50" applyNumberFormat="1" applyFont="1" applyBorder="1" applyAlignment="1">
      <alignment horizontal="center" vertical="center"/>
    </xf>
    <xf numFmtId="14" fontId="2" fillId="0" borderId="0" xfId="50" applyNumberFormat="1" applyFont="1" applyFill="1" applyBorder="1" applyAlignment="1">
      <alignment horizontal="center" vertical="center"/>
    </xf>
    <xf numFmtId="164" fontId="2" fillId="0" borderId="0" xfId="50" applyNumberFormat="1" applyFont="1" applyBorder="1" applyAlignment="1">
      <alignment horizontal="right" vertical="center"/>
    </xf>
    <xf numFmtId="0" fontId="2" fillId="0" borderId="0" xfId="50" applyFont="1" applyFill="1" applyBorder="1" applyAlignment="1">
      <alignment vertical="center"/>
    </xf>
    <xf numFmtId="0" fontId="9" fillId="0" borderId="4" xfId="50" applyFont="1" applyFill="1" applyBorder="1" applyAlignment="1">
      <alignment vertical="center"/>
    </xf>
    <xf numFmtId="0" fontId="7" fillId="0" borderId="0" xfId="50" applyFont="1" applyBorder="1" applyAlignment="1">
      <alignment horizontal="right" vertical="center" wrapText="1"/>
    </xf>
    <xf numFmtId="0" fontId="7" fillId="0" borderId="0" xfId="50" applyFont="1" applyFill="1" applyBorder="1" applyAlignment="1">
      <alignment horizontal="right" vertical="center" wrapText="1"/>
    </xf>
    <xf numFmtId="0" fontId="7" fillId="0" borderId="0" xfId="50" applyFont="1" applyFill="1" applyBorder="1" applyAlignment="1">
      <alignment horizontal="right" vertical="center"/>
    </xf>
    <xf numFmtId="164" fontId="7" fillId="0" borderId="0" xfId="34" applyFont="1" applyFill="1" applyBorder="1" applyAlignment="1">
      <alignment horizontal="right" vertical="center"/>
    </xf>
    <xf numFmtId="0" fontId="7" fillId="0" borderId="5" xfId="50" applyFont="1" applyFill="1" applyBorder="1" applyAlignment="1">
      <alignment horizontal="right" vertical="center" wrapText="1"/>
    </xf>
    <xf numFmtId="0" fontId="7" fillId="0" borderId="4" xfId="50" applyFont="1" applyFill="1" applyBorder="1" applyAlignment="1">
      <alignment horizontal="right" vertical="center" wrapText="1"/>
    </xf>
    <xf numFmtId="10" fontId="2" fillId="0" borderId="0" xfId="45" applyNumberFormat="1" applyFont="1" applyFill="1" applyBorder="1" applyAlignment="1">
      <alignment horizontal="right" vertical="center"/>
    </xf>
    <xf numFmtId="164" fontId="2" fillId="0" borderId="0" xfId="34" applyFont="1" applyFill="1" applyBorder="1" applyAlignment="1">
      <alignment horizontal="right" vertical="center"/>
    </xf>
    <xf numFmtId="0" fontId="2" fillId="0" borderId="5" xfId="50" applyFont="1" applyFill="1" applyBorder="1" applyAlignment="1">
      <alignment horizontal="right" vertical="center"/>
    </xf>
    <xf numFmtId="0" fontId="2" fillId="0" borderId="4" xfId="50" quotePrefix="1" applyFont="1" applyBorder="1" applyAlignment="1">
      <alignment vertical="center"/>
    </xf>
    <xf numFmtId="164" fontId="2" fillId="0" borderId="0" xfId="34" applyFont="1" applyBorder="1" applyAlignment="1">
      <alignment horizontal="right" vertical="center"/>
    </xf>
    <xf numFmtId="10" fontId="7" fillId="0" borderId="0" xfId="50" applyNumberFormat="1" applyFont="1" applyFill="1" applyBorder="1" applyAlignment="1">
      <alignment horizontal="center" vertical="center"/>
    </xf>
    <xf numFmtId="10" fontId="7" fillId="0" borderId="4" xfId="50" applyNumberFormat="1" applyFont="1" applyFill="1" applyBorder="1" applyAlignment="1">
      <alignment horizontal="right" vertical="center"/>
    </xf>
    <xf numFmtId="10" fontId="2" fillId="0" borderId="4" xfId="50" quotePrefix="1" applyNumberFormat="1" applyFont="1" applyFill="1" applyBorder="1" applyAlignment="1">
      <alignment horizontal="right" vertical="center"/>
    </xf>
    <xf numFmtId="0" fontId="2" fillId="0" borderId="0" xfId="50" applyFont="1" applyFill="1" applyBorder="1" applyAlignment="1">
      <alignment horizontal="center" vertical="center"/>
    </xf>
    <xf numFmtId="184" fontId="7" fillId="0" borderId="0" xfId="50" applyNumberFormat="1" applyFont="1" applyBorder="1" applyAlignment="1">
      <alignment horizontal="center" vertical="center"/>
    </xf>
    <xf numFmtId="10" fontId="2" fillId="0" borderId="0" xfId="45" applyNumberFormat="1" applyFont="1" applyBorder="1" applyAlignment="1">
      <alignment horizontal="center" vertical="center"/>
    </xf>
    <xf numFmtId="184" fontId="7" fillId="0" borderId="5" xfId="50" applyNumberFormat="1" applyFont="1" applyBorder="1" applyAlignment="1">
      <alignment horizontal="center" vertical="center"/>
    </xf>
    <xf numFmtId="10" fontId="7" fillId="0" borderId="5" xfId="50" applyNumberFormat="1" applyFont="1" applyFill="1" applyBorder="1" applyAlignment="1">
      <alignment horizontal="right" vertical="center"/>
    </xf>
    <xf numFmtId="10" fontId="7" fillId="0" borderId="0" xfId="50" applyNumberFormat="1" applyFont="1" applyFill="1" applyBorder="1" applyAlignment="1">
      <alignment horizontal="right" vertical="center"/>
    </xf>
    <xf numFmtId="10" fontId="2" fillId="0" borderId="0" xfId="50" quotePrefix="1" applyNumberFormat="1" applyFont="1" applyFill="1" applyBorder="1" applyAlignment="1">
      <alignment horizontal="right" vertical="center"/>
    </xf>
    <xf numFmtId="10" fontId="7" fillId="0" borderId="0" xfId="45" applyNumberFormat="1" applyFont="1" applyFill="1" applyBorder="1" applyAlignment="1">
      <alignment horizontal="center" vertical="center"/>
    </xf>
    <xf numFmtId="10" fontId="2" fillId="0" borderId="0" xfId="45" applyNumberFormat="1" applyFont="1" applyFill="1" applyBorder="1" applyAlignment="1">
      <alignment horizontal="center" vertical="center"/>
    </xf>
    <xf numFmtId="4" fontId="2" fillId="0" borderId="0" xfId="50" applyNumberFormat="1" applyFont="1" applyBorder="1" applyAlignment="1">
      <alignment horizontal="center" vertical="center"/>
    </xf>
    <xf numFmtId="0" fontId="2" fillId="0" borderId="5" xfId="50" applyFont="1" applyBorder="1" applyAlignment="1">
      <alignment horizontal="center" vertical="center"/>
    </xf>
    <xf numFmtId="0" fontId="2" fillId="0" borderId="6" xfId="50" applyFont="1" applyBorder="1" applyAlignment="1">
      <alignment vertical="center"/>
    </xf>
    <xf numFmtId="0" fontId="2" fillId="0" borderId="7" xfId="50" applyFont="1" applyBorder="1" applyAlignment="1">
      <alignment vertical="center"/>
    </xf>
    <xf numFmtId="0" fontId="2" fillId="0" borderId="8" xfId="50"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8"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19" applyFont="1" applyFill="1" applyBorder="1" applyAlignment="1">
      <alignment horizontal="right" vertical="center" wrapText="1"/>
    </xf>
    <xf numFmtId="0" fontId="60" fillId="2" borderId="0" xfId="19" applyFont="1" applyFill="1" applyBorder="1" applyAlignment="1">
      <alignment horizontal="left" vertical="center" wrapText="1"/>
    </xf>
    <xf numFmtId="0" fontId="60" fillId="2" borderId="0" xfId="19" applyFont="1" applyFill="1" applyBorder="1" applyAlignment="1">
      <alignment horizontal="right" vertical="center" wrapText="1"/>
    </xf>
    <xf numFmtId="0" fontId="6" fillId="0" borderId="9" xfId="17"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8" applyNumberFormat="1" applyFont="1" applyBorder="1" applyAlignment="1">
      <alignment vertical="center"/>
    </xf>
    <xf numFmtId="3" fontId="7" fillId="0" borderId="24" xfId="0" applyNumberFormat="1" applyFont="1" applyBorder="1" applyAlignment="1">
      <alignment vertical="center"/>
    </xf>
    <xf numFmtId="10" fontId="7" fillId="0" borderId="25" xfId="18"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1" applyFont="1" applyFill="1" applyBorder="1" applyAlignment="1">
      <alignment horizontal="right" vertical="center" wrapText="1"/>
    </xf>
    <xf numFmtId="164"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3" applyFont="1" applyFill="1" applyBorder="1" applyAlignment="1">
      <alignment horizontal="left" vertical="center" wrapText="1"/>
    </xf>
    <xf numFmtId="0" fontId="60" fillId="2" borderId="27" xfId="19" applyFont="1" applyFill="1" applyBorder="1" applyAlignment="1">
      <alignment horizontal="right" vertical="center" wrapText="1"/>
    </xf>
    <xf numFmtId="0" fontId="60" fillId="2" borderId="27" xfId="21" applyFont="1" applyFill="1" applyBorder="1" applyAlignment="1">
      <alignment horizontal="right" vertical="center" wrapText="1"/>
    </xf>
    <xf numFmtId="0" fontId="60" fillId="2" borderId="30" xfId="21" applyFont="1" applyFill="1" applyBorder="1" applyAlignment="1">
      <alignment horizontal="right" vertical="center" wrapText="1"/>
    </xf>
    <xf numFmtId="0" fontId="60" fillId="2" borderId="36" xfId="23"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8"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5" fontId="6" fillId="0" borderId="35" xfId="3" applyFont="1" applyFill="1" applyBorder="1" applyAlignment="1">
      <alignment horizontal="right" vertical="center" wrapText="1"/>
    </xf>
    <xf numFmtId="0" fontId="60" fillId="2" borderId="31" xfId="23" applyFont="1" applyFill="1" applyBorder="1" applyAlignment="1">
      <alignment vertical="center" wrapText="1"/>
    </xf>
    <xf numFmtId="0" fontId="60" fillId="0" borderId="0" xfId="23" applyFont="1" applyFill="1" applyBorder="1" applyAlignment="1">
      <alignment vertical="center" wrapText="1"/>
    </xf>
    <xf numFmtId="1"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10" fontId="6" fillId="0" borderId="0" xfId="13" applyNumberFormat="1" applyFont="1" applyFill="1" applyBorder="1" applyAlignment="1">
      <alignment horizontal="right" vertical="center" wrapText="1"/>
    </xf>
    <xf numFmtId="1" fontId="6" fillId="0" borderId="0" xfId="13"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4" applyNumberFormat="1" applyFont="1" applyFill="1" applyBorder="1" applyAlignment="1">
      <alignment horizontal="right" vertical="center" wrapText="1"/>
    </xf>
    <xf numFmtId="3" fontId="6" fillId="0" borderId="0" xfId="14" applyNumberFormat="1" applyFont="1" applyFill="1" applyBorder="1" applyAlignment="1">
      <alignment horizontal="right" vertical="center" wrapText="1"/>
    </xf>
    <xf numFmtId="46" fontId="6" fillId="0" borderId="0" xfId="14" quotePrefix="1"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0" fontId="60" fillId="2" borderId="27" xfId="23" applyFont="1" applyFill="1" applyBorder="1" applyAlignment="1">
      <alignment horizontal="right" vertical="center" wrapText="1"/>
    </xf>
    <xf numFmtId="0" fontId="60" fillId="2" borderId="28" xfId="21" applyFont="1" applyFill="1" applyBorder="1" applyAlignment="1">
      <alignment horizontal="right" vertical="center" wrapText="1"/>
    </xf>
    <xf numFmtId="46" fontId="6" fillId="0" borderId="9" xfId="14" applyNumberFormat="1" applyFont="1" applyFill="1" applyBorder="1" applyAlignment="1">
      <alignment horizontal="center" vertical="center" wrapText="1"/>
    </xf>
    <xf numFmtId="4" fontId="6" fillId="0" borderId="10" xfId="14" applyNumberFormat="1" applyFont="1" applyFill="1" applyBorder="1" applyAlignment="1">
      <alignment horizontal="right" vertical="center" wrapText="1"/>
    </xf>
    <xf numFmtId="10" fontId="6" fillId="0" borderId="10" xfId="14" applyNumberFormat="1" applyFont="1" applyFill="1" applyBorder="1" applyAlignment="1">
      <alignment horizontal="right" vertical="center" wrapText="1"/>
    </xf>
    <xf numFmtId="3" fontId="6" fillId="0" borderId="10" xfId="14" applyNumberFormat="1" applyFont="1" applyFill="1" applyBorder="1" applyAlignment="1">
      <alignment horizontal="right" vertical="center" wrapText="1"/>
    </xf>
    <xf numFmtId="10" fontId="6" fillId="0" borderId="11" xfId="14" applyNumberFormat="1" applyFont="1" applyFill="1" applyBorder="1" applyAlignment="1">
      <alignment horizontal="right" vertical="center" wrapText="1"/>
    </xf>
    <xf numFmtId="0" fontId="6" fillId="0" borderId="0" xfId="14" applyFont="1" applyFill="1" applyBorder="1" applyAlignment="1">
      <alignment horizontal="center" vertical="center" wrapText="1"/>
    </xf>
    <xf numFmtId="20" fontId="6" fillId="0" borderId="0" xfId="14" applyNumberFormat="1" applyFont="1" applyFill="1" applyBorder="1" applyAlignment="1">
      <alignment horizontal="center" vertical="center" wrapText="1"/>
    </xf>
    <xf numFmtId="14" fontId="6" fillId="0" borderId="0" xfId="14" applyNumberFormat="1" applyFont="1" applyFill="1" applyBorder="1" applyAlignment="1">
      <alignment horizontal="center" vertical="center" wrapText="1"/>
    </xf>
    <xf numFmtId="46" fontId="6" fillId="0" borderId="0" xfId="14"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4"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8" applyNumberFormat="1" applyFont="1" applyBorder="1" applyAlignment="1">
      <alignment horizontal="right" vertical="center"/>
    </xf>
    <xf numFmtId="10" fontId="23" fillId="0" borderId="0" xfId="14"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0" fontId="6" fillId="0" borderId="9" xfId="17" applyFont="1" applyFill="1" applyBorder="1" applyAlignment="1">
      <alignment horizontal="center" vertical="center" wrapText="1"/>
    </xf>
    <xf numFmtId="4" fontId="6" fillId="0" borderId="10" xfId="17" applyNumberFormat="1" applyFont="1" applyFill="1" applyBorder="1" applyAlignment="1">
      <alignment horizontal="right" vertical="center" wrapText="1"/>
    </xf>
    <xf numFmtId="10" fontId="6" fillId="0" borderId="10" xfId="17"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6" fillId="0" borderId="11" xfId="17" applyNumberFormat="1" applyFont="1" applyFill="1" applyBorder="1" applyAlignment="1">
      <alignment horizontal="right" vertical="center" wrapText="1"/>
    </xf>
    <xf numFmtId="0" fontId="6" fillId="0" borderId="0" xfId="17" applyFont="1" applyFill="1" applyBorder="1" applyAlignment="1">
      <alignment horizontal="left" vertical="center" wrapText="1"/>
    </xf>
    <xf numFmtId="4" fontId="6" fillId="0" borderId="0" xfId="17" applyNumberFormat="1" applyFont="1" applyFill="1" applyBorder="1" applyAlignment="1">
      <alignment horizontal="right" vertical="center" wrapText="1"/>
    </xf>
    <xf numFmtId="10" fontId="6" fillId="0" borderId="0" xfId="17" applyNumberFormat="1" applyFont="1" applyFill="1" applyBorder="1" applyAlignment="1">
      <alignment horizontal="right" vertical="center" wrapText="1"/>
    </xf>
    <xf numFmtId="3" fontId="6" fillId="0" borderId="0" xfId="17" applyNumberFormat="1" applyFont="1" applyFill="1" applyBorder="1" applyAlignment="1">
      <alignment horizontal="right" vertical="center" wrapText="1"/>
    </xf>
    <xf numFmtId="0" fontId="6" fillId="0" borderId="0" xfId="20" applyFont="1" applyFill="1" applyBorder="1" applyAlignment="1">
      <alignment horizontal="center" vertical="center" wrapText="1"/>
    </xf>
    <xf numFmtId="20" fontId="6" fillId="0" borderId="9" xfId="17" applyNumberFormat="1" applyFont="1" applyFill="1" applyBorder="1" applyAlignment="1">
      <alignment horizontal="center" vertical="center" wrapText="1"/>
    </xf>
    <xf numFmtId="4" fontId="6" fillId="0" borderId="0" xfId="15" applyNumberFormat="1" applyFont="1" applyFill="1" applyBorder="1" applyAlignment="1">
      <alignment horizontal="right" vertical="center" wrapText="1"/>
    </xf>
    <xf numFmtId="20" fontId="6" fillId="0" borderId="0" xfId="17" applyNumberFormat="1" applyFont="1" applyFill="1" applyBorder="1" applyAlignment="1">
      <alignment horizontal="left" vertical="center" wrapText="1"/>
    </xf>
    <xf numFmtId="0" fontId="6" fillId="0" borderId="0" xfId="11" applyFont="1" applyFill="1" applyBorder="1" applyAlignment="1">
      <alignment horizontal="center" vertical="center"/>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6"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6"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7" applyNumberFormat="1" applyFont="1" applyFill="1" applyBorder="1" applyAlignment="1">
      <alignment horizontal="center" vertical="center" wrapText="1"/>
    </xf>
    <xf numFmtId="0" fontId="6" fillId="0" borderId="9" xfId="1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0" fontId="6" fillId="0" borderId="0" xfId="12" applyFont="1" applyFill="1" applyBorder="1" applyAlignment="1">
      <alignment vertical="center" wrapText="1"/>
    </xf>
    <xf numFmtId="4" fontId="6" fillId="0" borderId="0"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6" fillId="0" borderId="15" xfId="12" applyFont="1" applyFill="1" applyBorder="1" applyAlignment="1">
      <alignment vertical="center" wrapText="1"/>
    </xf>
    <xf numFmtId="4" fontId="6" fillId="0" borderId="16" xfId="12" applyNumberFormat="1" applyFont="1" applyFill="1" applyBorder="1" applyAlignment="1">
      <alignment horizontal="right" vertical="center" wrapText="1"/>
    </xf>
    <xf numFmtId="3" fontId="6" fillId="0" borderId="16" xfId="12" applyNumberFormat="1" applyFont="1" applyFill="1" applyBorder="1" applyAlignment="1">
      <alignment horizontal="right" vertical="center" wrapText="1"/>
    </xf>
    <xf numFmtId="10" fontId="6" fillId="0" borderId="13" xfId="12"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8" applyNumberFormat="1" applyFont="1" applyBorder="1" applyAlignment="1">
      <alignment vertical="center"/>
    </xf>
    <xf numFmtId="3" fontId="23" fillId="0" borderId="24" xfId="0" applyNumberFormat="1" applyFont="1" applyBorder="1" applyAlignment="1">
      <alignment vertical="center"/>
    </xf>
    <xf numFmtId="10" fontId="23" fillId="0" borderId="25" xfId="18"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8"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2" applyFont="1" applyFill="1" applyBorder="1" applyAlignment="1">
      <alignment vertical="center" wrapText="1"/>
    </xf>
    <xf numFmtId="0" fontId="6" fillId="0" borderId="19" xfId="12" applyFont="1" applyFill="1" applyBorder="1" applyAlignment="1">
      <alignment vertical="center" wrapText="1"/>
    </xf>
    <xf numFmtId="10" fontId="6" fillId="0" borderId="16" xfId="12" applyNumberFormat="1" applyFont="1" applyFill="1" applyBorder="1" applyAlignment="1">
      <alignment horizontal="right" vertical="center" wrapText="1"/>
    </xf>
    <xf numFmtId="10" fontId="6" fillId="0" borderId="17" xfId="12"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8"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9" applyNumberFormat="1" applyFont="1" applyFill="1" applyBorder="1" applyAlignment="1">
      <alignment horizontal="right" vertical="center" wrapText="1"/>
    </xf>
    <xf numFmtId="10" fontId="6" fillId="0" borderId="0" xfId="20" applyNumberFormat="1" applyFont="1" applyFill="1" applyBorder="1" applyAlignment="1">
      <alignment horizontal="right" vertical="center" wrapText="1"/>
    </xf>
    <xf numFmtId="3" fontId="6" fillId="0" borderId="0" xfId="19" applyNumberFormat="1" applyFont="1" applyFill="1" applyBorder="1" applyAlignment="1">
      <alignment horizontal="right" vertical="center" wrapText="1"/>
    </xf>
    <xf numFmtId="0" fontId="60" fillId="2" borderId="20" xfId="20" applyFont="1" applyFill="1" applyBorder="1" applyAlignment="1">
      <alignment horizontal="left" vertical="center" wrapText="1"/>
    </xf>
    <xf numFmtId="0" fontId="60" fillId="2" borderId="21" xfId="20" applyFont="1" applyFill="1" applyBorder="1" applyAlignment="1">
      <alignment horizontal="right" vertical="center" wrapText="1"/>
    </xf>
    <xf numFmtId="0" fontId="60" fillId="2" borderId="22" xfId="21"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0" applyFont="1" applyFill="1" applyBorder="1" applyAlignment="1">
      <alignment horizontal="righ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8" applyNumberFormat="1" applyFont="1" applyFill="1" applyBorder="1" applyAlignment="1">
      <alignment horizontal="right" vertical="center" wrapText="1"/>
    </xf>
    <xf numFmtId="10" fontId="2" fillId="0" borderId="11" xfId="0" applyNumberFormat="1" applyFont="1" applyBorder="1" applyAlignment="1">
      <alignment vertical="center"/>
    </xf>
    <xf numFmtId="10" fontId="6" fillId="0" borderId="0" xfId="4"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9" applyFont="1" applyFill="1" applyBorder="1" applyAlignment="1">
      <alignment horizontal="right" vertical="center" wrapText="1"/>
    </xf>
    <xf numFmtId="0" fontId="60" fillId="0" borderId="0" xfId="19"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8"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8"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8"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8" applyNumberFormat="1" applyFont="1" applyFill="1" applyBorder="1" applyAlignment="1">
      <alignment horizontal="right" vertical="center" wrapText="1"/>
    </xf>
    <xf numFmtId="0" fontId="60" fillId="2" borderId="21" xfId="21"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8" applyNumberFormat="1" applyFont="1" applyFill="1" applyBorder="1" applyAlignment="1">
      <alignment vertical="center"/>
    </xf>
    <xf numFmtId="0" fontId="60" fillId="2" borderId="20" xfId="21"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4" applyFont="1" applyFill="1" applyAlignment="1">
      <alignment horizontal="left" vertical="center"/>
    </xf>
    <xf numFmtId="0" fontId="2" fillId="0" borderId="0" xfId="24" applyFont="1" applyFill="1" applyAlignment="1">
      <alignment horizontal="center" vertical="center"/>
    </xf>
    <xf numFmtId="0" fontId="2" fillId="0" borderId="0" xfId="24" applyFont="1" applyFill="1" applyAlignment="1">
      <alignment horizontal="left" vertical="center"/>
    </xf>
    <xf numFmtId="165" fontId="2" fillId="2" borderId="0" xfId="24" applyNumberFormat="1" applyFont="1" applyFill="1" applyBorder="1" applyAlignment="1">
      <alignment horizontal="center" vertical="center"/>
    </xf>
    <xf numFmtId="0" fontId="2" fillId="0" borderId="0" xfId="24" applyNumberFormat="1" applyFont="1" applyAlignment="1">
      <alignment vertical="center"/>
    </xf>
    <xf numFmtId="0" fontId="2" fillId="2" borderId="6" xfId="24" applyFont="1" applyFill="1" applyBorder="1" applyAlignment="1">
      <alignment horizontal="right" vertical="center"/>
    </xf>
    <xf numFmtId="0" fontId="2" fillId="2" borderId="7" xfId="24" applyFont="1" applyFill="1" applyBorder="1" applyAlignment="1">
      <alignment horizontal="center" vertical="center"/>
    </xf>
    <xf numFmtId="14" fontId="7" fillId="0" borderId="0" xfId="24" applyNumberFormat="1" applyFont="1" applyFill="1" applyBorder="1" applyAlignment="1">
      <alignment horizontal="center" vertical="center"/>
    </xf>
    <xf numFmtId="171" fontId="7" fillId="0" borderId="0" xfId="24" applyNumberFormat="1" applyFont="1" applyFill="1" applyBorder="1" applyAlignment="1">
      <alignment horizontal="center" vertical="center"/>
    </xf>
    <xf numFmtId="166" fontId="2" fillId="0" borderId="0" xfId="24" applyNumberFormat="1" applyFont="1" applyFill="1" applyBorder="1" applyAlignment="1">
      <alignment vertical="center"/>
    </xf>
    <xf numFmtId="0" fontId="2" fillId="0" borderId="0" xfId="24" applyFont="1" applyFill="1" applyBorder="1" applyAlignment="1">
      <alignment horizontal="right" vertical="center"/>
    </xf>
    <xf numFmtId="0" fontId="9" fillId="0" borderId="0" xfId="24" applyFont="1" applyFill="1" applyBorder="1" applyAlignment="1">
      <alignment horizontal="right" vertical="center"/>
    </xf>
    <xf numFmtId="0" fontId="69" fillId="0" borderId="0" xfId="24" applyFont="1" applyFill="1" applyAlignment="1">
      <alignment horizontal="left" vertical="center"/>
    </xf>
    <xf numFmtId="0" fontId="7" fillId="0" borderId="1" xfId="24" applyFont="1" applyFill="1" applyBorder="1" applyAlignment="1">
      <alignment vertical="center"/>
    </xf>
    <xf numFmtId="0" fontId="11" fillId="0" borderId="2" xfId="24" applyFont="1" applyFill="1" applyBorder="1" applyAlignment="1">
      <alignment horizontal="right" vertical="center"/>
    </xf>
    <xf numFmtId="0" fontId="11" fillId="0" borderId="3" xfId="24" applyFont="1" applyFill="1" applyBorder="1" applyAlignment="1">
      <alignment horizontal="right" vertical="center"/>
    </xf>
    <xf numFmtId="0" fontId="11" fillId="0" borderId="0" xfId="24" applyFont="1" applyFill="1" applyBorder="1" applyAlignment="1">
      <alignment horizontal="right" vertical="center"/>
    </xf>
    <xf numFmtId="167" fontId="2" fillId="0" borderId="0" xfId="24" applyNumberFormat="1" applyFont="1" applyFill="1" applyBorder="1" applyAlignment="1">
      <alignment horizontal="center" vertical="center"/>
    </xf>
    <xf numFmtId="174" fontId="2" fillId="0" borderId="0" xfId="24" applyNumberFormat="1" applyFont="1" applyFill="1" applyBorder="1" applyAlignment="1">
      <alignment horizontal="center" vertical="center"/>
    </xf>
    <xf numFmtId="0" fontId="3" fillId="0" borderId="5" xfId="24" applyFont="1" applyFill="1" applyBorder="1" applyAlignment="1">
      <alignment horizontal="right" vertical="center"/>
    </xf>
    <xf numFmtId="0" fontId="11" fillId="0" borderId="0" xfId="24" applyFont="1" applyFill="1" applyBorder="1" applyAlignment="1">
      <alignment horizontal="center" vertical="center"/>
    </xf>
    <xf numFmtId="10" fontId="2" fillId="0" borderId="0" xfId="24" applyNumberFormat="1" applyFont="1" applyFill="1" applyBorder="1" applyAlignment="1">
      <alignment horizontal="center" vertical="center"/>
    </xf>
    <xf numFmtId="167" fontId="2" fillId="0" borderId="0" xfId="24" applyNumberFormat="1" applyFont="1" applyFill="1" applyBorder="1" applyAlignment="1">
      <alignment vertical="center"/>
    </xf>
    <xf numFmtId="167" fontId="2" fillId="0" borderId="5" xfId="24" applyNumberFormat="1" applyFont="1" applyFill="1" applyBorder="1" applyAlignment="1">
      <alignment vertical="center"/>
    </xf>
    <xf numFmtId="0" fontId="70" fillId="0" borderId="0" xfId="24" applyFont="1" applyFill="1" applyAlignment="1">
      <alignment horizontal="left" vertical="center"/>
    </xf>
    <xf numFmtId="0" fontId="7" fillId="0" borderId="0" xfId="24" applyFont="1" applyFill="1" applyAlignment="1">
      <alignment horizontal="left" vertical="center"/>
    </xf>
    <xf numFmtId="186" fontId="2" fillId="0" borderId="0" xfId="120" applyNumberFormat="1" applyFont="1" applyFill="1" applyBorder="1" applyAlignment="1">
      <alignment horizontal="center" vertical="center"/>
    </xf>
    <xf numFmtId="166" fontId="2" fillId="0" borderId="0" xfId="24" applyNumberFormat="1" applyFont="1" applyFill="1" applyBorder="1" applyAlignment="1">
      <alignment horizontal="center" vertical="center"/>
    </xf>
    <xf numFmtId="178" fontId="2" fillId="0" borderId="0" xfId="24" applyNumberFormat="1" applyFont="1" applyFill="1" applyBorder="1" applyAlignment="1">
      <alignment vertical="center"/>
    </xf>
    <xf numFmtId="178" fontId="2" fillId="0" borderId="5" xfId="24" applyNumberFormat="1" applyFont="1" applyFill="1" applyBorder="1" applyAlignment="1">
      <alignment vertical="center"/>
    </xf>
    <xf numFmtId="166" fontId="2" fillId="0" borderId="5" xfId="24" applyNumberFormat="1" applyFont="1" applyFill="1" applyBorder="1" applyAlignment="1">
      <alignment vertical="center"/>
    </xf>
    <xf numFmtId="166" fontId="2" fillId="0" borderId="0" xfId="24" applyNumberFormat="1" applyFont="1" applyFill="1" applyAlignment="1">
      <alignment horizontal="center" vertical="center"/>
    </xf>
    <xf numFmtId="3" fontId="2" fillId="0" borderId="7" xfId="24" applyNumberFormat="1" applyFont="1" applyFill="1" applyBorder="1" applyAlignment="1">
      <alignment vertical="center"/>
    </xf>
    <xf numFmtId="3" fontId="2" fillId="0" borderId="0" xfId="24"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4" applyNumberFormat="1" applyFont="1" applyFill="1" applyBorder="1" applyAlignment="1">
      <alignment vertical="center"/>
    </xf>
    <xf numFmtId="3" fontId="2" fillId="0" borderId="2" xfId="24" applyNumberFormat="1" applyFont="1" applyFill="1" applyBorder="1" applyAlignment="1">
      <alignment vertical="center"/>
    </xf>
    <xf numFmtId="3" fontId="2" fillId="0" borderId="3" xfId="24" applyNumberFormat="1" applyFont="1" applyFill="1" applyBorder="1" applyAlignment="1">
      <alignment vertical="center"/>
    </xf>
    <xf numFmtId="0" fontId="7" fillId="0" borderId="4" xfId="24" applyFont="1" applyFill="1" applyBorder="1" applyAlignment="1">
      <alignment vertical="center"/>
    </xf>
    <xf numFmtId="184" fontId="2" fillId="0" borderId="0" xfId="24" applyNumberFormat="1" applyFont="1" applyFill="1" applyBorder="1" applyAlignment="1">
      <alignment vertical="center"/>
    </xf>
    <xf numFmtId="167" fontId="2" fillId="0" borderId="0" xfId="18" applyNumberFormat="1" applyFont="1" applyFill="1" applyBorder="1" applyAlignment="1">
      <alignment vertical="center"/>
    </xf>
    <xf numFmtId="167" fontId="2" fillId="0" borderId="5" xfId="18" applyNumberFormat="1" applyFont="1" applyFill="1" applyBorder="1" applyAlignment="1">
      <alignment vertical="center"/>
    </xf>
    <xf numFmtId="2" fontId="2" fillId="0" borderId="7" xfId="24" applyNumberFormat="1" applyFont="1" applyFill="1" applyBorder="1" applyAlignment="1">
      <alignment vertical="center"/>
    </xf>
    <xf numFmtId="2" fontId="2" fillId="0" borderId="8" xfId="24" applyNumberFormat="1" applyFont="1" applyFill="1" applyBorder="1" applyAlignment="1">
      <alignment vertical="center"/>
    </xf>
    <xf numFmtId="173" fontId="2" fillId="0" borderId="2" xfId="24" applyNumberFormat="1" applyFont="1" applyFill="1" applyBorder="1" applyAlignment="1">
      <alignment vertical="center"/>
    </xf>
    <xf numFmtId="173" fontId="2" fillId="0" borderId="2" xfId="18" applyNumberFormat="1" applyFont="1" applyFill="1" applyBorder="1" applyAlignment="1">
      <alignment horizontal="center" vertical="center"/>
    </xf>
    <xf numFmtId="0" fontId="2" fillId="0" borderId="2" xfId="24" applyFont="1" applyFill="1" applyBorder="1" applyAlignment="1">
      <alignment horizontal="center" vertical="center"/>
    </xf>
    <xf numFmtId="167" fontId="2" fillId="0" borderId="2" xfId="24" applyNumberFormat="1" applyFont="1" applyFill="1" applyBorder="1" applyAlignment="1">
      <alignment horizontal="center" vertical="center"/>
    </xf>
    <xf numFmtId="10" fontId="2" fillId="0" borderId="2" xfId="24" applyNumberFormat="1" applyFont="1" applyFill="1" applyBorder="1" applyAlignment="1">
      <alignment horizontal="center" vertical="center"/>
    </xf>
    <xf numFmtId="169" fontId="2" fillId="0" borderId="3" xfId="24" applyNumberFormat="1" applyFont="1" applyFill="1" applyBorder="1" applyAlignment="1">
      <alignment vertical="center"/>
    </xf>
    <xf numFmtId="1" fontId="2" fillId="0" borderId="0" xfId="24" applyNumberFormat="1" applyFont="1" applyFill="1" applyBorder="1" applyAlignment="1">
      <alignment vertical="center"/>
    </xf>
    <xf numFmtId="169" fontId="2" fillId="0" borderId="0" xfId="24" applyNumberFormat="1" applyFont="1" applyFill="1" applyBorder="1" applyAlignment="1">
      <alignment horizontal="center" vertical="center"/>
    </xf>
    <xf numFmtId="169" fontId="2" fillId="0" borderId="5" xfId="24" applyNumberFormat="1" applyFont="1" applyFill="1" applyBorder="1" applyAlignment="1">
      <alignment vertical="center"/>
    </xf>
    <xf numFmtId="169" fontId="2" fillId="0" borderId="0" xfId="24" applyNumberFormat="1" applyFont="1" applyFill="1" applyBorder="1" applyAlignment="1">
      <alignment horizontal="right" vertical="center"/>
    </xf>
    <xf numFmtId="169" fontId="2" fillId="0" borderId="0" xfId="24" applyNumberFormat="1" applyFont="1" applyFill="1" applyBorder="1" applyAlignment="1">
      <alignment vertical="center"/>
    </xf>
    <xf numFmtId="10" fontId="2" fillId="0" borderId="0" xfId="24" applyNumberFormat="1" applyFont="1" applyFill="1" applyBorder="1" applyAlignment="1">
      <alignment vertical="center"/>
    </xf>
    <xf numFmtId="184" fontId="7" fillId="0" borderId="0" xfId="24" applyNumberFormat="1" applyFont="1" applyFill="1" applyBorder="1" applyAlignment="1">
      <alignment vertical="center"/>
    </xf>
    <xf numFmtId="166" fontId="7" fillId="0" borderId="5" xfId="24" applyNumberFormat="1" applyFont="1" applyFill="1" applyBorder="1" applyAlignment="1">
      <alignment vertical="center"/>
    </xf>
    <xf numFmtId="166" fontId="7" fillId="0" borderId="0" xfId="24" applyNumberFormat="1" applyFont="1" applyFill="1" applyBorder="1" applyAlignment="1">
      <alignment vertical="center"/>
    </xf>
    <xf numFmtId="184" fontId="7" fillId="0" borderId="7" xfId="24" applyNumberFormat="1" applyFont="1" applyFill="1" applyBorder="1" applyAlignment="1">
      <alignment vertical="center"/>
    </xf>
    <xf numFmtId="184" fontId="2" fillId="0" borderId="7" xfId="24" applyNumberFormat="1" applyFont="1" applyFill="1" applyBorder="1" applyAlignment="1">
      <alignment vertical="center"/>
    </xf>
    <xf numFmtId="166" fontId="2" fillId="0" borderId="8" xfId="24" applyNumberFormat="1" applyFont="1" applyFill="1" applyBorder="1" applyAlignment="1">
      <alignment vertical="center"/>
    </xf>
    <xf numFmtId="166" fontId="7" fillId="0" borderId="2" xfId="24" applyNumberFormat="1" applyFont="1" applyFill="1" applyBorder="1" applyAlignment="1">
      <alignment vertical="center"/>
    </xf>
    <xf numFmtId="10" fontId="2" fillId="0" borderId="2" xfId="24" applyNumberFormat="1" applyFont="1" applyFill="1" applyBorder="1" applyAlignment="1">
      <alignment vertical="center"/>
    </xf>
    <xf numFmtId="10" fontId="2" fillId="0" borderId="3" xfId="24" applyNumberFormat="1" applyFont="1" applyFill="1" applyBorder="1" applyAlignment="1">
      <alignment vertical="center"/>
    </xf>
    <xf numFmtId="10" fontId="2" fillId="0" borderId="7" xfId="24" applyNumberFormat="1" applyFont="1" applyFill="1" applyBorder="1" applyAlignment="1">
      <alignment vertical="center"/>
    </xf>
    <xf numFmtId="167" fontId="2" fillId="0" borderId="7" xfId="24" applyNumberFormat="1" applyFont="1" applyFill="1" applyBorder="1" applyAlignment="1">
      <alignment vertical="center"/>
    </xf>
    <xf numFmtId="10" fontId="2" fillId="0" borderId="8" xfId="24" applyNumberFormat="1" applyFont="1" applyFill="1" applyBorder="1" applyAlignment="1">
      <alignment vertical="center"/>
    </xf>
    <xf numFmtId="0" fontId="2" fillId="0" borderId="1" xfId="24" applyFont="1" applyBorder="1" applyAlignment="1">
      <alignment vertical="center"/>
    </xf>
    <xf numFmtId="0" fontId="2" fillId="0" borderId="2" xfId="24" applyFont="1" applyBorder="1" applyAlignment="1">
      <alignment vertical="center"/>
    </xf>
    <xf numFmtId="0" fontId="2" fillId="0" borderId="3" xfId="24" applyFont="1" applyBorder="1" applyAlignment="1">
      <alignment vertical="center"/>
    </xf>
    <xf numFmtId="0" fontId="2" fillId="3" borderId="1" xfId="24" applyFont="1" applyFill="1" applyBorder="1" applyAlignment="1">
      <alignment horizontal="right" vertical="center"/>
    </xf>
    <xf numFmtId="0" fontId="2" fillId="3" borderId="2" xfId="24" applyFont="1" applyFill="1" applyBorder="1" applyAlignment="1">
      <alignment vertical="center"/>
    </xf>
    <xf numFmtId="14" fontId="2" fillId="3" borderId="2" xfId="24" applyNumberFormat="1" applyFont="1" applyFill="1" applyBorder="1" applyAlignment="1">
      <alignment horizontal="center" vertical="center"/>
    </xf>
    <xf numFmtId="0" fontId="2" fillId="3" borderId="3" xfId="24" applyFont="1" applyFill="1" applyBorder="1" applyAlignment="1">
      <alignment vertical="center"/>
    </xf>
    <xf numFmtId="0" fontId="2" fillId="3" borderId="4" xfId="24" applyFont="1" applyFill="1" applyBorder="1" applyAlignment="1">
      <alignment horizontal="right" vertical="center"/>
    </xf>
    <xf numFmtId="0" fontId="2" fillId="3" borderId="0" xfId="24" applyFont="1" applyFill="1" applyBorder="1" applyAlignment="1">
      <alignment vertical="center"/>
    </xf>
    <xf numFmtId="14" fontId="2" fillId="3" borderId="0" xfId="24" applyNumberFormat="1" applyFont="1" applyFill="1" applyBorder="1" applyAlignment="1">
      <alignment horizontal="center" vertical="center"/>
    </xf>
    <xf numFmtId="0" fontId="2" fillId="3" borderId="5" xfId="24" applyFont="1" applyFill="1" applyBorder="1" applyAlignment="1">
      <alignment vertical="center"/>
    </xf>
    <xf numFmtId="0" fontId="71" fillId="0" borderId="0" xfId="24" applyFont="1" applyFill="1" applyBorder="1" applyAlignment="1">
      <alignment horizontal="right" vertical="center"/>
    </xf>
    <xf numFmtId="1" fontId="2" fillId="3" borderId="0" xfId="24" applyNumberFormat="1" applyFont="1" applyFill="1" applyBorder="1" applyAlignment="1">
      <alignment horizontal="center" vertical="center"/>
    </xf>
    <xf numFmtId="0" fontId="2" fillId="3" borderId="0" xfId="24" applyFont="1" applyFill="1" applyBorder="1" applyAlignment="1">
      <alignment horizontal="right" vertical="center"/>
    </xf>
    <xf numFmtId="0" fontId="2" fillId="3" borderId="0" xfId="24" applyFont="1" applyFill="1" applyBorder="1" applyAlignment="1">
      <alignment horizontal="center" vertical="center"/>
    </xf>
    <xf numFmtId="0" fontId="72" fillId="0" borderId="0" xfId="24" quotePrefix="1" applyFont="1" applyFill="1" applyBorder="1" applyAlignment="1">
      <alignment vertical="center"/>
    </xf>
    <xf numFmtId="0" fontId="71" fillId="0" borderId="0" xfId="24" applyFont="1" applyFill="1" applyBorder="1" applyAlignment="1">
      <alignment vertical="center"/>
    </xf>
    <xf numFmtId="165" fontId="2" fillId="3" borderId="0" xfId="24" applyNumberFormat="1" applyFont="1" applyFill="1" applyBorder="1" applyAlignment="1">
      <alignment horizontal="center" vertical="center"/>
    </xf>
    <xf numFmtId="0" fontId="2" fillId="3" borderId="5" xfId="24" applyFont="1" applyFill="1" applyBorder="1" applyAlignment="1">
      <alignment horizontal="center" vertical="center"/>
    </xf>
    <xf numFmtId="0" fontId="2" fillId="3" borderId="6" xfId="24" applyFont="1" applyFill="1" applyBorder="1" applyAlignment="1">
      <alignment horizontal="right" vertical="center"/>
    </xf>
    <xf numFmtId="0" fontId="2" fillId="3" borderId="7" xfId="24" applyFont="1" applyFill="1" applyBorder="1" applyAlignment="1">
      <alignment horizontal="center" vertical="center"/>
    </xf>
    <xf numFmtId="14" fontId="2" fillId="3" borderId="7" xfId="24" applyNumberFormat="1" applyFont="1" applyFill="1" applyBorder="1" applyAlignment="1">
      <alignment horizontal="center" vertical="center"/>
    </xf>
    <xf numFmtId="0" fontId="2" fillId="3" borderId="7" xfId="24" applyFont="1" applyFill="1" applyBorder="1" applyAlignment="1">
      <alignment vertical="center"/>
    </xf>
    <xf numFmtId="0" fontId="2" fillId="3" borderId="8" xfId="24" applyFont="1" applyFill="1" applyBorder="1" applyAlignment="1">
      <alignment vertical="center"/>
    </xf>
    <xf numFmtId="0" fontId="73" fillId="0" borderId="0" xfId="24"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4" applyFont="1" applyFill="1" applyBorder="1" applyAlignment="1">
      <alignment horizontal="left" vertical="center"/>
    </xf>
    <xf numFmtId="1" fontId="74" fillId="0" borderId="0" xfId="21" applyNumberFormat="1" applyFont="1" applyFill="1" applyBorder="1" applyAlignment="1">
      <alignment horizontal="right" vertical="center" wrapText="1"/>
    </xf>
    <xf numFmtId="10" fontId="47" fillId="0" borderId="0" xfId="18" applyNumberFormat="1" applyFont="1" applyFill="1" applyBorder="1" applyAlignment="1">
      <alignment horizontal="center" vertical="center"/>
    </xf>
    <xf numFmtId="4" fontId="2" fillId="0" borderId="0" xfId="18" applyNumberFormat="1" applyFont="1" applyFill="1" applyBorder="1" applyAlignment="1">
      <alignment horizontal="center" vertical="center"/>
    </xf>
    <xf numFmtId="0" fontId="47" fillId="0" borderId="0" xfId="24" quotePrefix="1" applyFont="1" applyFill="1" applyBorder="1" applyAlignment="1">
      <alignment vertical="center"/>
    </xf>
    <xf numFmtId="0" fontId="22" fillId="0" borderId="0" xfId="9" applyFont="1" applyFill="1" applyBorder="1" applyAlignment="1">
      <alignment horizontal="center" vertical="center" wrapText="1"/>
    </xf>
    <xf numFmtId="164" fontId="22" fillId="0" borderId="0" xfId="118" applyFont="1" applyFill="1" applyBorder="1" applyAlignment="1">
      <alignment horizontal="right" vertical="center" wrapText="1"/>
    </xf>
    <xf numFmtId="0" fontId="2" fillId="0" borderId="0" xfId="24"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20"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0" fontId="47" fillId="0" borderId="0" xfId="24" quotePrefix="1" applyFont="1" applyFill="1" applyBorder="1" applyAlignment="1">
      <alignment vertical="center" wrapText="1"/>
    </xf>
    <xf numFmtId="9" fontId="47" fillId="0" borderId="0" xfId="18" applyNumberFormat="1" applyFont="1" applyFill="1" applyBorder="1" applyAlignment="1">
      <alignment horizontal="center" vertical="center"/>
    </xf>
    <xf numFmtId="0" fontId="7" fillId="0" borderId="0" xfId="24" applyFont="1" applyBorder="1" applyAlignment="1">
      <alignment vertical="center"/>
    </xf>
    <xf numFmtId="164" fontId="7" fillId="0" borderId="0" xfId="117" applyFont="1" applyBorder="1" applyAlignment="1">
      <alignment horizontal="right" vertical="center"/>
    </xf>
    <xf numFmtId="10" fontId="7" fillId="0" borderId="0" xfId="18" applyNumberFormat="1" applyFont="1" applyBorder="1" applyAlignment="1">
      <alignment horizontal="right" vertical="center"/>
    </xf>
    <xf numFmtId="10" fontId="7" fillId="0" borderId="0" xfId="24" applyNumberFormat="1" applyFont="1" applyFill="1" applyBorder="1" applyAlignment="1">
      <alignment horizontal="right" vertical="center"/>
    </xf>
    <xf numFmtId="176" fontId="7" fillId="0" borderId="0" xfId="24" applyNumberFormat="1" applyFont="1" applyFill="1" applyBorder="1" applyAlignment="1">
      <alignment horizontal="right" vertical="center"/>
    </xf>
    <xf numFmtId="0" fontId="2" fillId="0" borderId="0" xfId="24" quotePrefix="1" applyFont="1" applyFill="1" applyBorder="1" applyAlignment="1">
      <alignment vertical="center" wrapText="1"/>
    </xf>
    <xf numFmtId="164" fontId="2" fillId="0" borderId="0" xfId="117" applyFont="1" applyBorder="1" applyAlignment="1">
      <alignment horizontal="right" vertical="center"/>
    </xf>
    <xf numFmtId="10" fontId="2" fillId="0" borderId="0" xfId="18" applyNumberFormat="1" applyFont="1" applyBorder="1" applyAlignment="1">
      <alignment horizontal="right" vertical="center"/>
    </xf>
    <xf numFmtId="0" fontId="7" fillId="0" borderId="0" xfId="24" applyFont="1" applyFill="1" applyBorder="1" applyAlignment="1">
      <alignment horizontal="right" vertical="center"/>
    </xf>
    <xf numFmtId="167" fontId="7" fillId="0" borderId="0" xfId="24" applyNumberFormat="1" applyFont="1" applyFill="1" applyBorder="1" applyAlignment="1">
      <alignment horizontal="right" vertical="center"/>
    </xf>
    <xf numFmtId="0" fontId="2" fillId="0" borderId="0" xfId="24" quotePrefix="1" applyFont="1" applyBorder="1" applyAlignment="1">
      <alignment vertical="center"/>
    </xf>
    <xf numFmtId="3" fontId="2" fillId="0" borderId="0" xfId="24" applyNumberFormat="1" applyFont="1" applyBorder="1" applyAlignment="1">
      <alignment horizontal="right" vertical="center"/>
    </xf>
    <xf numFmtId="3" fontId="2" fillId="0" borderId="0" xfId="117" applyNumberFormat="1" applyFont="1" applyBorder="1" applyAlignment="1">
      <alignment horizontal="right" vertical="center"/>
    </xf>
    <xf numFmtId="0" fontId="8" fillId="0" borderId="0" xfId="24"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7" applyNumberFormat="1" applyFont="1" applyBorder="1" applyAlignment="1">
      <alignment horizontal="right" vertical="center"/>
    </xf>
    <xf numFmtId="4" fontId="2" fillId="0" borderId="0" xfId="24" applyNumberFormat="1" applyFont="1" applyBorder="1" applyAlignment="1">
      <alignment vertical="center"/>
    </xf>
    <xf numFmtId="10" fontId="2" fillId="0" borderId="0" xfId="24" applyNumberFormat="1" applyFont="1" applyBorder="1" applyAlignment="1">
      <alignment vertical="center"/>
    </xf>
    <xf numFmtId="165" fontId="2" fillId="2" borderId="0" xfId="116" applyFont="1" applyFill="1" applyBorder="1" applyAlignment="1">
      <alignment horizontal="center" vertical="center"/>
    </xf>
    <xf numFmtId="0" fontId="7" fillId="0" borderId="5" xfId="24" applyFont="1" applyFill="1" applyBorder="1" applyAlignment="1">
      <alignment horizontal="center" vertical="center"/>
    </xf>
    <xf numFmtId="0" fontId="66" fillId="0" borderId="0" xfId="24" applyNumberFormat="1" applyFont="1" applyBorder="1" applyAlignment="1">
      <alignment horizontal="center" vertical="center"/>
    </xf>
    <xf numFmtId="0" fontId="7" fillId="0" borderId="0" xfId="24" applyFont="1" applyBorder="1" applyAlignment="1">
      <alignment horizontal="right" vertical="center"/>
    </xf>
    <xf numFmtId="184" fontId="2" fillId="0" borderId="0" xfId="24" applyNumberFormat="1" applyFont="1" applyBorder="1" applyAlignment="1">
      <alignment horizontal="right" vertical="center"/>
    </xf>
    <xf numFmtId="164" fontId="2" fillId="0" borderId="0" xfId="24" applyNumberFormat="1" applyFont="1" applyBorder="1" applyAlignment="1">
      <alignment horizontal="right" vertical="center"/>
    </xf>
    <xf numFmtId="0" fontId="7" fillId="0" borderId="0" xfId="24" applyFont="1" applyBorder="1" applyAlignment="1">
      <alignment horizontal="right" vertical="center" wrapText="1"/>
    </xf>
    <xf numFmtId="0" fontId="7" fillId="0" borderId="0" xfId="24" applyFont="1" applyFill="1" applyBorder="1" applyAlignment="1">
      <alignment horizontal="right" vertical="center" wrapText="1"/>
    </xf>
    <xf numFmtId="10" fontId="7" fillId="0" borderId="20" xfId="24" applyNumberFormat="1" applyFont="1" applyFill="1" applyBorder="1" applyAlignment="1">
      <alignment horizontal="center" vertical="center"/>
    </xf>
    <xf numFmtId="0" fontId="60" fillId="2" borderId="58" xfId="21" applyFont="1" applyFill="1" applyBorder="1" applyAlignment="1">
      <alignment horizontal="center" vertical="center" wrapText="1"/>
    </xf>
    <xf numFmtId="0" fontId="60" fillId="2" borderId="20" xfId="21" applyFont="1" applyFill="1" applyBorder="1" applyAlignment="1">
      <alignment horizontal="center" vertical="center" wrapText="1"/>
    </xf>
    <xf numFmtId="0" fontId="7" fillId="0" borderId="5" xfId="24" applyFont="1" applyFill="1" applyBorder="1" applyAlignment="1">
      <alignment vertical="center"/>
    </xf>
    <xf numFmtId="10" fontId="7" fillId="0" borderId="0" xfId="28" applyNumberFormat="1" applyFont="1" applyFill="1" applyBorder="1" applyAlignment="1">
      <alignment horizontal="right" vertical="center"/>
    </xf>
    <xf numFmtId="184" fontId="2" fillId="0" borderId="0" xfId="18" applyNumberFormat="1" applyFont="1" applyFill="1" applyBorder="1" applyAlignment="1">
      <alignment horizontal="right" vertical="center"/>
    </xf>
    <xf numFmtId="184" fontId="2" fillId="0" borderId="0" xfId="18" applyNumberFormat="1" applyFont="1" applyFill="1" applyBorder="1" applyAlignment="1">
      <alignment vertical="center"/>
    </xf>
    <xf numFmtId="10" fontId="2" fillId="0" borderId="0" xfId="24" quotePrefix="1" applyNumberFormat="1" applyFont="1" applyFill="1" applyBorder="1" applyAlignment="1">
      <alignment horizontal="right" vertical="center"/>
    </xf>
    <xf numFmtId="10" fontId="2" fillId="0" borderId="5" xfId="18" applyNumberFormat="1" applyFont="1" applyBorder="1" applyAlignment="1">
      <alignment horizontal="right" vertical="center"/>
    </xf>
    <xf numFmtId="10" fontId="2" fillId="0" borderId="0" xfId="28" applyNumberFormat="1" applyFont="1" applyFill="1" applyBorder="1" applyAlignment="1">
      <alignment horizontal="right" vertical="center"/>
    </xf>
    <xf numFmtId="0" fontId="2" fillId="0" borderId="5" xfId="24" quotePrefix="1" applyFont="1" applyFill="1" applyBorder="1" applyAlignment="1">
      <alignment vertical="center"/>
    </xf>
    <xf numFmtId="184" fontId="2" fillId="0" borderId="0" xfId="18" applyNumberFormat="1" applyFont="1" applyBorder="1" applyAlignment="1">
      <alignment vertical="center"/>
    </xf>
    <xf numFmtId="184" fontId="7" fillId="0" borderId="0" xfId="18" applyNumberFormat="1" applyFont="1" applyBorder="1" applyAlignment="1">
      <alignment horizontal="right" vertical="center"/>
    </xf>
    <xf numFmtId="184" fontId="7" fillId="0" borderId="0" xfId="18" applyNumberFormat="1" applyFont="1" applyBorder="1" applyAlignment="1">
      <alignment vertical="center"/>
    </xf>
    <xf numFmtId="184" fontId="7" fillId="0" borderId="0" xfId="18" applyNumberFormat="1" applyFont="1" applyFill="1" applyBorder="1" applyAlignment="1">
      <alignment horizontal="right" vertical="center"/>
    </xf>
    <xf numFmtId="10" fontId="7" fillId="0" borderId="0" xfId="24" applyNumberFormat="1" applyFont="1" applyFill="1" applyBorder="1" applyAlignment="1">
      <alignment vertical="center"/>
    </xf>
    <xf numFmtId="164" fontId="2" fillId="0" borderId="0" xfId="119" applyFont="1" applyFill="1" applyBorder="1" applyAlignment="1">
      <alignment horizontal="right" vertical="center"/>
    </xf>
    <xf numFmtId="164" fontId="2" fillId="0" borderId="0" xfId="119" applyFont="1" applyBorder="1" applyAlignment="1">
      <alignment vertical="center"/>
    </xf>
    <xf numFmtId="0" fontId="8" fillId="0" borderId="4" xfId="24" applyFont="1" applyBorder="1" applyAlignment="1">
      <alignment horizontal="center" vertical="center"/>
    </xf>
    <xf numFmtId="0" fontId="2" fillId="0" borderId="6" xfId="50" applyFont="1" applyFill="1" applyBorder="1" applyAlignment="1">
      <alignment horizontal="center" vertical="center"/>
    </xf>
    <xf numFmtId="10" fontId="2" fillId="0" borderId="8" xfId="18" applyNumberFormat="1" applyFont="1" applyBorder="1" applyAlignment="1">
      <alignment horizontal="right" vertical="center"/>
    </xf>
    <xf numFmtId="0" fontId="53" fillId="0" borderId="0" xfId="24" applyFont="1" applyBorder="1" applyAlignment="1">
      <alignment horizontal="right" vertical="center"/>
    </xf>
    <xf numFmtId="0" fontId="45" fillId="0" borderId="0" xfId="24" applyFont="1" applyBorder="1" applyAlignment="1">
      <alignment vertical="center"/>
    </xf>
    <xf numFmtId="10" fontId="2" fillId="0" borderId="0" xfId="24" applyNumberFormat="1" applyFont="1" applyBorder="1" applyAlignment="1">
      <alignment horizontal="right" vertical="center"/>
    </xf>
    <xf numFmtId="0" fontId="7" fillId="2" borderId="0" xfId="24" applyFont="1" applyFill="1" applyBorder="1" applyAlignment="1">
      <alignment vertical="center"/>
    </xf>
    <xf numFmtId="164" fontId="7" fillId="0" borderId="0" xfId="119" applyFont="1" applyBorder="1" applyAlignment="1">
      <alignment horizontal="right" vertical="center"/>
    </xf>
    <xf numFmtId="164" fontId="2" fillId="0" borderId="0" xfId="119" applyFont="1" applyBorder="1" applyAlignment="1">
      <alignment horizontal="right" vertical="center"/>
    </xf>
    <xf numFmtId="172" fontId="2" fillId="0" borderId="0" xfId="18" applyNumberFormat="1" applyFont="1" applyFill="1" applyBorder="1" applyAlignment="1">
      <alignment vertical="center"/>
    </xf>
    <xf numFmtId="10" fontId="61" fillId="0" borderId="0" xfId="18" applyNumberFormat="1" applyFont="1" applyFill="1" applyBorder="1" applyAlignment="1">
      <alignment vertical="center"/>
    </xf>
    <xf numFmtId="3" fontId="2" fillId="0" borderId="0" xfId="24" applyNumberFormat="1" applyFont="1" applyFill="1" applyBorder="1" applyAlignment="1">
      <alignment vertical="center"/>
    </xf>
    <xf numFmtId="177" fontId="2" fillId="0" borderId="0" xfId="119" applyNumberFormat="1" applyFont="1" applyBorder="1" applyAlignment="1">
      <alignment horizontal="right" vertical="center"/>
    </xf>
    <xf numFmtId="164" fontId="2" fillId="0" borderId="7" xfId="119" applyFont="1" applyBorder="1" applyAlignment="1">
      <alignment horizontal="right" vertical="center"/>
    </xf>
    <xf numFmtId="164" fontId="7" fillId="0" borderId="0" xfId="119" applyFont="1" applyFill="1" applyBorder="1" applyAlignment="1">
      <alignment horizontal="right" vertical="center"/>
    </xf>
    <xf numFmtId="0" fontId="60" fillId="2" borderId="54" xfId="21" applyFont="1" applyFill="1" applyBorder="1" applyAlignment="1">
      <alignment horizontal="center" vertical="center" wrapText="1"/>
    </xf>
    <xf numFmtId="0" fontId="60" fillId="2" borderId="62" xfId="21" applyFont="1" applyFill="1" applyBorder="1" applyAlignment="1">
      <alignment horizontal="center" vertical="center" wrapText="1"/>
    </xf>
    <xf numFmtId="0" fontId="2" fillId="0" borderId="1" xfId="50" applyFont="1" applyFill="1" applyBorder="1" applyAlignment="1">
      <alignment horizontal="center" vertical="center"/>
    </xf>
    <xf numFmtId="10" fontId="7" fillId="0" borderId="2" xfId="18" applyNumberFormat="1" applyFont="1" applyFill="1" applyBorder="1" applyAlignment="1">
      <alignment vertical="center"/>
    </xf>
    <xf numFmtId="10" fontId="2" fillId="0" borderId="2" xfId="18" applyNumberFormat="1" applyFont="1" applyFill="1" applyBorder="1" applyAlignment="1">
      <alignment vertical="center"/>
    </xf>
    <xf numFmtId="10" fontId="2" fillId="0" borderId="3" xfId="18" applyNumberFormat="1" applyFont="1" applyFill="1" applyBorder="1" applyAlignment="1">
      <alignment vertical="center"/>
    </xf>
    <xf numFmtId="10" fontId="2" fillId="0" borderId="5" xfId="18"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8" applyNumberFormat="1" applyFont="1" applyBorder="1" applyAlignment="1">
      <alignment horizontal="right" vertical="center"/>
    </xf>
    <xf numFmtId="184" fontId="2" fillId="0" borderId="0" xfId="1" applyNumberFormat="1" applyFont="1" applyBorder="1" applyAlignment="1">
      <alignment horizontal="right" vertical="center"/>
    </xf>
    <xf numFmtId="10" fontId="2" fillId="0" borderId="0" xfId="18" applyNumberFormat="1" applyFont="1" applyFill="1" applyBorder="1" applyAlignment="1">
      <alignment horizontal="right" vertical="center"/>
    </xf>
    <xf numFmtId="164" fontId="2" fillId="0" borderId="0" xfId="1" applyFont="1" applyBorder="1" applyAlignment="1">
      <alignment horizontal="center" vertical="center"/>
    </xf>
    <xf numFmtId="0" fontId="75"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0" fontId="76" fillId="2" borderId="0" xfId="0" applyFont="1" applyFill="1" applyBorder="1" applyAlignment="1">
      <alignment horizontal="right" vertical="center"/>
    </xf>
    <xf numFmtId="0" fontId="2" fillId="0" borderId="0" xfId="0" applyFont="1" applyAlignment="1">
      <alignment horizontal="righ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3" fontId="7" fillId="0" borderId="0" xfId="0" quotePrefix="1" applyNumberFormat="1" applyFont="1" applyBorder="1" applyAlignment="1">
      <alignment vertical="center"/>
    </xf>
    <xf numFmtId="184" fontId="7" fillId="0" borderId="0" xfId="0" applyNumberFormat="1" applyFont="1" applyFill="1" applyAlignment="1">
      <alignment horizontal="right" vertical="center"/>
    </xf>
    <xf numFmtId="184" fontId="7" fillId="0" borderId="0" xfId="0" applyNumberFormat="1" applyFont="1" applyAlignment="1">
      <alignment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66" fontId="2" fillId="0" borderId="0" xfId="0" applyNumberFormat="1" applyFont="1" applyFill="1" applyBorder="1" applyAlignment="1">
      <alignment horizontal="right" vertical="center"/>
    </xf>
    <xf numFmtId="166" fontId="2" fillId="0" borderId="7" xfId="50" applyNumberFormat="1" applyFont="1" applyBorder="1" applyAlignment="1">
      <alignment vertical="center"/>
    </xf>
    <xf numFmtId="166" fontId="2" fillId="0" borderId="0" xfId="24" applyNumberFormat="1" applyFont="1" applyBorder="1" applyAlignment="1">
      <alignment horizontal="right" vertical="center"/>
    </xf>
    <xf numFmtId="166" fontId="2" fillId="0" borderId="0" xfId="18" applyNumberFormat="1" applyFont="1" applyBorder="1" applyAlignment="1">
      <alignment horizontal="right" vertical="center"/>
    </xf>
    <xf numFmtId="166" fontId="2" fillId="0" borderId="7" xfId="24" applyNumberFormat="1" applyFont="1" applyBorder="1" applyAlignment="1">
      <alignment vertical="center"/>
    </xf>
    <xf numFmtId="166" fontId="2" fillId="0" borderId="0" xfId="55" applyNumberFormat="1" applyFont="1" applyFill="1" applyBorder="1" applyAlignment="1">
      <alignment horizontal="right" vertical="center"/>
    </xf>
    <xf numFmtId="166" fontId="2" fillId="0" borderId="0" xfId="55" applyNumberFormat="1" applyFont="1" applyBorder="1" applyAlignment="1">
      <alignment horizontal="right" vertical="center" wrapText="1"/>
    </xf>
    <xf numFmtId="166" fontId="2" fillId="0" borderId="0" xfId="55" applyNumberFormat="1" applyFont="1" applyBorder="1" applyAlignment="1">
      <alignment vertical="center"/>
    </xf>
    <xf numFmtId="166" fontId="22" fillId="0" borderId="0" xfId="118" applyNumberFormat="1" applyFont="1" applyFill="1" applyBorder="1" applyAlignment="1">
      <alignment horizontal="right" vertical="center" wrapText="1"/>
    </xf>
    <xf numFmtId="166" fontId="49" fillId="0" borderId="0" xfId="9" applyNumberFormat="1" applyFont="1" applyFill="1" applyBorder="1" applyAlignment="1">
      <alignment horizontal="right" vertical="center" wrapText="1"/>
    </xf>
    <xf numFmtId="166" fontId="22" fillId="0" borderId="0" xfId="9" applyNumberFormat="1" applyFont="1" applyFill="1" applyBorder="1" applyAlignment="1">
      <alignment horizontal="right" vertical="center" wrapText="1"/>
    </xf>
    <xf numFmtId="166" fontId="2" fillId="0" borderId="0" xfId="1" applyNumberFormat="1" applyFont="1" applyFill="1" applyBorder="1" applyAlignment="1">
      <alignment horizontal="right" vertical="center"/>
    </xf>
    <xf numFmtId="10" fontId="22" fillId="0" borderId="0" xfId="18" applyNumberFormat="1" applyFont="1" applyFill="1" applyBorder="1" applyAlignment="1">
      <alignment horizontal="center" vertical="center" wrapText="1"/>
    </xf>
    <xf numFmtId="0" fontId="77" fillId="0" borderId="0" xfId="24" applyFont="1" applyFill="1" applyBorder="1" applyAlignment="1">
      <alignment horizontal="right" vertical="center"/>
    </xf>
    <xf numFmtId="164" fontId="2" fillId="0" borderId="0" xfId="117" applyNumberFormat="1" applyFont="1" applyFill="1" applyBorder="1" applyAlignment="1">
      <alignment horizontal="right" vertical="center"/>
    </xf>
    <xf numFmtId="164" fontId="2" fillId="0" borderId="7" xfId="0" applyNumberFormat="1" applyFont="1" applyFill="1" applyBorder="1" applyAlignment="1">
      <alignment vertical="center"/>
    </xf>
    <xf numFmtId="164" fontId="2" fillId="0" borderId="0" xfId="0" applyNumberFormat="1" applyFont="1" applyFill="1" applyBorder="1" applyAlignment="1">
      <alignment vertical="center"/>
    </xf>
    <xf numFmtId="164" fontId="6" fillId="0" borderId="0" xfId="22" applyNumberFormat="1" applyFont="1" applyFill="1" applyBorder="1" applyAlignment="1">
      <alignment horizontal="center" vertical="center" wrapText="1"/>
    </xf>
    <xf numFmtId="164" fontId="6" fillId="0" borderId="2" xfId="22" applyNumberFormat="1" applyFont="1" applyFill="1" applyBorder="1" applyAlignment="1">
      <alignment horizontal="center" vertical="center" wrapText="1"/>
    </xf>
    <xf numFmtId="164" fontId="2" fillId="0" borderId="0" xfId="0" applyNumberFormat="1" applyFont="1" applyFill="1" applyAlignment="1">
      <alignment vertical="center"/>
    </xf>
    <xf numFmtId="164" fontId="2" fillId="0" borderId="7" xfId="0" applyNumberFormat="1" applyFont="1" applyBorder="1" applyAlignment="1">
      <alignment vertical="center"/>
    </xf>
    <xf numFmtId="164" fontId="2" fillId="0" borderId="0" xfId="0" applyNumberFormat="1" applyFont="1" applyBorder="1" applyAlignment="1">
      <alignment vertical="center"/>
    </xf>
    <xf numFmtId="164" fontId="2" fillId="0" borderId="2" xfId="0" applyNumberFormat="1" applyFont="1" applyFill="1" applyBorder="1" applyAlignment="1">
      <alignment vertical="center"/>
    </xf>
    <xf numFmtId="168" fontId="2" fillId="0" borderId="0" xfId="18" applyNumberFormat="1" applyFont="1" applyFill="1" applyBorder="1" applyAlignment="1">
      <alignment horizontal="right" vertical="center" wrapText="1"/>
    </xf>
    <xf numFmtId="166" fontId="22" fillId="0" borderId="0" xfId="118" applyNumberFormat="1" applyFont="1" applyFill="1" applyBorder="1" applyAlignment="1">
      <alignment horizontal="center" vertical="center" wrapText="1"/>
    </xf>
    <xf numFmtId="166" fontId="2" fillId="0" borderId="0" xfId="118" applyNumberFormat="1" applyFont="1" applyFill="1" applyBorder="1" applyAlignment="1">
      <alignment horizontal="center" vertical="center" wrapText="1"/>
    </xf>
    <xf numFmtId="166" fontId="2" fillId="0" borderId="0" xfId="9" applyNumberFormat="1" applyFont="1" applyFill="1" applyBorder="1" applyAlignment="1">
      <alignment horizontal="center" vertical="center" wrapText="1"/>
    </xf>
    <xf numFmtId="4" fontId="22" fillId="0" borderId="0" xfId="9" applyNumberFormat="1" applyFont="1" applyFill="1" applyBorder="1" applyAlignment="1">
      <alignment horizontal="center" vertical="center" wrapText="1"/>
    </xf>
    <xf numFmtId="0" fontId="2" fillId="0" borderId="0" xfId="21" applyFont="1" applyFill="1" applyBorder="1" applyAlignment="1">
      <alignment horizontal="left" vertical="center" wrapText="1"/>
    </xf>
    <xf numFmtId="4" fontId="2" fillId="0" borderId="0" xfId="9" applyNumberFormat="1" applyFont="1" applyFill="1" applyBorder="1" applyAlignment="1">
      <alignment horizontal="left" vertical="center" wrapText="1"/>
    </xf>
    <xf numFmtId="10" fontId="22" fillId="0" borderId="0" xfId="18" applyNumberFormat="1" applyFont="1" applyFill="1" applyBorder="1" applyAlignment="1">
      <alignment horizontal="center" vertical="center" wrapText="1"/>
    </xf>
    <xf numFmtId="44" fontId="2" fillId="0" borderId="0" xfId="117" applyNumberFormat="1" applyFont="1" applyBorder="1" applyAlignment="1">
      <alignment horizontal="right" vertical="center"/>
    </xf>
    <xf numFmtId="44" fontId="2" fillId="0" borderId="0" xfId="117" applyNumberFormat="1" applyFont="1" applyFill="1" applyBorder="1" applyAlignment="1">
      <alignment horizontal="right" vertical="center"/>
    </xf>
    <xf numFmtId="44" fontId="2" fillId="0" borderId="65" xfId="117" applyNumberFormat="1" applyFont="1" applyFill="1" applyBorder="1" applyAlignment="1">
      <alignment horizontal="right" vertical="center"/>
    </xf>
    <xf numFmtId="44" fontId="2" fillId="0" borderId="64" xfId="117" applyNumberFormat="1" applyFont="1" applyFill="1" applyBorder="1" applyAlignment="1">
      <alignment horizontal="right" vertical="center"/>
    </xf>
    <xf numFmtId="44" fontId="2" fillId="0" borderId="0" xfId="0" applyNumberFormat="1" applyFont="1" applyFill="1" applyBorder="1" applyAlignment="1">
      <alignment horizontal="right" vertical="center"/>
    </xf>
    <xf numFmtId="44" fontId="10" fillId="0" borderId="2" xfId="0" applyNumberFormat="1" applyFont="1" applyFill="1" applyBorder="1" applyAlignment="1">
      <alignment horizontal="right" vertical="center"/>
    </xf>
    <xf numFmtId="44" fontId="11" fillId="0" borderId="2" xfId="0" applyNumberFormat="1" applyFont="1" applyFill="1" applyBorder="1" applyAlignment="1">
      <alignment horizontal="right" vertical="center"/>
    </xf>
    <xf numFmtId="44" fontId="10" fillId="0" borderId="0" xfId="0" applyNumberFormat="1" applyFont="1" applyFill="1" applyBorder="1" applyAlignment="1">
      <alignment horizontal="right" vertical="center"/>
    </xf>
    <xf numFmtId="44" fontId="11" fillId="0" borderId="0" xfId="0" applyNumberFormat="1" applyFont="1" applyFill="1" applyBorder="1" applyAlignment="1">
      <alignment horizontal="right" vertical="center"/>
    </xf>
    <xf numFmtId="44" fontId="2" fillId="0" borderId="0" xfId="0" applyNumberFormat="1" applyFont="1" applyFill="1" applyBorder="1" applyAlignment="1">
      <alignment vertical="center"/>
    </xf>
    <xf numFmtId="44" fontId="2" fillId="0" borderId="7" xfId="0" applyNumberFormat="1" applyFont="1" applyFill="1" applyBorder="1" applyAlignment="1">
      <alignment horizontal="right" vertical="center"/>
    </xf>
    <xf numFmtId="44" fontId="10" fillId="0" borderId="7" xfId="0" applyNumberFormat="1" applyFont="1" applyFill="1" applyBorder="1" applyAlignment="1">
      <alignment horizontal="right" vertical="center"/>
    </xf>
    <xf numFmtId="44" fontId="2" fillId="0" borderId="7" xfId="0" applyNumberFormat="1" applyFont="1" applyFill="1" applyBorder="1" applyAlignment="1">
      <alignment vertical="center"/>
    </xf>
    <xf numFmtId="44" fontId="2" fillId="0" borderId="0" xfId="18" applyNumberFormat="1" applyFont="1" applyBorder="1" applyAlignment="1">
      <alignment horizontal="right" vertical="center"/>
    </xf>
    <xf numFmtId="44" fontId="2" fillId="0" borderId="0" xfId="24" applyNumberFormat="1" applyFont="1" applyBorder="1" applyAlignment="1">
      <alignment vertical="center"/>
    </xf>
    <xf numFmtId="44" fontId="2" fillId="0" borderId="0" xfId="24" applyNumberFormat="1" applyFont="1" applyFill="1" applyBorder="1" applyAlignment="1">
      <alignment vertical="center"/>
    </xf>
    <xf numFmtId="44" fontId="2" fillId="0" borderId="0" xfId="0" applyNumberFormat="1" applyFont="1" applyBorder="1" applyAlignment="1">
      <alignment vertical="center"/>
    </xf>
    <xf numFmtId="0" fontId="7" fillId="0" borderId="0" xfId="24" applyFont="1" applyAlignment="1">
      <alignment horizontal="center" vertical="center"/>
    </xf>
    <xf numFmtId="4" fontId="49" fillId="0" borderId="0" xfId="9" applyNumberFormat="1" applyFont="1" applyAlignment="1">
      <alignment horizontal="right" vertical="center" wrapText="1"/>
    </xf>
    <xf numFmtId="14" fontId="49" fillId="0" borderId="0" xfId="9" applyNumberFormat="1" applyFont="1" applyAlignment="1">
      <alignment horizontal="center" vertical="center" wrapText="1"/>
    </xf>
    <xf numFmtId="14" fontId="7" fillId="0" borderId="0" xfId="0" applyNumberFormat="1" applyFont="1" applyBorder="1" applyAlignment="1">
      <alignment horizontal="center" vertical="center" wrapText="1"/>
    </xf>
    <xf numFmtId="49" fontId="47" fillId="0" borderId="0" xfId="24" quotePrefix="1" applyNumberFormat="1" applyFont="1" applyFill="1" applyBorder="1" applyAlignment="1">
      <alignment vertical="center"/>
    </xf>
    <xf numFmtId="44" fontId="2" fillId="0" borderId="0" xfId="118" applyNumberFormat="1" applyFont="1" applyFill="1" applyBorder="1" applyAlignment="1">
      <alignment horizontal="center" vertical="center" wrapText="1"/>
    </xf>
    <xf numFmtId="44" fontId="2" fillId="0" borderId="0" xfId="9" applyNumberFormat="1" applyFont="1" applyFill="1" applyBorder="1" applyAlignment="1">
      <alignment horizontal="center" vertical="center" wrapText="1"/>
    </xf>
    <xf numFmtId="0" fontId="9" fillId="30" borderId="0" xfId="50" applyFont="1" applyFill="1" applyBorder="1" applyAlignment="1">
      <alignment horizontal="center" vertical="center"/>
    </xf>
    <xf numFmtId="0" fontId="78" fillId="0" borderId="0" xfId="0" applyFont="1"/>
    <xf numFmtId="0" fontId="49" fillId="0" borderId="0" xfId="0" applyFont="1"/>
    <xf numFmtId="0" fontId="80" fillId="0" borderId="0" xfId="0" applyFont="1"/>
    <xf numFmtId="0" fontId="2" fillId="0" borderId="0" xfId="0" applyFont="1" applyFill="1" applyBorder="1" applyAlignment="1">
      <alignment horizontal="left" vertical="center"/>
    </xf>
    <xf numFmtId="0" fontId="55" fillId="27" borderId="0" xfId="24" applyFont="1" applyFill="1" applyAlignment="1">
      <alignment horizontal="left" vertical="center"/>
    </xf>
    <xf numFmtId="0" fontId="2" fillId="27" borderId="0" xfId="24" applyFont="1" applyFill="1" applyAlignment="1">
      <alignment horizontal="center" vertical="center"/>
    </xf>
    <xf numFmtId="0" fontId="2" fillId="27" borderId="0" xfId="24" applyFont="1" applyFill="1" applyAlignment="1">
      <alignment vertical="center"/>
    </xf>
    <xf numFmtId="44" fontId="2" fillId="0" borderId="0" xfId="120" applyNumberFormat="1" applyFont="1" applyFill="1" applyBorder="1" applyAlignment="1">
      <alignment horizontal="right" vertical="center" wrapText="1"/>
    </xf>
    <xf numFmtId="184" fontId="2" fillId="0" borderId="0" xfId="1" applyNumberFormat="1" applyFont="1" applyFill="1" applyBorder="1" applyAlignment="1">
      <alignment vertical="center"/>
    </xf>
    <xf numFmtId="184" fontId="2"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166" fontId="2" fillId="0" borderId="7" xfId="55" applyNumberFormat="1" applyFont="1" applyFill="1" applyBorder="1" applyAlignment="1">
      <alignment horizontal="right" vertical="center"/>
    </xf>
    <xf numFmtId="10" fontId="2" fillId="0" borderId="7" xfId="18" applyNumberFormat="1" applyFont="1" applyBorder="1" applyAlignment="1">
      <alignment horizontal="right" vertical="center"/>
    </xf>
    <xf numFmtId="166" fontId="2" fillId="0" borderId="7" xfId="55" applyNumberFormat="1" applyFont="1" applyBorder="1" applyAlignment="1">
      <alignment horizontal="right" vertical="center" wrapText="1"/>
    </xf>
    <xf numFmtId="166" fontId="2" fillId="0" borderId="7" xfId="55" applyNumberFormat="1" applyFont="1" applyBorder="1" applyAlignment="1">
      <alignment vertical="center"/>
    </xf>
    <xf numFmtId="49" fontId="2" fillId="0" borderId="0" xfId="24" applyNumberFormat="1" applyFont="1" applyFill="1" applyBorder="1" applyAlignment="1">
      <alignment horizontal="center" vertical="center"/>
    </xf>
    <xf numFmtId="1" fontId="2" fillId="0" borderId="0" xfId="55" applyNumberFormat="1" applyFont="1" applyFill="1" applyBorder="1" applyAlignment="1">
      <alignment horizontal="center" vertical="center"/>
    </xf>
    <xf numFmtId="10" fontId="2" fillId="0" borderId="0" xfId="18" applyNumberFormat="1" applyFont="1" applyBorder="1" applyAlignment="1">
      <alignment horizontal="center" vertical="center" wrapText="1"/>
    </xf>
    <xf numFmtId="185" fontId="2" fillId="0" borderId="0" xfId="0" applyNumberFormat="1" applyFont="1" applyFill="1" applyBorder="1" applyAlignment="1">
      <alignment horizontal="center" vertical="center"/>
    </xf>
    <xf numFmtId="15" fontId="0" fillId="0" borderId="0" xfId="0" applyNumberFormat="1"/>
    <xf numFmtId="0" fontId="81" fillId="0" borderId="0" xfId="0" applyFont="1" applyAlignment="1">
      <alignment vertical="center"/>
    </xf>
    <xf numFmtId="0" fontId="81" fillId="0" borderId="0" xfId="0" applyFont="1"/>
    <xf numFmtId="0" fontId="82" fillId="0" borderId="0" xfId="2" applyFont="1" applyAlignment="1" applyProtection="1">
      <alignment vertical="center"/>
    </xf>
    <xf numFmtId="0" fontId="2" fillId="0" borderId="0" xfId="0" applyFont="1" applyBorder="1" applyAlignment="1">
      <alignment vertical="center"/>
    </xf>
    <xf numFmtId="0" fontId="2" fillId="0" borderId="66" xfId="0" applyFont="1" applyBorder="1" applyAlignment="1">
      <alignment horizontal="center" vertical="center"/>
    </xf>
    <xf numFmtId="44" fontId="2" fillId="0" borderId="33" xfId="0" applyNumberFormat="1" applyFont="1" applyBorder="1" applyAlignment="1">
      <alignment vertical="center"/>
    </xf>
    <xf numFmtId="10" fontId="2" fillId="0" borderId="67" xfId="0" applyNumberFormat="1" applyFont="1" applyBorder="1" applyAlignment="1">
      <alignment horizontal="center" vertical="center"/>
    </xf>
    <xf numFmtId="0" fontId="2" fillId="0" borderId="4" xfId="0" applyFont="1" applyBorder="1" applyAlignment="1">
      <alignment horizontal="center" vertical="center"/>
    </xf>
    <xf numFmtId="10" fontId="2" fillId="0" borderId="5" xfId="0" applyNumberFormat="1" applyFont="1" applyBorder="1" applyAlignment="1">
      <alignment horizontal="center" vertical="center"/>
    </xf>
    <xf numFmtId="0" fontId="2" fillId="0" borderId="6" xfId="0" applyFont="1" applyBorder="1" applyAlignment="1">
      <alignment horizontal="center" vertical="center"/>
    </xf>
    <xf numFmtId="44" fontId="2" fillId="0" borderId="7" xfId="0" applyNumberFormat="1" applyFont="1" applyBorder="1" applyAlignment="1">
      <alignment vertical="center"/>
    </xf>
    <xf numFmtId="10" fontId="2" fillId="0" borderId="8" xfId="0" applyNumberFormat="1" applyFont="1" applyBorder="1" applyAlignment="1">
      <alignment horizontal="center" vertical="center"/>
    </xf>
    <xf numFmtId="0" fontId="2" fillId="0" borderId="33" xfId="24" applyFont="1" applyFill="1" applyBorder="1" applyAlignment="1">
      <alignment vertical="center"/>
    </xf>
    <xf numFmtId="0" fontId="2" fillId="0" borderId="34" xfId="24" applyFont="1" applyFill="1" applyBorder="1" applyAlignment="1">
      <alignment vertical="center"/>
    </xf>
    <xf numFmtId="0" fontId="7" fillId="0" borderId="2" xfId="24" applyFont="1" applyBorder="1" applyAlignment="1">
      <alignment horizontal="center" vertical="center"/>
    </xf>
    <xf numFmtId="10" fontId="7" fillId="0" borderId="0" xfId="24" applyNumberFormat="1" applyFont="1" applyFill="1" applyBorder="1" applyAlignment="1">
      <alignment horizontal="center" vertical="center"/>
    </xf>
    <xf numFmtId="0" fontId="2" fillId="0" borderId="42" xfId="24" applyFont="1" applyBorder="1" applyAlignment="1">
      <alignment vertical="center"/>
    </xf>
    <xf numFmtId="0" fontId="2" fillId="0" borderId="34" xfId="24" quotePrefix="1" applyFont="1" applyBorder="1" applyAlignment="1">
      <alignment vertical="center"/>
    </xf>
    <xf numFmtId="0" fontId="8" fillId="0" borderId="42" xfId="24" applyFont="1" applyBorder="1" applyAlignment="1">
      <alignment vertical="center"/>
    </xf>
    <xf numFmtId="1" fontId="2" fillId="0" borderId="7" xfId="55" applyNumberFormat="1" applyFont="1" applyFill="1" applyBorder="1" applyAlignment="1">
      <alignment horizontal="center" vertical="center"/>
    </xf>
    <xf numFmtId="0" fontId="2" fillId="0" borderId="0" xfId="0" applyFont="1" applyBorder="1" applyAlignment="1">
      <alignment vertical="center"/>
    </xf>
    <xf numFmtId="0" fontId="60" fillId="2" borderId="54" xfId="21" applyFont="1" applyFill="1" applyBorder="1" applyAlignment="1">
      <alignment horizontal="center" vertical="center" wrapText="1"/>
    </xf>
    <xf numFmtId="0" fontId="60" fillId="2" borderId="57" xfId="21" applyFont="1" applyFill="1" applyBorder="1" applyAlignment="1">
      <alignment horizontal="center" vertical="center" wrapText="1"/>
    </xf>
    <xf numFmtId="0" fontId="2" fillId="0" borderId="59" xfId="0" applyFont="1" applyBorder="1" applyAlignment="1">
      <alignment vertical="center"/>
    </xf>
    <xf numFmtId="0" fontId="60" fillId="2" borderId="62" xfId="21" applyFont="1" applyFill="1" applyBorder="1" applyAlignment="1">
      <alignment horizontal="center" vertical="center" wrapText="1"/>
    </xf>
    <xf numFmtId="0" fontId="60" fillId="2" borderId="63" xfId="21" applyFont="1" applyFill="1" applyBorder="1" applyAlignment="1">
      <alignment horizontal="center" vertical="center" wrapText="1"/>
    </xf>
    <xf numFmtId="0" fontId="60" fillId="2" borderId="59" xfId="21" applyFont="1" applyFill="1" applyBorder="1" applyAlignment="1">
      <alignment horizontal="center" vertical="center" wrapText="1"/>
    </xf>
    <xf numFmtId="0" fontId="60" fillId="2" borderId="55" xfId="21" applyFont="1" applyFill="1" applyBorder="1" applyAlignment="1">
      <alignment horizontal="center" vertical="center" wrapText="1"/>
    </xf>
    <xf numFmtId="0" fontId="60" fillId="2" borderId="56" xfId="21" applyFont="1" applyFill="1" applyBorder="1" applyAlignment="1">
      <alignment horizontal="center" vertical="center" wrapText="1"/>
    </xf>
    <xf numFmtId="0" fontId="60" fillId="2" borderId="35" xfId="21" applyFont="1" applyFill="1" applyBorder="1" applyAlignment="1">
      <alignment horizontal="center" vertical="center" wrapText="1"/>
    </xf>
    <xf numFmtId="0" fontId="2" fillId="28" borderId="55" xfId="24" applyFont="1" applyFill="1" applyBorder="1" applyAlignment="1">
      <alignment vertical="center"/>
    </xf>
    <xf numFmtId="0" fontId="2" fillId="28" borderId="56" xfId="0" applyFont="1" applyFill="1" applyBorder="1" applyAlignment="1">
      <alignment vertical="center"/>
    </xf>
    <xf numFmtId="0" fontId="2" fillId="28" borderId="35" xfId="0" applyFont="1" applyFill="1" applyBorder="1" applyAlignment="1">
      <alignment vertical="center"/>
    </xf>
    <xf numFmtId="49" fontId="47" fillId="0" borderId="0" xfId="24" quotePrefix="1" applyNumberFormat="1" applyFont="1" applyFill="1" applyBorder="1" applyAlignment="1">
      <alignment horizontal="left" vertical="center"/>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1" applyFont="1" applyFill="1" applyBorder="1" applyAlignment="1">
      <alignment horizontal="center" vertical="center" wrapText="1"/>
    </xf>
    <xf numFmtId="0" fontId="6" fillId="2" borderId="7" xfId="21" applyFont="1" applyFill="1" applyBorder="1" applyAlignment="1">
      <alignment horizontal="center" vertical="center" wrapText="1"/>
    </xf>
    <xf numFmtId="0" fontId="6" fillId="2" borderId="8" xfId="21" applyFont="1" applyFill="1" applyBorder="1" applyAlignment="1">
      <alignment horizontal="center" vertical="center" wrapText="1"/>
    </xf>
    <xf numFmtId="0" fontId="2" fillId="2" borderId="1" xfId="24" applyFont="1" applyFill="1" applyBorder="1" applyAlignment="1">
      <alignment horizontal="right" vertical="center"/>
    </xf>
    <xf numFmtId="0" fontId="2" fillId="0" borderId="2" xfId="0" applyFont="1" applyBorder="1" applyAlignment="1">
      <alignment horizontal="right" vertical="center"/>
    </xf>
    <xf numFmtId="0" fontId="2" fillId="2" borderId="4" xfId="24" applyFont="1" applyFill="1" applyBorder="1" applyAlignment="1">
      <alignment horizontal="right" vertical="center"/>
    </xf>
    <xf numFmtId="0" fontId="2" fillId="0" borderId="0" xfId="0" applyFont="1" applyAlignment="1">
      <alignment horizontal="right" vertical="center"/>
    </xf>
    <xf numFmtId="14" fontId="2" fillId="2" borderId="4" xfId="24" applyNumberFormat="1" applyFont="1" applyFill="1" applyBorder="1" applyAlignment="1">
      <alignment horizontal="right" vertical="center"/>
    </xf>
    <xf numFmtId="14" fontId="2" fillId="2" borderId="6" xfId="24"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4" applyFont="1" applyFill="1" applyBorder="1" applyAlignment="1">
      <alignment horizontal="center" vertical="center"/>
    </xf>
    <xf numFmtId="0" fontId="2" fillId="2" borderId="56" xfId="24" applyFont="1" applyFill="1" applyBorder="1" applyAlignment="1">
      <alignment horizontal="center" vertical="center"/>
    </xf>
    <xf numFmtId="0" fontId="2" fillId="2" borderId="35" xfId="24"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6" fillId="2" borderId="41" xfId="21" applyFont="1" applyFill="1" applyBorder="1" applyAlignment="1">
      <alignment horizontal="center" vertical="center" wrapText="1"/>
    </xf>
    <xf numFmtId="0" fontId="6" fillId="2" borderId="42" xfId="21" applyFont="1" applyFill="1" applyBorder="1" applyAlignment="1">
      <alignment horizontal="center" vertical="center" wrapText="1"/>
    </xf>
    <xf numFmtId="0" fontId="6" fillId="2" borderId="43" xfId="21" applyFont="1" applyFill="1" applyBorder="1" applyAlignment="1">
      <alignment horizontal="center" vertical="center" wrapText="1"/>
    </xf>
    <xf numFmtId="0" fontId="6" fillId="0" borderId="0" xfId="21" applyFont="1" applyFill="1" applyBorder="1" applyAlignment="1">
      <alignment horizontal="center" vertical="center" wrapText="1"/>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8" borderId="1" xfId="0" applyFont="1" applyFill="1" applyBorder="1" applyAlignment="1">
      <alignment horizontal="right" vertical="center"/>
    </xf>
    <xf numFmtId="0" fontId="2" fillId="28" borderId="4" xfId="0" applyFont="1" applyFill="1" applyBorder="1" applyAlignment="1">
      <alignment horizontal="right" vertical="center"/>
    </xf>
    <xf numFmtId="0" fontId="2" fillId="28" borderId="0" xfId="0" applyFont="1" applyFill="1" applyBorder="1" applyAlignment="1">
      <alignment horizontal="right" vertical="center"/>
    </xf>
  </cellXfs>
  <cellStyles count="121">
    <cellStyle name="20 % - Akzent1 2" xfId="57" xr:uid="{00000000-0005-0000-0000-000000000000}"/>
    <cellStyle name="20 % - Akzent2 2" xfId="58" xr:uid="{00000000-0005-0000-0000-000001000000}"/>
    <cellStyle name="20 % - Akzent3 2" xfId="59" xr:uid="{00000000-0005-0000-0000-000002000000}"/>
    <cellStyle name="20 % - Akzent4 2" xfId="60" xr:uid="{00000000-0005-0000-0000-000003000000}"/>
    <cellStyle name="20 % - Akzent5 2" xfId="61" xr:uid="{00000000-0005-0000-0000-000004000000}"/>
    <cellStyle name="20 % - Akzent6 2" xfId="62" xr:uid="{00000000-0005-0000-0000-000005000000}"/>
    <cellStyle name="40 % - Akzent1 2" xfId="63" xr:uid="{00000000-0005-0000-0000-000006000000}"/>
    <cellStyle name="40 % - Akzent2 2" xfId="64" xr:uid="{00000000-0005-0000-0000-000007000000}"/>
    <cellStyle name="40 % - Akzent3 2" xfId="65" xr:uid="{00000000-0005-0000-0000-000008000000}"/>
    <cellStyle name="40 % - Akzent4 2" xfId="66" xr:uid="{00000000-0005-0000-0000-000009000000}"/>
    <cellStyle name="40 % - Akzent5 2" xfId="67" xr:uid="{00000000-0005-0000-0000-00000A000000}"/>
    <cellStyle name="40 % - Akzent6 2" xfId="68" xr:uid="{00000000-0005-0000-0000-00000B000000}"/>
    <cellStyle name="60 % - Akzent1 2" xfId="69" xr:uid="{00000000-0005-0000-0000-00000C000000}"/>
    <cellStyle name="60 % - Akzent2 2" xfId="70" xr:uid="{00000000-0005-0000-0000-00000D000000}"/>
    <cellStyle name="60 % - Akzent3 2" xfId="71" xr:uid="{00000000-0005-0000-0000-00000E000000}"/>
    <cellStyle name="60 % - Akzent4 2" xfId="72" xr:uid="{00000000-0005-0000-0000-00000F000000}"/>
    <cellStyle name="60 % - Akzent5 2" xfId="73" xr:uid="{00000000-0005-0000-0000-000010000000}"/>
    <cellStyle name="60 % - Akzent6 2" xfId="74" xr:uid="{00000000-0005-0000-0000-000011000000}"/>
    <cellStyle name="Akzent1 2" xfId="75" xr:uid="{00000000-0005-0000-0000-000012000000}"/>
    <cellStyle name="Akzent2 2" xfId="76" xr:uid="{00000000-0005-0000-0000-000013000000}"/>
    <cellStyle name="Akzent3 2" xfId="77" xr:uid="{00000000-0005-0000-0000-000014000000}"/>
    <cellStyle name="Akzent4 2" xfId="78" xr:uid="{00000000-0005-0000-0000-000015000000}"/>
    <cellStyle name="Akzent5 2" xfId="79" xr:uid="{00000000-0005-0000-0000-000016000000}"/>
    <cellStyle name="Akzent6 2" xfId="80" xr:uid="{00000000-0005-0000-0000-000017000000}"/>
    <cellStyle name="Ausgabe 2" xfId="81" xr:uid="{00000000-0005-0000-0000-000018000000}"/>
    <cellStyle name="Berechnung 2" xfId="82" xr:uid="{00000000-0005-0000-0000-000019000000}"/>
    <cellStyle name="Border Heavy" xfId="31" xr:uid="{00000000-0005-0000-0000-00001A000000}"/>
    <cellStyle name="Border Thin" xfId="32" xr:uid="{00000000-0005-0000-0000-00001B000000}"/>
    <cellStyle name="Date" xfId="33" xr:uid="{00000000-0005-0000-0000-00001C000000}"/>
    <cellStyle name="Eingabe 2" xfId="83" xr:uid="{00000000-0005-0000-0000-00001D000000}"/>
    <cellStyle name="Ergebnis 2" xfId="84" xr:uid="{00000000-0005-0000-0000-00001E000000}"/>
    <cellStyle name="Erklärender Text 2" xfId="85" xr:uid="{00000000-0005-0000-0000-00001F000000}"/>
    <cellStyle name="Euro" xfId="1" xr:uid="{00000000-0005-0000-0000-000020000000}"/>
    <cellStyle name="Euro 2" xfId="26" xr:uid="{00000000-0005-0000-0000-000021000000}"/>
    <cellStyle name="Euro 2 2" xfId="34" xr:uid="{00000000-0005-0000-0000-000022000000}"/>
    <cellStyle name="Euro 2 3" xfId="119" xr:uid="{00000000-0005-0000-0000-000023000000}"/>
    <cellStyle name="Euro 3" xfId="35" xr:uid="{00000000-0005-0000-0000-000024000000}"/>
    <cellStyle name="Euro 3 2" xfId="86" xr:uid="{00000000-0005-0000-0000-000025000000}"/>
    <cellStyle name="Euro 4" xfId="36" xr:uid="{00000000-0005-0000-0000-000026000000}"/>
    <cellStyle name="Euro 5" xfId="87" xr:uid="{00000000-0005-0000-0000-000027000000}"/>
    <cellStyle name="Euro 6" xfId="117" xr:uid="{00000000-0005-0000-0000-000028000000}"/>
    <cellStyle name="Gut 2" xfId="88" xr:uid="{00000000-0005-0000-0000-000029000000}"/>
    <cellStyle name="Hyperlink 2" xfId="89" xr:uid="{00000000-0005-0000-0000-00002A000000}"/>
    <cellStyle name="Komma" xfId="3" builtinId="3"/>
    <cellStyle name="Komma 2" xfId="25" xr:uid="{00000000-0005-0000-0000-00002C000000}"/>
    <cellStyle name="Komma 2 2" xfId="37" xr:uid="{00000000-0005-0000-0000-00002D000000}"/>
    <cellStyle name="Komma 3" xfId="27" xr:uid="{00000000-0005-0000-0000-00002E000000}"/>
    <cellStyle name="Komma 3 2" xfId="38" xr:uid="{00000000-0005-0000-0000-00002F000000}"/>
    <cellStyle name="Komma 4" xfId="39" xr:uid="{00000000-0005-0000-0000-000030000000}"/>
    <cellStyle name="Komma 4 2" xfId="90" xr:uid="{00000000-0005-0000-0000-000031000000}"/>
    <cellStyle name="Komma 4 3" xfId="91" xr:uid="{00000000-0005-0000-0000-000032000000}"/>
    <cellStyle name="Komma 5" xfId="40" xr:uid="{00000000-0005-0000-0000-000033000000}"/>
    <cellStyle name="Komma 6" xfId="92" xr:uid="{00000000-0005-0000-0000-000034000000}"/>
    <cellStyle name="Komma 7" xfId="93" xr:uid="{00000000-0005-0000-0000-000035000000}"/>
    <cellStyle name="Komma 8" xfId="94" xr:uid="{00000000-0005-0000-0000-000036000000}"/>
    <cellStyle name="Komma 9" xfId="116" xr:uid="{00000000-0005-0000-0000-000037000000}"/>
    <cellStyle name="Link" xfId="2" builtinId="8"/>
    <cellStyle name="Multiple" xfId="41" xr:uid="{00000000-0005-0000-0000-000039000000}"/>
    <cellStyle name="Neutral 2" xfId="95"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 xfId="11" xr:uid="{00000000-0005-0000-0000-000042000000}"/>
    <cellStyle name="Normal_Payment_1" xfId="12" xr:uid="{00000000-0005-0000-0000-000043000000}"/>
    <cellStyle name="Normal_Remaining Term_1" xfId="13" xr:uid="{00000000-0005-0000-0000-000044000000}"/>
    <cellStyle name="Normal_Seasoning_1" xfId="14" xr:uid="{00000000-0005-0000-0000-000045000000}"/>
    <cellStyle name="Normal_Sheet1" xfId="15" xr:uid="{00000000-0005-0000-0000-000046000000}"/>
    <cellStyle name="Normal_Yield" xfId="16" xr:uid="{00000000-0005-0000-0000-000047000000}"/>
    <cellStyle name="Normal_Yield_1" xfId="17" xr:uid="{00000000-0005-0000-0000-000048000000}"/>
    <cellStyle name="Notiz 2" xfId="96" xr:uid="{00000000-0005-0000-0000-000049000000}"/>
    <cellStyle name="Page Heading Large" xfId="42" xr:uid="{00000000-0005-0000-0000-00004A000000}"/>
    <cellStyle name="Page Heading Small" xfId="43" xr:uid="{00000000-0005-0000-0000-00004B000000}"/>
    <cellStyle name="Percent Hard" xfId="44" xr:uid="{00000000-0005-0000-0000-00004C000000}"/>
    <cellStyle name="Prozent" xfId="18" builtinId="5"/>
    <cellStyle name="Prozent 2" xfId="28" xr:uid="{00000000-0005-0000-0000-00004E000000}"/>
    <cellStyle name="Prozent 2 2" xfId="45" xr:uid="{00000000-0005-0000-0000-00004F000000}"/>
    <cellStyle name="Prozent 3" xfId="29" xr:uid="{00000000-0005-0000-0000-000050000000}"/>
    <cellStyle name="Prozent 3 2" xfId="46" xr:uid="{00000000-0005-0000-0000-000051000000}"/>
    <cellStyle name="Prozent 4" xfId="47" xr:uid="{00000000-0005-0000-0000-000052000000}"/>
    <cellStyle name="Prozent 4 2" xfId="97" xr:uid="{00000000-0005-0000-0000-000053000000}"/>
    <cellStyle name="Prozent 4 3" xfId="98" xr:uid="{00000000-0005-0000-0000-000054000000}"/>
    <cellStyle name="Prozent 5" xfId="48" xr:uid="{00000000-0005-0000-0000-000055000000}"/>
    <cellStyle name="Prozent 6" xfId="99" xr:uid="{00000000-0005-0000-0000-000056000000}"/>
    <cellStyle name="Prozent 7" xfId="100" xr:uid="{00000000-0005-0000-0000-000057000000}"/>
    <cellStyle name="Prozent 8" xfId="101" xr:uid="{00000000-0005-0000-0000-000058000000}"/>
    <cellStyle name="Schlecht 2" xfId="102" xr:uid="{00000000-0005-0000-0000-000059000000}"/>
    <cellStyle name="Shaded" xfId="49" xr:uid="{00000000-0005-0000-0000-00005A000000}"/>
    <cellStyle name="Standard" xfId="0" builtinId="0"/>
    <cellStyle name="Standard 2" xfId="24" xr:uid="{00000000-0005-0000-0000-00005C000000}"/>
    <cellStyle name="Standard 2 2" xfId="50" xr:uid="{00000000-0005-0000-0000-00005D000000}"/>
    <cellStyle name="Standard 2 3" xfId="103" xr:uid="{00000000-0005-0000-0000-00005E000000}"/>
    <cellStyle name="Standard 3" xfId="30" xr:uid="{00000000-0005-0000-0000-00005F000000}"/>
    <cellStyle name="Standard 3 2" xfId="104" xr:uid="{00000000-0005-0000-0000-000060000000}"/>
    <cellStyle name="Standard 4" xfId="105" xr:uid="{00000000-0005-0000-0000-000061000000}"/>
    <cellStyle name="Standard_Current PB" xfId="19" xr:uid="{00000000-0005-0000-0000-000062000000}"/>
    <cellStyle name="Standard_Obligor Region" xfId="20" xr:uid="{00000000-0005-0000-0000-000063000000}"/>
    <cellStyle name="Standard_Original PB" xfId="21" xr:uid="{00000000-0005-0000-0000-000064000000}"/>
    <cellStyle name="Standard_Seasoning" xfId="22" xr:uid="{00000000-0005-0000-0000-000065000000}"/>
    <cellStyle name="Standard_Tabelle1" xfId="23" xr:uid="{00000000-0005-0000-0000-000066000000}"/>
    <cellStyle name="Table Col Head" xfId="51" xr:uid="{00000000-0005-0000-0000-000067000000}"/>
    <cellStyle name="Table Sub Head" xfId="52" xr:uid="{00000000-0005-0000-0000-000068000000}"/>
    <cellStyle name="Table Title" xfId="53" xr:uid="{00000000-0005-0000-0000-000069000000}"/>
    <cellStyle name="Table Units" xfId="54" xr:uid="{00000000-0005-0000-0000-00006A000000}"/>
    <cellStyle name="Überschrift 1 2" xfId="106" xr:uid="{00000000-0005-0000-0000-00006B000000}"/>
    <cellStyle name="Überschrift 2 2" xfId="107" xr:uid="{00000000-0005-0000-0000-00006C000000}"/>
    <cellStyle name="Überschrift 3 2" xfId="108" xr:uid="{00000000-0005-0000-0000-00006D000000}"/>
    <cellStyle name="Überschrift 4 2" xfId="109" xr:uid="{00000000-0005-0000-0000-00006E000000}"/>
    <cellStyle name="Überschrift 5" xfId="110" xr:uid="{00000000-0005-0000-0000-00006F000000}"/>
    <cellStyle name="Verknüpfte Zelle 2" xfId="111" xr:uid="{00000000-0005-0000-0000-000070000000}"/>
    <cellStyle name="Währung" xfId="120" builtinId="4"/>
    <cellStyle name="Währung 2" xfId="55" xr:uid="{00000000-0005-0000-0000-000072000000}"/>
    <cellStyle name="Währung 3" xfId="112" xr:uid="{00000000-0005-0000-0000-000073000000}"/>
    <cellStyle name="Währung 4" xfId="113" xr:uid="{00000000-0005-0000-0000-000074000000}"/>
    <cellStyle name="Währung 5" xfId="118" xr:uid="{00000000-0005-0000-0000-000075000000}"/>
    <cellStyle name="Warnender Text 2" xfId="114" xr:uid="{00000000-0005-0000-0000-000076000000}"/>
    <cellStyle name="Year" xfId="56" xr:uid="{00000000-0005-0000-0000-000077000000}"/>
    <cellStyle name="Zelle überprüfen 2" xfId="115" xr:uid="{00000000-0005-0000-0000-000078000000}"/>
  </cellStyles>
  <dxfs count="8">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1678030.6300000015</c:v>
                </c:pt>
                <c:pt idx="1">
                  <c:v>13046341.189999968</c:v>
                </c:pt>
                <c:pt idx="2">
                  <c:v>26329777.470000226</c:v>
                </c:pt>
                <c:pt idx="3">
                  <c:v>27932813.670000009</c:v>
                </c:pt>
                <c:pt idx="4">
                  <c:v>27553696.520000029</c:v>
                </c:pt>
                <c:pt idx="5">
                  <c:v>44744847.80999995</c:v>
                </c:pt>
                <c:pt idx="6">
                  <c:v>33434631.989999976</c:v>
                </c:pt>
                <c:pt idx="7">
                  <c:v>41634231.28999994</c:v>
                </c:pt>
                <c:pt idx="8">
                  <c:v>34724106.250000045</c:v>
                </c:pt>
                <c:pt idx="9">
                  <c:v>34143250.159999989</c:v>
                </c:pt>
                <c:pt idx="10">
                  <c:v>54342974.209999941</c:v>
                </c:pt>
                <c:pt idx="11">
                  <c:v>36715935.759999961</c:v>
                </c:pt>
                <c:pt idx="12">
                  <c:v>49022743.590000011</c:v>
                </c:pt>
                <c:pt idx="13">
                  <c:v>34492289.259999931</c:v>
                </c:pt>
                <c:pt idx="14">
                  <c:v>34399104.790000044</c:v>
                </c:pt>
                <c:pt idx="15">
                  <c:v>48003956.649999991</c:v>
                </c:pt>
                <c:pt idx="16">
                  <c:v>28392718.490000032</c:v>
                </c:pt>
                <c:pt idx="17">
                  <c:v>34885926.180000015</c:v>
                </c:pt>
                <c:pt idx="18">
                  <c:v>26398562.949999984</c:v>
                </c:pt>
                <c:pt idx="19">
                  <c:v>23188124.129999992</c:v>
                </c:pt>
                <c:pt idx="20">
                  <c:v>35450655.120000005</c:v>
                </c:pt>
                <c:pt idx="21">
                  <c:v>22628931.830000021</c:v>
                </c:pt>
                <c:pt idx="22">
                  <c:v>24034152.900000002</c:v>
                </c:pt>
                <c:pt idx="23">
                  <c:v>17226597.930000007</c:v>
                </c:pt>
                <c:pt idx="24">
                  <c:v>17984922.900000002</c:v>
                </c:pt>
                <c:pt idx="25">
                  <c:v>39690727.569999993</c:v>
                </c:pt>
                <c:pt idx="26">
                  <c:v>17641150.400000002</c:v>
                </c:pt>
                <c:pt idx="27">
                  <c:v>18792686.630000018</c:v>
                </c:pt>
                <c:pt idx="28">
                  <c:v>13894972.129999995</c:v>
                </c:pt>
                <c:pt idx="29">
                  <c:v>14070054.230000006</c:v>
                </c:pt>
                <c:pt idx="30">
                  <c:v>22815349.309999995</c:v>
                </c:pt>
                <c:pt idx="31">
                  <c:v>11465333.349999998</c:v>
                </c:pt>
                <c:pt idx="32">
                  <c:v>15954326.040000003</c:v>
                </c:pt>
                <c:pt idx="33">
                  <c:v>8633493.1699999999</c:v>
                </c:pt>
                <c:pt idx="34">
                  <c:v>7182363.5100000016</c:v>
                </c:pt>
                <c:pt idx="35">
                  <c:v>10594499.929999994</c:v>
                </c:pt>
                <c:pt idx="36">
                  <c:v>6854372.080000001</c:v>
                </c:pt>
                <c:pt idx="37">
                  <c:v>16407513.019999996</c:v>
                </c:pt>
                <c:pt idx="38">
                  <c:v>4618303.6399999987</c:v>
                </c:pt>
                <c:pt idx="39">
                  <c:v>4985553.8099999996</c:v>
                </c:pt>
                <c:pt idx="40">
                  <c:v>4365665.459999999</c:v>
                </c:pt>
                <c:pt idx="41">
                  <c:v>3402555.3</c:v>
                </c:pt>
                <c:pt idx="42">
                  <c:v>3994854.2800000003</c:v>
                </c:pt>
                <c:pt idx="43">
                  <c:v>3219301.5700000003</c:v>
                </c:pt>
                <c:pt idx="44">
                  <c:v>3024336.9699999997</c:v>
                </c:pt>
                <c:pt idx="45">
                  <c:v>727199.87</c:v>
                </c:pt>
                <c:pt idx="46">
                  <c:v>747272.21</c:v>
                </c:pt>
                <c:pt idx="47">
                  <c:v>378108.69999999995</c:v>
                </c:pt>
                <c:pt idx="48">
                  <c:v>484922.52</c:v>
                </c:pt>
                <c:pt idx="49">
                  <c:v>398552.41000000003</c:v>
                </c:pt>
                <c:pt idx="50">
                  <c:v>1013065.96</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788932952"/>
        <c:axId val="788928248"/>
      </c:barChart>
      <c:catAx>
        <c:axId val="788932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788928248"/>
        <c:crosses val="autoZero"/>
        <c:auto val="1"/>
        <c:lblAlgn val="ctr"/>
        <c:lblOffset val="100"/>
        <c:tickLblSkip val="1"/>
        <c:tickMarkSkip val="1"/>
        <c:noMultiLvlLbl val="0"/>
      </c:catAx>
      <c:valAx>
        <c:axId val="78892824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329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10865161.640000014</c:v>
                </c:pt>
                <c:pt idx="1">
                  <c:v>22234361.970000029</c:v>
                </c:pt>
                <c:pt idx="2">
                  <c:v>28622074.010000043</c:v>
                </c:pt>
                <c:pt idx="3">
                  <c:v>30348708.139999967</c:v>
                </c:pt>
                <c:pt idx="4">
                  <c:v>31283370.689999953</c:v>
                </c:pt>
                <c:pt idx="5">
                  <c:v>34322435.73999998</c:v>
                </c:pt>
                <c:pt idx="6">
                  <c:v>33907651.489999965</c:v>
                </c:pt>
                <c:pt idx="7">
                  <c:v>31990580.579999939</c:v>
                </c:pt>
                <c:pt idx="8">
                  <c:v>32285388.75</c:v>
                </c:pt>
                <c:pt idx="9">
                  <c:v>29845100.439999972</c:v>
                </c:pt>
                <c:pt idx="10">
                  <c:v>26591485.799999975</c:v>
                </c:pt>
                <c:pt idx="11">
                  <c:v>24179006.389999975</c:v>
                </c:pt>
                <c:pt idx="12">
                  <c:v>20849816.599999994</c:v>
                </c:pt>
                <c:pt idx="13">
                  <c:v>22549193.950000051</c:v>
                </c:pt>
                <c:pt idx="14">
                  <c:v>19746055.349999998</c:v>
                </c:pt>
                <c:pt idx="15">
                  <c:v>16379161.129999984</c:v>
                </c:pt>
                <c:pt idx="16">
                  <c:v>15210009.110000022</c:v>
                </c:pt>
                <c:pt idx="17">
                  <c:v>14486714.030000001</c:v>
                </c:pt>
                <c:pt idx="18">
                  <c:v>11653521.179999992</c:v>
                </c:pt>
                <c:pt idx="19">
                  <c:v>10877761.839999991</c:v>
                </c:pt>
                <c:pt idx="20">
                  <c:v>8683529.4600000009</c:v>
                </c:pt>
                <c:pt idx="21">
                  <c:v>7164549.3999999985</c:v>
                </c:pt>
                <c:pt idx="22">
                  <c:v>6795063.6899999976</c:v>
                </c:pt>
                <c:pt idx="23">
                  <c:v>5210474.4200000018</c:v>
                </c:pt>
                <c:pt idx="24">
                  <c:v>4594798.3899999997</c:v>
                </c:pt>
                <c:pt idx="25">
                  <c:v>2605194.600000001</c:v>
                </c:pt>
                <c:pt idx="26">
                  <c:v>2810800.05</c:v>
                </c:pt>
                <c:pt idx="27">
                  <c:v>2086765.5199999998</c:v>
                </c:pt>
                <c:pt idx="28">
                  <c:v>1710361.5499999998</c:v>
                </c:pt>
                <c:pt idx="29">
                  <c:v>1059293.57</c:v>
                </c:pt>
                <c:pt idx="30">
                  <c:v>853699.60999999987</c:v>
                </c:pt>
                <c:pt idx="31">
                  <c:v>377033.99</c:v>
                </c:pt>
                <c:pt idx="32">
                  <c:v>581684.47000000009</c:v>
                </c:pt>
                <c:pt idx="33">
                  <c:v>267377</c:v>
                </c:pt>
                <c:pt idx="34">
                  <c:v>0</c:v>
                </c:pt>
                <c:pt idx="35">
                  <c:v>140825.83000000002</c:v>
                </c:pt>
                <c:pt idx="36">
                  <c:v>0</c:v>
                </c:pt>
                <c:pt idx="37">
                  <c:v>0</c:v>
                </c:pt>
                <c:pt idx="38">
                  <c:v>152957.32</c:v>
                </c:pt>
                <c:pt idx="39">
                  <c:v>0</c:v>
                </c:pt>
                <c:pt idx="40">
                  <c:v>81268.55</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788929816"/>
        <c:axId val="788928640"/>
      </c:barChart>
      <c:catAx>
        <c:axId val="788929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788928640"/>
        <c:crosses val="autoZero"/>
        <c:auto val="1"/>
        <c:lblAlgn val="ctr"/>
        <c:lblOffset val="100"/>
        <c:tickLblSkip val="1"/>
        <c:tickMarkSkip val="1"/>
        <c:noMultiLvlLbl val="0"/>
      </c:catAx>
      <c:valAx>
        <c:axId val="7889286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2981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66138968.780000061</c:v>
                </c:pt>
                <c:pt idx="1">
                  <c:v>72358292.630000025</c:v>
                </c:pt>
                <c:pt idx="2">
                  <c:v>21013659.469999984</c:v>
                </c:pt>
                <c:pt idx="3">
                  <c:v>18829221.300000016</c:v>
                </c:pt>
                <c:pt idx="4">
                  <c:v>3623846.0800000015</c:v>
                </c:pt>
                <c:pt idx="5">
                  <c:v>9123750.1500000041</c:v>
                </c:pt>
                <c:pt idx="6">
                  <c:v>39408794.560000062</c:v>
                </c:pt>
                <c:pt idx="7">
                  <c:v>49425898.309999987</c:v>
                </c:pt>
                <c:pt idx="8">
                  <c:v>16113465.550000021</c:v>
                </c:pt>
                <c:pt idx="9">
                  <c:v>112320176.33</c:v>
                </c:pt>
                <c:pt idx="10">
                  <c:v>25130251.959999938</c:v>
                </c:pt>
                <c:pt idx="11">
                  <c:v>7151514.2299999949</c:v>
                </c:pt>
                <c:pt idx="12">
                  <c:v>22396066.390000004</c:v>
                </c:pt>
                <c:pt idx="13">
                  <c:v>17034019.470000051</c:v>
                </c:pt>
                <c:pt idx="14">
                  <c:v>17975344.360000037</c:v>
                </c:pt>
                <c:pt idx="15">
                  <c:v>13566803.150000015</c:v>
                </c:pt>
                <c:pt idx="16">
                  <c:v>1793163.5299999991</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84311312"/>
        <c:axId val="584312488"/>
      </c:barChart>
      <c:catAx>
        <c:axId val="584311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84312488"/>
        <c:crosses val="autoZero"/>
        <c:auto val="1"/>
        <c:lblAlgn val="ctr"/>
        <c:lblOffset val="100"/>
        <c:tickLblSkip val="1"/>
        <c:tickMarkSkip val="1"/>
        <c:noMultiLvlLbl val="0"/>
      </c:catAx>
      <c:valAx>
        <c:axId val="5843124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843113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273229.56000000006</c:v>
                </c:pt>
                <c:pt idx="1">
                  <c:v>8406892.2299999986</c:v>
                </c:pt>
                <c:pt idx="2">
                  <c:v>105590746.01000032</c:v>
                </c:pt>
                <c:pt idx="3">
                  <c:v>71738457.900000215</c:v>
                </c:pt>
                <c:pt idx="4">
                  <c:v>70728295.929999858</c:v>
                </c:pt>
                <c:pt idx="5">
                  <c:v>71571813.970000163</c:v>
                </c:pt>
                <c:pt idx="6">
                  <c:v>111834704.1899998</c:v>
                </c:pt>
                <c:pt idx="7">
                  <c:v>54779000.469999932</c:v>
                </c:pt>
                <c:pt idx="8">
                  <c:v>12755384.749999998</c:v>
                </c:pt>
                <c:pt idx="9">
                  <c:v>4556042.459999999</c:v>
                </c:pt>
                <c:pt idx="10">
                  <c:v>613304.0399999998</c:v>
                </c:pt>
                <c:pt idx="11">
                  <c:v>435043.42999999988</c:v>
                </c:pt>
                <c:pt idx="12">
                  <c:v>104539.1</c:v>
                </c:pt>
                <c:pt idx="13">
                  <c:v>15782.21</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788969840"/>
        <c:axId val="788970232"/>
      </c:barChart>
      <c:catAx>
        <c:axId val="788969840"/>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70232"/>
        <c:crosses val="autoZero"/>
        <c:auto val="1"/>
        <c:lblAlgn val="ctr"/>
        <c:lblOffset val="100"/>
        <c:tickLblSkip val="1"/>
        <c:tickMarkSkip val="1"/>
        <c:noMultiLvlLbl val="0"/>
      </c:catAx>
      <c:valAx>
        <c:axId val="788970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9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0</c:v>
                </c:pt>
                <c:pt idx="5">
                  <c:v>0</c:v>
                </c:pt>
                <c:pt idx="6">
                  <c:v>0</c:v>
                </c:pt>
                <c:pt idx="7">
                  <c:v>0</c:v>
                </c:pt>
                <c:pt idx="8">
                  <c:v>0</c:v>
                </c:pt>
                <c:pt idx="9">
                  <c:v>0</c:v>
                </c:pt>
                <c:pt idx="10">
                  <c:v>119911.50999999998</c:v>
                </c:pt>
                <c:pt idx="11">
                  <c:v>17477717.320000004</c:v>
                </c:pt>
                <c:pt idx="12">
                  <c:v>44750548.830000073</c:v>
                </c:pt>
                <c:pt idx="13">
                  <c:v>54988710.709999852</c:v>
                </c:pt>
                <c:pt idx="14">
                  <c:v>82702337.55000028</c:v>
                </c:pt>
                <c:pt idx="15">
                  <c:v>140559689.71999967</c:v>
                </c:pt>
                <c:pt idx="16">
                  <c:v>87647205.270000085</c:v>
                </c:pt>
                <c:pt idx="17">
                  <c:v>46319311.110000074</c:v>
                </c:pt>
                <c:pt idx="18">
                  <c:v>29480944.270000048</c:v>
                </c:pt>
                <c:pt idx="19">
                  <c:v>5548161.459999999</c:v>
                </c:pt>
                <c:pt idx="20">
                  <c:v>1111223.7000000002</c:v>
                </c:pt>
                <c:pt idx="21">
                  <c:v>1197155.27</c:v>
                </c:pt>
                <c:pt idx="22">
                  <c:v>940236.95999999961</c:v>
                </c:pt>
                <c:pt idx="23">
                  <c:v>67090.7</c:v>
                </c:pt>
                <c:pt idx="24">
                  <c:v>158888.90999999995</c:v>
                </c:pt>
                <c:pt idx="25">
                  <c:v>189269.3</c:v>
                </c:pt>
                <c:pt idx="26">
                  <c:v>106999.61</c:v>
                </c:pt>
                <c:pt idx="27">
                  <c:v>37834.050000000003</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788965136"/>
        <c:axId val="788967488"/>
      </c:barChart>
      <c:catAx>
        <c:axId val="7889651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67488"/>
        <c:crosses val="autoZero"/>
        <c:auto val="1"/>
        <c:lblAlgn val="ctr"/>
        <c:lblOffset val="100"/>
        <c:tickLblSkip val="1"/>
        <c:tickMarkSkip val="1"/>
        <c:noMultiLvlLbl val="0"/>
      </c:catAx>
      <c:valAx>
        <c:axId val="7889674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51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2525575.7799999989</c:v>
                </c:pt>
                <c:pt idx="1">
                  <c:v>7965358.6700000167</c:v>
                </c:pt>
                <c:pt idx="2">
                  <c:v>14934871.309999974</c:v>
                </c:pt>
                <c:pt idx="3">
                  <c:v>19182495.560000002</c:v>
                </c:pt>
                <c:pt idx="4">
                  <c:v>32624717.650000017</c:v>
                </c:pt>
                <c:pt idx="5">
                  <c:v>57979600.619999856</c:v>
                </c:pt>
                <c:pt idx="6">
                  <c:v>95576119.020000085</c:v>
                </c:pt>
                <c:pt idx="7">
                  <c:v>165598611.12999991</c:v>
                </c:pt>
                <c:pt idx="8">
                  <c:v>89395626.510000274</c:v>
                </c:pt>
                <c:pt idx="9">
                  <c:v>22176585.850000042</c:v>
                </c:pt>
                <c:pt idx="10">
                  <c:v>3996430.4200000009</c:v>
                </c:pt>
                <c:pt idx="11">
                  <c:v>663837.43000000005</c:v>
                </c:pt>
                <c:pt idx="12">
                  <c:v>138624.96000000002</c:v>
                </c:pt>
                <c:pt idx="13">
                  <c:v>168811.37</c:v>
                </c:pt>
                <c:pt idx="14">
                  <c:v>475969.97</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788966704"/>
        <c:axId val="788967880"/>
      </c:barChart>
      <c:catAx>
        <c:axId val="78896670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67880"/>
        <c:crosses val="autoZero"/>
        <c:auto val="1"/>
        <c:lblAlgn val="ctr"/>
        <c:lblOffset val="100"/>
        <c:tickLblSkip val="1"/>
        <c:tickMarkSkip val="1"/>
        <c:noMultiLvlLbl val="0"/>
      </c:catAx>
      <c:valAx>
        <c:axId val="7889678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670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-16493.349999999999</c:v>
                </c:pt>
                <c:pt idx="1">
                  <c:v>-1419.16</c:v>
                </c:pt>
                <c:pt idx="2">
                  <c:v>-39063.72</c:v>
                </c:pt>
                <c:pt idx="3">
                  <c:v>-9680.35</c:v>
                </c:pt>
                <c:pt idx="4">
                  <c:v>84917.000000000029</c:v>
                </c:pt>
                <c:pt idx="5">
                  <c:v>432042.43000000028</c:v>
                </c:pt>
                <c:pt idx="6">
                  <c:v>4671832.0299999882</c:v>
                </c:pt>
                <c:pt idx="7">
                  <c:v>17564027.799999975</c:v>
                </c:pt>
                <c:pt idx="8">
                  <c:v>6251905.4299999997</c:v>
                </c:pt>
                <c:pt idx="9">
                  <c:v>28766540.019999985</c:v>
                </c:pt>
                <c:pt idx="10">
                  <c:v>11545448.809999993</c:v>
                </c:pt>
                <c:pt idx="11">
                  <c:v>90091320.579999954</c:v>
                </c:pt>
                <c:pt idx="12">
                  <c:v>194728123.39000109</c:v>
                </c:pt>
                <c:pt idx="13">
                  <c:v>130609311.6100004</c:v>
                </c:pt>
                <c:pt idx="14">
                  <c:v>22035820.049999993</c:v>
                </c:pt>
                <c:pt idx="15">
                  <c:v>6688603.6800000006</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788965920"/>
        <c:axId val="788971408"/>
      </c:barChart>
      <c:catAx>
        <c:axId val="78896592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71408"/>
        <c:crosses val="autoZero"/>
        <c:auto val="1"/>
        <c:lblAlgn val="ctr"/>
        <c:lblOffset val="100"/>
        <c:tickLblSkip val="1"/>
        <c:tickMarkSkip val="1"/>
        <c:noMultiLvlLbl val="0"/>
      </c:catAx>
      <c:valAx>
        <c:axId val="78897140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59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2021-1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editAs="oneCell">
    <xdr:from>
      <xdr:col>0</xdr:col>
      <xdr:colOff>126555</xdr:colOff>
      <xdr:row>41</xdr:row>
      <xdr:rowOff>152422</xdr:rowOff>
    </xdr:from>
    <xdr:to>
      <xdr:col>3</xdr:col>
      <xdr:colOff>559455</xdr:colOff>
      <xdr:row>51</xdr:row>
      <xdr:rowOff>1403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126555" y="7181872"/>
          <a:ext cx="2833200" cy="1563481"/>
        </a:xfrm>
        <a:prstGeom prst="rect">
          <a:avLst/>
        </a:prstGeom>
      </xdr:spPr>
    </xdr:pic>
    <xdr:clientData/>
  </xdr:twoCellAnchor>
  <xdr:twoCellAnchor>
    <xdr:from>
      <xdr:col>0</xdr:col>
      <xdr:colOff>143930</xdr:colOff>
      <xdr:row>52</xdr:row>
      <xdr:rowOff>12143</xdr:rowOff>
    </xdr:from>
    <xdr:to>
      <xdr:col>3</xdr:col>
      <xdr:colOff>573855</xdr:colOff>
      <xdr:row>57</xdr:row>
      <xdr:rowOff>179769</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3930" y="8927543"/>
          <a:ext cx="2830225" cy="1024876"/>
        </a:xfrm>
        <a:prstGeom prst="rect">
          <a:avLst/>
        </a:prstGeom>
      </xdr:spPr>
    </xdr:pic>
    <xdr:clientData/>
  </xdr:twoCellAnchor>
  <xdr:twoCellAnchor editAs="oneCell">
    <xdr:from>
      <xdr:col>18</xdr:col>
      <xdr:colOff>380997</xdr:colOff>
      <xdr:row>15</xdr:row>
      <xdr:rowOff>114300</xdr:rowOff>
    </xdr:from>
    <xdr:to>
      <xdr:col>20</xdr:col>
      <xdr:colOff>541622</xdr:colOff>
      <xdr:row>57</xdr:row>
      <xdr:rowOff>68142</xdr:rowOff>
    </xdr:to>
    <xdr:pic>
      <xdr:nvPicPr>
        <xdr:cNvPr id="3" name="Grafik 2">
          <a:extLst>
            <a:ext uri="{FF2B5EF4-FFF2-40B4-BE49-F238E27FC236}">
              <a16:creationId xmlns:a16="http://schemas.microsoft.com/office/drawing/2014/main" id="{28C365A4-032D-7427-E88E-EC9D51F93B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82797" y="2686050"/>
          <a:ext cx="1760825" cy="71547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6350</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2409825</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Securitization\Projects\IR%20in%20SAS\SCGC%2022-1\Monthly_Report_SC%20Germany%20Consumer%2022-1_Vorlage.xlsx" TargetMode="External"/><Relationship Id="rId1" Type="http://schemas.openxmlformats.org/officeDocument/2006/relationships/externalLinkPath" Target="/Securitization/Projects/IR%20in%20SAS/SCGC%2022-1/Monthly_Report_SC%20Germany%20Consumer%2022-1_Vorlag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Verbriefung\Reporting\Reporting%20SC%20Germany%20Consumer%2023-1\Fertige%20Analysen\Investor_Report_SC%20Germany%20Consumer%2023-1_2023.12.31.xlsx" TargetMode="External"/><Relationship Id="rId1" Type="http://schemas.openxmlformats.org/officeDocument/2006/relationships/externalLinkPath" Target="/Verbriefung/Reporting/Reporting%20SC%20Germany%20Consumer%2023-1/Fertige%20Analysen/Investor_Report_SC%20Germany%20Consumer%2023-1_2023.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B1" t="str">
            <v>RANGE</v>
          </cell>
          <cell r="C1" t="str">
            <v>_FREQ_</v>
          </cell>
          <cell r="D1" t="str">
            <v>RANGEVAL</v>
          </cell>
        </row>
        <row r="2">
          <cell r="B2" t="str">
            <v>CPB_    0: 1999</v>
          </cell>
        </row>
        <row r="3">
          <cell r="B3" t="str">
            <v>CPB_ 2000: 3999</v>
          </cell>
        </row>
        <row r="4">
          <cell r="B4" t="str">
            <v>CPB_ 4000: 5999</v>
          </cell>
        </row>
        <row r="5">
          <cell r="B5" t="str">
            <v>CPB_ 6000: 7999</v>
          </cell>
        </row>
        <row r="6">
          <cell r="B6" t="str">
            <v>CPB_ 8000: 9999</v>
          </cell>
        </row>
        <row r="7">
          <cell r="B7" t="str">
            <v>CPB_10000:11999</v>
          </cell>
        </row>
        <row r="8">
          <cell r="B8" t="str">
            <v>CPB_12000:13999</v>
          </cell>
        </row>
        <row r="9">
          <cell r="B9" t="str">
            <v>CPB_14000:15999</v>
          </cell>
        </row>
        <row r="10">
          <cell r="B10" t="str">
            <v>CPB_16000:17999</v>
          </cell>
        </row>
        <row r="11">
          <cell r="B11" t="str">
            <v>CPB_18000:19999</v>
          </cell>
        </row>
        <row r="12">
          <cell r="B12" t="str">
            <v>CPB_20000:21999</v>
          </cell>
        </row>
        <row r="13">
          <cell r="B13" t="str">
            <v>CPB_22000:23999</v>
          </cell>
        </row>
        <row r="14">
          <cell r="B14" t="str">
            <v>CPB_24000:25999</v>
          </cell>
        </row>
        <row r="15">
          <cell r="B15" t="str">
            <v>CPB_26000:27999</v>
          </cell>
        </row>
        <row r="16">
          <cell r="B16" t="str">
            <v>CPB_28000:29999</v>
          </cell>
        </row>
        <row r="17">
          <cell r="B17" t="str">
            <v>CPB_30000:31999</v>
          </cell>
        </row>
        <row r="18">
          <cell r="B18" t="str">
            <v>CPB_32000:33999</v>
          </cell>
        </row>
        <row r="19">
          <cell r="B19" t="str">
            <v>CPB_34000:35999</v>
          </cell>
        </row>
        <row r="20">
          <cell r="B20" t="str">
            <v>CPB_36000:37999</v>
          </cell>
        </row>
        <row r="21">
          <cell r="B21" t="str">
            <v>CPB_38000:39999</v>
          </cell>
        </row>
        <row r="22">
          <cell r="B22" t="str">
            <v>CPB_40000:41999</v>
          </cell>
        </row>
        <row r="23">
          <cell r="B23" t="str">
            <v>CPB_42000:43999</v>
          </cell>
        </row>
        <row r="24">
          <cell r="B24" t="str">
            <v>CPB_44000:45999</v>
          </cell>
        </row>
        <row r="25">
          <cell r="B25" t="str">
            <v>CPB_46000:47999</v>
          </cell>
        </row>
        <row r="26">
          <cell r="B26" t="str">
            <v>CPB_48000:49999</v>
          </cell>
        </row>
        <row r="27">
          <cell r="B27" t="str">
            <v>CPB_50000:51999</v>
          </cell>
        </row>
        <row r="28">
          <cell r="B28" t="str">
            <v>CPB_52000:53999</v>
          </cell>
        </row>
        <row r="29">
          <cell r="B29" t="str">
            <v>CPB_54000:55999</v>
          </cell>
        </row>
        <row r="30">
          <cell r="B30" t="str">
            <v>CPB_56000:57999</v>
          </cell>
        </row>
        <row r="31">
          <cell r="B31" t="str">
            <v>CPB_58000:59999</v>
          </cell>
        </row>
        <row r="32">
          <cell r="B32" t="str">
            <v>CPB_60000:61999</v>
          </cell>
        </row>
        <row r="33">
          <cell r="B33" t="str">
            <v>CPB_62000:63999</v>
          </cell>
        </row>
        <row r="34">
          <cell r="B34" t="str">
            <v>CPB_64000:65999</v>
          </cell>
        </row>
        <row r="35">
          <cell r="B35" t="str">
            <v>CPB_66000:67999</v>
          </cell>
        </row>
        <row r="36">
          <cell r="B36" t="str">
            <v>CPB_68000:69999</v>
          </cell>
        </row>
        <row r="37">
          <cell r="B37" t="str">
            <v>CPB_70000:71999</v>
          </cell>
        </row>
        <row r="38">
          <cell r="B38" t="str">
            <v>CPB_72000:73999</v>
          </cell>
        </row>
        <row r="39">
          <cell r="B39" t="str">
            <v>CPB_74000:75999</v>
          </cell>
        </row>
        <row r="40">
          <cell r="B40" t="str">
            <v>CPB_76000:77999</v>
          </cell>
        </row>
        <row r="41">
          <cell r="B41" t="str">
            <v>CPB_78000:79999</v>
          </cell>
        </row>
        <row r="42">
          <cell r="B42" t="str">
            <v>CPB_80000:</v>
          </cell>
        </row>
        <row r="43">
          <cell r="B43" t="str">
            <v>Interest_ 0: 0</v>
          </cell>
        </row>
        <row r="44">
          <cell r="B44" t="str">
            <v>Interest_ 1: 1</v>
          </cell>
        </row>
        <row r="45">
          <cell r="B45" t="str">
            <v>Interest_ 2: 2</v>
          </cell>
        </row>
        <row r="46">
          <cell r="B46" t="str">
            <v>Interest_ 3: 3</v>
          </cell>
        </row>
        <row r="47">
          <cell r="B47" t="str">
            <v>Interest_ 4: 4</v>
          </cell>
        </row>
        <row r="48">
          <cell r="B48" t="str">
            <v>Interest_ 5: 5</v>
          </cell>
        </row>
        <row r="49">
          <cell r="B49" t="str">
            <v>Interest_ 6: 6</v>
          </cell>
        </row>
        <row r="50">
          <cell r="B50" t="str">
            <v>Interest_ 7: 7</v>
          </cell>
        </row>
        <row r="51">
          <cell r="B51" t="str">
            <v>Interest_ 8: 8</v>
          </cell>
        </row>
        <row r="52">
          <cell r="B52" t="str">
            <v>Interest_ 9: 9</v>
          </cell>
        </row>
        <row r="53">
          <cell r="B53" t="str">
            <v>Interest_10:10</v>
          </cell>
        </row>
        <row r="54">
          <cell r="B54" t="str">
            <v>Interest_11:11</v>
          </cell>
        </row>
        <row r="55">
          <cell r="B55" t="str">
            <v>Interest_12:12</v>
          </cell>
        </row>
        <row r="56">
          <cell r="B56" t="str">
            <v>Interest_13:</v>
          </cell>
        </row>
        <row r="57">
          <cell r="B57" t="str">
            <v>OPB_     0:  1999</v>
          </cell>
        </row>
        <row r="58">
          <cell r="B58" t="str">
            <v>OPB_  2000:  3999</v>
          </cell>
        </row>
        <row r="59">
          <cell r="B59" t="str">
            <v>OPB_  4000:  5999</v>
          </cell>
        </row>
        <row r="60">
          <cell r="B60" t="str">
            <v>OPB_  6000:  7999</v>
          </cell>
        </row>
        <row r="61">
          <cell r="B61" t="str">
            <v>OPB_  8000:  9999</v>
          </cell>
        </row>
        <row r="62">
          <cell r="B62" t="str">
            <v>OPB_ 10000: 11999</v>
          </cell>
        </row>
        <row r="63">
          <cell r="B63" t="str">
            <v>OPB_ 12000: 13999</v>
          </cell>
        </row>
        <row r="64">
          <cell r="B64" t="str">
            <v>OPB_ 14000: 15999</v>
          </cell>
        </row>
        <row r="65">
          <cell r="B65" t="str">
            <v>OPB_ 16000: 17999</v>
          </cell>
        </row>
        <row r="66">
          <cell r="B66" t="str">
            <v>OPB_ 18000: 19999</v>
          </cell>
        </row>
        <row r="67">
          <cell r="B67" t="str">
            <v>OPB_ 20000: 21999</v>
          </cell>
        </row>
        <row r="68">
          <cell r="B68" t="str">
            <v>OPB_ 22000: 23999</v>
          </cell>
        </row>
        <row r="69">
          <cell r="B69" t="str">
            <v>OPB_ 24000: 25999</v>
          </cell>
        </row>
        <row r="70">
          <cell r="B70" t="str">
            <v>OPB_ 26000: 27999</v>
          </cell>
        </row>
        <row r="71">
          <cell r="B71" t="str">
            <v>OPB_ 28000: 29999</v>
          </cell>
        </row>
        <row r="72">
          <cell r="B72" t="str">
            <v>OPB_ 30000: 31999</v>
          </cell>
        </row>
        <row r="73">
          <cell r="B73" t="str">
            <v>OPB_ 32000: 33999</v>
          </cell>
        </row>
        <row r="74">
          <cell r="B74" t="str">
            <v>OPB_ 34000: 35999</v>
          </cell>
        </row>
        <row r="75">
          <cell r="B75" t="str">
            <v>OPB_ 36000: 37999</v>
          </cell>
        </row>
        <row r="76">
          <cell r="B76" t="str">
            <v>OPB_ 38000: 39999</v>
          </cell>
        </row>
        <row r="77">
          <cell r="B77" t="str">
            <v>OPB_ 40000: 41999</v>
          </cell>
        </row>
        <row r="78">
          <cell r="B78" t="str">
            <v>OPB_ 42000: 43999</v>
          </cell>
        </row>
        <row r="79">
          <cell r="B79" t="str">
            <v>OPB_ 44000: 45999</v>
          </cell>
        </row>
        <row r="80">
          <cell r="B80" t="str">
            <v>OPB_ 46000: 47999</v>
          </cell>
        </row>
        <row r="81">
          <cell r="B81" t="str">
            <v>OPB_ 48000: 49999</v>
          </cell>
        </row>
        <row r="82">
          <cell r="B82" t="str">
            <v>OPB_ 50000: 51999</v>
          </cell>
        </row>
        <row r="83">
          <cell r="B83" t="str">
            <v>OPB_ 52000: 53999</v>
          </cell>
        </row>
        <row r="84">
          <cell r="B84" t="str">
            <v>OPB_ 54000: 55999</v>
          </cell>
        </row>
        <row r="85">
          <cell r="B85" t="str">
            <v>OPB_ 56000: 57999</v>
          </cell>
        </row>
        <row r="86">
          <cell r="B86" t="str">
            <v>OPB_ 58000: 59999</v>
          </cell>
        </row>
        <row r="87">
          <cell r="B87" t="str">
            <v>OPB_ 60000: 61999</v>
          </cell>
        </row>
        <row r="88">
          <cell r="B88" t="str">
            <v>OPB_ 62000: 63999</v>
          </cell>
        </row>
        <row r="89">
          <cell r="B89" t="str">
            <v>OPB_ 64000: 65999</v>
          </cell>
        </row>
        <row r="90">
          <cell r="B90" t="str">
            <v>OPB_ 66000: 67999</v>
          </cell>
        </row>
        <row r="91">
          <cell r="B91" t="str">
            <v>OPB_ 68000: 69999</v>
          </cell>
        </row>
        <row r="92">
          <cell r="B92" t="str">
            <v>OPB_ 70000: 71999</v>
          </cell>
        </row>
        <row r="93">
          <cell r="B93" t="str">
            <v>OPB_ 72000: 73999</v>
          </cell>
        </row>
        <row r="94">
          <cell r="B94" t="str">
            <v>OPB_ 74000: 75999</v>
          </cell>
        </row>
        <row r="95">
          <cell r="B95" t="str">
            <v>OPB_ 76000: 77999</v>
          </cell>
        </row>
        <row r="96">
          <cell r="B96" t="str">
            <v>OPB_ 78000: 79999</v>
          </cell>
        </row>
        <row r="97">
          <cell r="B97" t="str">
            <v>OPB_ 80000: 81999</v>
          </cell>
        </row>
        <row r="98">
          <cell r="B98" t="str">
            <v>OPB_ 82000: 83999</v>
          </cell>
        </row>
        <row r="99">
          <cell r="B99" t="str">
            <v>OPB_ 84000: 85999</v>
          </cell>
        </row>
        <row r="100">
          <cell r="B100" t="str">
            <v>OPB_ 86000: 87999</v>
          </cell>
        </row>
        <row r="101">
          <cell r="B101" t="str">
            <v>OPB_ 88000: 89999</v>
          </cell>
        </row>
        <row r="102">
          <cell r="B102" t="str">
            <v>OPB_ 90000: 91999</v>
          </cell>
        </row>
        <row r="103">
          <cell r="B103" t="str">
            <v>OPB_ 92000: 93999</v>
          </cell>
        </row>
        <row r="104">
          <cell r="B104" t="str">
            <v>OPB_ 94000: 95999</v>
          </cell>
        </row>
        <row r="105">
          <cell r="B105" t="str">
            <v>OPB_ 96000: 97999</v>
          </cell>
        </row>
        <row r="106">
          <cell r="B106" t="str">
            <v>OPB_ 98000: 99999</v>
          </cell>
        </row>
        <row r="107">
          <cell r="B107" t="str">
            <v>OPB_100000:</v>
          </cell>
        </row>
        <row r="108">
          <cell r="B108" t="str">
            <v>borrower_1</v>
          </cell>
        </row>
        <row r="109">
          <cell r="B109" t="str">
            <v>borrower_10</v>
          </cell>
        </row>
        <row r="110">
          <cell r="B110" t="str">
            <v>borrower_11</v>
          </cell>
        </row>
        <row r="111">
          <cell r="B111" t="str">
            <v>borrower_12</v>
          </cell>
        </row>
        <row r="112">
          <cell r="B112" t="str">
            <v>borrower_13</v>
          </cell>
        </row>
        <row r="113">
          <cell r="B113" t="str">
            <v>borrower_14</v>
          </cell>
        </row>
        <row r="114">
          <cell r="B114" t="str">
            <v>borrower_15</v>
          </cell>
        </row>
        <row r="115">
          <cell r="B115" t="str">
            <v>borrower_16</v>
          </cell>
        </row>
        <row r="116">
          <cell r="B116" t="str">
            <v>borrower_17</v>
          </cell>
        </row>
        <row r="117">
          <cell r="B117" t="str">
            <v>borrower_18</v>
          </cell>
        </row>
        <row r="118">
          <cell r="B118" t="str">
            <v>borrower_19</v>
          </cell>
        </row>
        <row r="119">
          <cell r="B119" t="str">
            <v>borrower_2</v>
          </cell>
        </row>
        <row r="120">
          <cell r="B120" t="str">
            <v>borrower_20</v>
          </cell>
        </row>
        <row r="121">
          <cell r="B121" t="str">
            <v>borrower_21</v>
          </cell>
        </row>
        <row r="122">
          <cell r="B122" t="str">
            <v>borrower_22</v>
          </cell>
        </row>
        <row r="123">
          <cell r="B123" t="str">
            <v>borrower_23</v>
          </cell>
        </row>
        <row r="124">
          <cell r="B124" t="str">
            <v>borrower_24</v>
          </cell>
        </row>
        <row r="125">
          <cell r="B125" t="str">
            <v>borrower_25</v>
          </cell>
        </row>
        <row r="126">
          <cell r="B126" t="str">
            <v>borrower_3</v>
          </cell>
        </row>
        <row r="127">
          <cell r="B127" t="str">
            <v>borrower_4</v>
          </cell>
        </row>
        <row r="128">
          <cell r="B128" t="str">
            <v>borrower_5</v>
          </cell>
        </row>
        <row r="129">
          <cell r="B129" t="str">
            <v>borrower_6</v>
          </cell>
        </row>
        <row r="130">
          <cell r="B130" t="str">
            <v>borrower_7</v>
          </cell>
        </row>
        <row r="131">
          <cell r="B131" t="str">
            <v>borrower_8</v>
          </cell>
        </row>
        <row r="132">
          <cell r="B132" t="str">
            <v>borrower_9</v>
          </cell>
        </row>
        <row r="133">
          <cell r="B133" t="str">
            <v>collateral_secured</v>
          </cell>
        </row>
        <row r="134">
          <cell r="B134" t="str">
            <v>collateral_unsecured</v>
          </cell>
        </row>
        <row r="135">
          <cell r="B135" t="str">
            <v>geo_Baden-Wuerttemberg</v>
          </cell>
        </row>
        <row r="136">
          <cell r="B136" t="str">
            <v>geo_Bavaria</v>
          </cell>
        </row>
        <row r="137">
          <cell r="B137" t="str">
            <v>geo_Berlin</v>
          </cell>
        </row>
        <row r="138">
          <cell r="B138" t="str">
            <v>geo_Brandenburg</v>
          </cell>
        </row>
        <row r="139">
          <cell r="B139" t="str">
            <v>geo_Bremen</v>
          </cell>
        </row>
        <row r="140">
          <cell r="B140" t="str">
            <v>geo_Hamburg</v>
          </cell>
        </row>
        <row r="141">
          <cell r="B141" t="str">
            <v>geo_Hesse</v>
          </cell>
        </row>
        <row r="142">
          <cell r="B142" t="str">
            <v>geo_Lower Saxony</v>
          </cell>
        </row>
        <row r="143">
          <cell r="B143" t="str">
            <v>geo_Mecklenburg-Western Pomerania</v>
          </cell>
        </row>
        <row r="144">
          <cell r="B144" t="str">
            <v>geo_North Rhine-Westphalia</v>
          </cell>
        </row>
        <row r="145">
          <cell r="B145" t="str">
            <v>geo_Rhineland-Palatinate</v>
          </cell>
        </row>
        <row r="146">
          <cell r="B146" t="str">
            <v>geo_Saarland</v>
          </cell>
        </row>
        <row r="147">
          <cell r="B147" t="str">
            <v>geo_Saxonia</v>
          </cell>
        </row>
        <row r="148">
          <cell r="B148" t="str">
            <v>geo_Saxony-Anhalt</v>
          </cell>
        </row>
        <row r="149">
          <cell r="B149" t="str">
            <v>geo_Schleswig-Holstein</v>
          </cell>
        </row>
        <row r="150">
          <cell r="B150" t="str">
            <v>geo_Thuringia</v>
          </cell>
        </row>
        <row r="151">
          <cell r="B151" t="str">
            <v>geo_n/a</v>
          </cell>
        </row>
        <row r="152">
          <cell r="B152" t="str">
            <v>insurance_no</v>
          </cell>
        </row>
        <row r="153">
          <cell r="B153" t="str">
            <v>insurance_yes</v>
          </cell>
        </row>
        <row r="154">
          <cell r="B154" t="str">
            <v>interest_wa interest</v>
          </cell>
        </row>
        <row r="155">
          <cell r="B155" t="str">
            <v>loanconc_ 1: 1</v>
          </cell>
        </row>
        <row r="156">
          <cell r="B156" t="str">
            <v>loanconc_ 2: 2</v>
          </cell>
        </row>
        <row r="157">
          <cell r="B157" t="str">
            <v>loanconc_ 3: 3</v>
          </cell>
        </row>
        <row r="158">
          <cell r="B158" t="str">
            <v>loanconc_ 4: 4</v>
          </cell>
        </row>
        <row r="159">
          <cell r="B159" t="str">
            <v>loanconc_ 5: 5</v>
          </cell>
        </row>
        <row r="160">
          <cell r="B160" t="str">
            <v>loanconc_ 6: 6</v>
          </cell>
        </row>
        <row r="161">
          <cell r="B161" t="str">
            <v>loanconc_ 7:</v>
          </cell>
        </row>
        <row r="162">
          <cell r="B162" t="str">
            <v>origterm_ 14: 20</v>
          </cell>
        </row>
        <row r="163">
          <cell r="B163" t="str">
            <v>origterm_ 21: 27</v>
          </cell>
        </row>
        <row r="164">
          <cell r="B164" t="str">
            <v>origterm_ 28: 34</v>
          </cell>
        </row>
        <row r="165">
          <cell r="B165" t="str">
            <v>origterm_ 35: 41</v>
          </cell>
        </row>
        <row r="166">
          <cell r="B166" t="str">
            <v>origterm_ 42: 48</v>
          </cell>
        </row>
        <row r="167">
          <cell r="B167" t="str">
            <v>origterm_ 49: 55</v>
          </cell>
        </row>
        <row r="168">
          <cell r="B168" t="str">
            <v>origterm_ 56: 62</v>
          </cell>
        </row>
        <row r="169">
          <cell r="B169" t="str">
            <v>origterm_ 63: 69</v>
          </cell>
        </row>
        <row r="170">
          <cell r="B170" t="str">
            <v>origterm_ 70: 76</v>
          </cell>
        </row>
        <row r="171">
          <cell r="B171" t="str">
            <v>origterm_ 77: 83</v>
          </cell>
        </row>
        <row r="172">
          <cell r="B172" t="str">
            <v>origterm_ 84: 90</v>
          </cell>
        </row>
        <row r="173">
          <cell r="B173" t="str">
            <v>origterm_ 91: 97</v>
          </cell>
        </row>
        <row r="174">
          <cell r="B174" t="str">
            <v>origterm_ 98:104</v>
          </cell>
        </row>
        <row r="175">
          <cell r="B175" t="str">
            <v>origterm_0: 13</v>
          </cell>
        </row>
        <row r="176">
          <cell r="B176" t="str">
            <v>origterm_105:111</v>
          </cell>
        </row>
        <row r="177">
          <cell r="B177" t="str">
            <v>origterm_112:</v>
          </cell>
        </row>
        <row r="178">
          <cell r="B178" t="str">
            <v>origterm_wa original term</v>
          </cell>
        </row>
        <row r="179">
          <cell r="B179" t="str">
            <v>payment_15th of month</v>
          </cell>
        </row>
        <row r="180">
          <cell r="B180" t="str">
            <v>payment_1st of month</v>
          </cell>
        </row>
        <row r="181">
          <cell r="B181" t="str">
            <v>payment_direct debit</v>
          </cell>
        </row>
        <row r="182">
          <cell r="B182" t="str">
            <v>payment_other</v>
          </cell>
        </row>
        <row r="183">
          <cell r="B183" t="str">
            <v>period_1</v>
          </cell>
        </row>
        <row r="184">
          <cell r="B184" t="str">
            <v>period_10</v>
          </cell>
        </row>
        <row r="185">
          <cell r="B185" t="str">
            <v>period_100</v>
          </cell>
        </row>
        <row r="186">
          <cell r="B186" t="str">
            <v>period_101</v>
          </cell>
        </row>
        <row r="187">
          <cell r="B187" t="str">
            <v>period_11</v>
          </cell>
        </row>
        <row r="188">
          <cell r="B188" t="str">
            <v>period_12</v>
          </cell>
        </row>
        <row r="189">
          <cell r="B189" t="str">
            <v>period_13</v>
          </cell>
        </row>
        <row r="190">
          <cell r="B190" t="str">
            <v>period_14</v>
          </cell>
        </row>
        <row r="191">
          <cell r="B191" t="str">
            <v>period_15</v>
          </cell>
        </row>
        <row r="192">
          <cell r="B192" t="str">
            <v>period_16</v>
          </cell>
        </row>
        <row r="193">
          <cell r="B193" t="str">
            <v>period_17</v>
          </cell>
        </row>
        <row r="194">
          <cell r="B194" t="str">
            <v>period_18</v>
          </cell>
        </row>
        <row r="195">
          <cell r="B195" t="str">
            <v>period_19</v>
          </cell>
        </row>
        <row r="196">
          <cell r="B196" t="str">
            <v>period_2</v>
          </cell>
        </row>
        <row r="197">
          <cell r="B197" t="str">
            <v>period_20</v>
          </cell>
        </row>
        <row r="198">
          <cell r="B198" t="str">
            <v>period_21</v>
          </cell>
        </row>
        <row r="199">
          <cell r="B199" t="str">
            <v>period_22</v>
          </cell>
        </row>
        <row r="200">
          <cell r="B200" t="str">
            <v>period_23</v>
          </cell>
        </row>
        <row r="201">
          <cell r="B201" t="str">
            <v>period_24</v>
          </cell>
        </row>
        <row r="202">
          <cell r="B202" t="str">
            <v>period_25</v>
          </cell>
        </row>
        <row r="203">
          <cell r="B203" t="str">
            <v>period_26</v>
          </cell>
        </row>
        <row r="204">
          <cell r="B204" t="str">
            <v>period_27</v>
          </cell>
        </row>
        <row r="205">
          <cell r="B205" t="str">
            <v>period_28</v>
          </cell>
        </row>
        <row r="206">
          <cell r="B206" t="str">
            <v>period_29</v>
          </cell>
        </row>
        <row r="207">
          <cell r="B207" t="str">
            <v>period_3</v>
          </cell>
        </row>
        <row r="208">
          <cell r="B208" t="str">
            <v>period_30</v>
          </cell>
        </row>
        <row r="209">
          <cell r="B209" t="str">
            <v>period_31</v>
          </cell>
        </row>
        <row r="210">
          <cell r="B210" t="str">
            <v>period_32</v>
          </cell>
        </row>
        <row r="211">
          <cell r="B211" t="str">
            <v>period_33</v>
          </cell>
        </row>
        <row r="212">
          <cell r="B212" t="str">
            <v>period_34</v>
          </cell>
        </row>
        <row r="213">
          <cell r="B213" t="str">
            <v>period_35</v>
          </cell>
        </row>
        <row r="214">
          <cell r="B214" t="str">
            <v>period_36</v>
          </cell>
        </row>
        <row r="215">
          <cell r="B215" t="str">
            <v>period_37</v>
          </cell>
        </row>
        <row r="216">
          <cell r="B216" t="str">
            <v>period_38</v>
          </cell>
        </row>
        <row r="217">
          <cell r="B217" t="str">
            <v>period_39</v>
          </cell>
        </row>
        <row r="218">
          <cell r="B218" t="str">
            <v>period_4</v>
          </cell>
        </row>
        <row r="219">
          <cell r="B219" t="str">
            <v>period_40</v>
          </cell>
        </row>
        <row r="220">
          <cell r="B220" t="str">
            <v>period_41</v>
          </cell>
        </row>
        <row r="221">
          <cell r="B221" t="str">
            <v>period_42</v>
          </cell>
        </row>
        <row r="222">
          <cell r="B222" t="str">
            <v>period_43</v>
          </cell>
        </row>
        <row r="223">
          <cell r="B223" t="str">
            <v>period_44</v>
          </cell>
        </row>
        <row r="224">
          <cell r="B224" t="str">
            <v>period_45</v>
          </cell>
        </row>
        <row r="225">
          <cell r="B225" t="str">
            <v>period_46</v>
          </cell>
        </row>
        <row r="226">
          <cell r="B226" t="str">
            <v>period_47</v>
          </cell>
        </row>
        <row r="227">
          <cell r="B227" t="str">
            <v>period_48</v>
          </cell>
        </row>
        <row r="228">
          <cell r="B228" t="str">
            <v>period_49</v>
          </cell>
        </row>
        <row r="229">
          <cell r="B229" t="str">
            <v>period_5</v>
          </cell>
        </row>
        <row r="230">
          <cell r="B230" t="str">
            <v>period_50</v>
          </cell>
        </row>
        <row r="231">
          <cell r="B231" t="str">
            <v>period_51</v>
          </cell>
        </row>
        <row r="232">
          <cell r="B232" t="str">
            <v>period_52</v>
          </cell>
        </row>
        <row r="233">
          <cell r="B233" t="str">
            <v>period_53</v>
          </cell>
        </row>
        <row r="234">
          <cell r="B234" t="str">
            <v>period_54</v>
          </cell>
        </row>
        <row r="235">
          <cell r="B235" t="str">
            <v>period_55</v>
          </cell>
        </row>
        <row r="236">
          <cell r="B236" t="str">
            <v>period_56</v>
          </cell>
        </row>
        <row r="237">
          <cell r="B237" t="str">
            <v>period_57</v>
          </cell>
        </row>
        <row r="238">
          <cell r="B238" t="str">
            <v>period_58</v>
          </cell>
        </row>
        <row r="239">
          <cell r="B239" t="str">
            <v>period_59</v>
          </cell>
        </row>
        <row r="240">
          <cell r="B240" t="str">
            <v>period_6</v>
          </cell>
        </row>
        <row r="241">
          <cell r="B241" t="str">
            <v>period_60</v>
          </cell>
        </row>
        <row r="242">
          <cell r="B242" t="str">
            <v>period_61</v>
          </cell>
        </row>
        <row r="243">
          <cell r="B243" t="str">
            <v>period_62</v>
          </cell>
        </row>
        <row r="244">
          <cell r="B244" t="str">
            <v>period_63</v>
          </cell>
        </row>
        <row r="245">
          <cell r="B245" t="str">
            <v>period_64</v>
          </cell>
        </row>
        <row r="246">
          <cell r="B246" t="str">
            <v>period_65</v>
          </cell>
        </row>
        <row r="247">
          <cell r="B247" t="str">
            <v>period_66</v>
          </cell>
        </row>
        <row r="248">
          <cell r="B248" t="str">
            <v>period_67</v>
          </cell>
        </row>
        <row r="249">
          <cell r="B249" t="str">
            <v>period_68</v>
          </cell>
        </row>
        <row r="250">
          <cell r="B250" t="str">
            <v>period_69</v>
          </cell>
        </row>
        <row r="251">
          <cell r="B251" t="str">
            <v>period_7</v>
          </cell>
        </row>
        <row r="252">
          <cell r="B252" t="str">
            <v>period_70</v>
          </cell>
        </row>
        <row r="253">
          <cell r="B253" t="str">
            <v>period_71</v>
          </cell>
        </row>
        <row r="254">
          <cell r="B254" t="str">
            <v>period_72</v>
          </cell>
        </row>
        <row r="255">
          <cell r="B255" t="str">
            <v>period_73</v>
          </cell>
        </row>
        <row r="256">
          <cell r="B256" t="str">
            <v>period_74</v>
          </cell>
        </row>
        <row r="257">
          <cell r="B257" t="str">
            <v>period_75</v>
          </cell>
        </row>
        <row r="258">
          <cell r="B258" t="str">
            <v>period_76</v>
          </cell>
        </row>
        <row r="259">
          <cell r="B259" t="str">
            <v>period_77</v>
          </cell>
        </row>
        <row r="260">
          <cell r="B260" t="str">
            <v>period_78</v>
          </cell>
        </row>
        <row r="261">
          <cell r="B261" t="str">
            <v>period_79</v>
          </cell>
        </row>
        <row r="262">
          <cell r="B262" t="str">
            <v>period_8</v>
          </cell>
        </row>
        <row r="263">
          <cell r="B263" t="str">
            <v>period_80</v>
          </cell>
        </row>
        <row r="264">
          <cell r="B264" t="str">
            <v>period_81</v>
          </cell>
        </row>
        <row r="265">
          <cell r="B265" t="str">
            <v>period_82</v>
          </cell>
        </row>
        <row r="266">
          <cell r="B266" t="str">
            <v>period_83</v>
          </cell>
        </row>
        <row r="267">
          <cell r="B267" t="str">
            <v>period_84</v>
          </cell>
        </row>
        <row r="268">
          <cell r="B268" t="str">
            <v>period_85</v>
          </cell>
        </row>
        <row r="269">
          <cell r="B269" t="str">
            <v>period_86</v>
          </cell>
        </row>
        <row r="270">
          <cell r="B270" t="str">
            <v>period_87</v>
          </cell>
        </row>
        <row r="271">
          <cell r="B271" t="str">
            <v>period_88</v>
          </cell>
        </row>
        <row r="272">
          <cell r="B272" t="str">
            <v>period_89</v>
          </cell>
        </row>
        <row r="273">
          <cell r="B273" t="str">
            <v>period_9</v>
          </cell>
        </row>
        <row r="274">
          <cell r="B274" t="str">
            <v>period_90</v>
          </cell>
        </row>
        <row r="275">
          <cell r="B275" t="str">
            <v>period_91</v>
          </cell>
        </row>
        <row r="276">
          <cell r="B276" t="str">
            <v>period_92</v>
          </cell>
        </row>
        <row r="277">
          <cell r="B277" t="str">
            <v>period_93</v>
          </cell>
        </row>
        <row r="278">
          <cell r="B278" t="str">
            <v>period_94</v>
          </cell>
        </row>
        <row r="279">
          <cell r="B279" t="str">
            <v>period_95</v>
          </cell>
        </row>
        <row r="280">
          <cell r="B280" t="str">
            <v>period_96</v>
          </cell>
        </row>
        <row r="281">
          <cell r="B281" t="str">
            <v>period_97</v>
          </cell>
        </row>
        <row r="282">
          <cell r="B282" t="str">
            <v>period_98</v>
          </cell>
        </row>
        <row r="283">
          <cell r="B283" t="str">
            <v>period_99</v>
          </cell>
        </row>
        <row r="284">
          <cell r="B284" t="str">
            <v>remaining_  0:  6</v>
          </cell>
        </row>
        <row r="285">
          <cell r="B285" t="str">
            <v>remaining_  7: 13</v>
          </cell>
        </row>
        <row r="286">
          <cell r="B286" t="str">
            <v>remaining_ 14: 20</v>
          </cell>
        </row>
        <row r="287">
          <cell r="B287" t="str">
            <v>remaining_ 21: 27</v>
          </cell>
        </row>
        <row r="288">
          <cell r="B288" t="str">
            <v>remaining_ 28: 34</v>
          </cell>
        </row>
        <row r="289">
          <cell r="B289" t="str">
            <v>remaining_ 35: 41</v>
          </cell>
        </row>
        <row r="290">
          <cell r="B290" t="str">
            <v>remaining_ 42: 48</v>
          </cell>
        </row>
        <row r="291">
          <cell r="B291" t="str">
            <v>remaining_ 49: 55</v>
          </cell>
        </row>
        <row r="292">
          <cell r="B292" t="str">
            <v>remaining_ 56: 62</v>
          </cell>
        </row>
        <row r="293">
          <cell r="B293" t="str">
            <v>remaining_ 63: 69</v>
          </cell>
        </row>
        <row r="294">
          <cell r="B294" t="str">
            <v>remaining_ 70: 76</v>
          </cell>
        </row>
        <row r="295">
          <cell r="B295" t="str">
            <v>remaining_ 77: 83</v>
          </cell>
        </row>
        <row r="296">
          <cell r="B296" t="str">
            <v>remaining_ 84: 90</v>
          </cell>
        </row>
        <row r="297">
          <cell r="B297" t="str">
            <v>remaining_ 91: 97</v>
          </cell>
        </row>
        <row r="298">
          <cell r="B298" t="str">
            <v>remaining_98:</v>
          </cell>
        </row>
        <row r="299">
          <cell r="B299" t="str">
            <v>remaining_wa remaining term</v>
          </cell>
        </row>
        <row r="300">
          <cell r="B300" t="str">
            <v>seasoning_ 0: 2</v>
          </cell>
        </row>
        <row r="301">
          <cell r="B301" t="str">
            <v>seasoning_ 3: 5</v>
          </cell>
        </row>
        <row r="302">
          <cell r="B302" t="str">
            <v>seasoning_ 6: 8</v>
          </cell>
        </row>
        <row r="303">
          <cell r="B303" t="str">
            <v>seasoning_ 9:11</v>
          </cell>
        </row>
        <row r="304">
          <cell r="B304" t="str">
            <v>seasoning_12:14</v>
          </cell>
        </row>
        <row r="305">
          <cell r="B305" t="str">
            <v>seasoning_15:17</v>
          </cell>
        </row>
        <row r="306">
          <cell r="B306" t="str">
            <v>seasoning_18:20</v>
          </cell>
        </row>
        <row r="307">
          <cell r="B307" t="str">
            <v>seasoning_21:23</v>
          </cell>
        </row>
        <row r="308">
          <cell r="B308" t="str">
            <v>seasoning_24:26</v>
          </cell>
        </row>
        <row r="309">
          <cell r="B309" t="str">
            <v>seasoning_27:29</v>
          </cell>
        </row>
        <row r="310">
          <cell r="B310" t="str">
            <v>seasoning_30:32</v>
          </cell>
        </row>
        <row r="311">
          <cell r="B311" t="str">
            <v>seasoning_33:35</v>
          </cell>
        </row>
        <row r="312">
          <cell r="B312" t="str">
            <v>seasoning_36:38</v>
          </cell>
        </row>
        <row r="313">
          <cell r="B313" t="str">
            <v>seasoning_39:41</v>
          </cell>
        </row>
        <row r="314">
          <cell r="B314" t="str">
            <v>seasoning_42:44</v>
          </cell>
        </row>
        <row r="315">
          <cell r="B315" t="str">
            <v>seasoning_45:47</v>
          </cell>
        </row>
        <row r="316">
          <cell r="B316" t="str">
            <v>seasoning_48:50</v>
          </cell>
        </row>
        <row r="317">
          <cell r="B317" t="str">
            <v>seasoning_51:53</v>
          </cell>
        </row>
        <row r="318">
          <cell r="B318" t="str">
            <v>seasoning_54:56</v>
          </cell>
        </row>
        <row r="319">
          <cell r="B319" t="str">
            <v>seasoning_57:59</v>
          </cell>
        </row>
        <row r="320">
          <cell r="B320" t="str">
            <v>seasoning_60:62</v>
          </cell>
        </row>
        <row r="321">
          <cell r="B321" t="str">
            <v>seasoning_63:65</v>
          </cell>
        </row>
        <row r="322">
          <cell r="B322" t="str">
            <v>seasoning_66:68</v>
          </cell>
        </row>
        <row r="323">
          <cell r="B323" t="str">
            <v>seasoning_69:71</v>
          </cell>
        </row>
        <row r="324">
          <cell r="B324" t="str">
            <v>seasoning_72:74</v>
          </cell>
        </row>
        <row r="325">
          <cell r="B325" t="str">
            <v>seasoning_75:77</v>
          </cell>
        </row>
        <row r="326">
          <cell r="B326" t="str">
            <v>seasoning_78:80</v>
          </cell>
        </row>
        <row r="327">
          <cell r="B327" t="str">
            <v>seasoning_81:</v>
          </cell>
        </row>
        <row r="328">
          <cell r="B328" t="str">
            <v>seasoning_wa seasoning</v>
          </cell>
        </row>
      </sheetData>
      <sheetData sheetId="38">
        <row r="1">
          <cell r="B1" t="str">
            <v>VARIABLE</v>
          </cell>
          <cell r="C1" t="str">
            <v>NUM</v>
          </cell>
          <cell r="D1" t="str">
            <v>DATE</v>
          </cell>
          <cell r="E1" t="str">
            <v>STRG</v>
          </cell>
        </row>
        <row r="2">
          <cell r="B2" t="str">
            <v>Reporting_Date</v>
          </cell>
          <cell r="D2">
            <v>45267</v>
          </cell>
        </row>
        <row r="3">
          <cell r="B3" t="str">
            <v>Calculation_Date</v>
          </cell>
          <cell r="D3">
            <v>45272</v>
          </cell>
        </row>
        <row r="4">
          <cell r="B4" t="str">
            <v>Payment_Date</v>
          </cell>
          <cell r="D4">
            <v>45274</v>
          </cell>
        </row>
        <row r="5">
          <cell r="B5" t="str">
            <v>Period</v>
          </cell>
          <cell r="C5">
            <v>14</v>
          </cell>
        </row>
        <row r="6">
          <cell r="B6" t="str">
            <v>Monthly_Period</v>
          </cell>
          <cell r="D6">
            <v>45274</v>
          </cell>
        </row>
        <row r="7">
          <cell r="B7" t="str">
            <v>Interest_Period_from</v>
          </cell>
          <cell r="D7">
            <v>45244</v>
          </cell>
        </row>
        <row r="8">
          <cell r="B8" t="str">
            <v>Outstanding_bop_current</v>
          </cell>
          <cell r="C8">
            <v>972266109.06999993</v>
          </cell>
        </row>
        <row r="9">
          <cell r="B9" t="str">
            <v>Outstanding_bop_previous</v>
          </cell>
          <cell r="C9">
            <v>999580049.78999984</v>
          </cell>
        </row>
        <row r="10">
          <cell r="B10" t="str">
            <v>Total_Principal_Collections_current</v>
          </cell>
          <cell r="C10">
            <v>24856884.309999999</v>
          </cell>
        </row>
        <row r="11">
          <cell r="B11" t="str">
            <v>Total_Principal_Collections_previous</v>
          </cell>
          <cell r="C11">
            <v>24972951.039999999</v>
          </cell>
        </row>
        <row r="12">
          <cell r="B12" t="str">
            <v>Collected_Interest_Portion_current</v>
          </cell>
          <cell r="C12">
            <v>4561608.3099999996</v>
          </cell>
        </row>
        <row r="13">
          <cell r="B13" t="str">
            <v>Collected_Interest_Portion_previous</v>
          </cell>
          <cell r="C13">
            <v>4648288.16</v>
          </cell>
        </row>
        <row r="14">
          <cell r="B14" t="str">
            <v>Defaults_current</v>
          </cell>
          <cell r="C14">
            <v>2624018.42</v>
          </cell>
        </row>
        <row r="15">
          <cell r="B15" t="str">
            <v>Defaults_previous</v>
          </cell>
          <cell r="C15">
            <v>2340989.6800000002</v>
          </cell>
        </row>
        <row r="16">
          <cell r="B16" t="str">
            <v>Replenishment_current</v>
          </cell>
          <cell r="C16">
            <v>0</v>
          </cell>
        </row>
        <row r="17">
          <cell r="B17" t="str">
            <v>Replenishment_previous</v>
          </cell>
          <cell r="C17">
            <v>0</v>
          </cell>
        </row>
        <row r="18">
          <cell r="B18" t="str">
            <v>Outstanding_eop_current</v>
          </cell>
          <cell r="C18">
            <v>944785206.33999991</v>
          </cell>
        </row>
        <row r="19">
          <cell r="B19" t="str">
            <v>Outstanding_eop_previous</v>
          </cell>
          <cell r="C19">
            <v>972266109.06999993</v>
          </cell>
        </row>
        <row r="20">
          <cell r="B20" t="str">
            <v>Purchase_Shortfall_current</v>
          </cell>
          <cell r="C20">
            <v>0</v>
          </cell>
        </row>
        <row r="21">
          <cell r="B21" t="str">
            <v>Purchase_Shortfall_previous</v>
          </cell>
          <cell r="C21">
            <v>0</v>
          </cell>
        </row>
        <row r="22">
          <cell r="B22" t="str">
            <v>Total_Assets_current</v>
          </cell>
          <cell r="C22">
            <v>944785206.33999991</v>
          </cell>
        </row>
        <row r="23">
          <cell r="B23" t="str">
            <v>Total_Assets_previous</v>
          </cell>
          <cell r="C23">
            <v>972266109.06999993</v>
          </cell>
        </row>
        <row r="24">
          <cell r="B24" t="str">
            <v>Liquidity_Reserve_bop</v>
          </cell>
          <cell r="C24">
            <v>16479690.174280003</v>
          </cell>
        </row>
        <row r="25">
          <cell r="B25" t="str">
            <v>Liquidity_Reserve_cashout</v>
          </cell>
          <cell r="C25">
            <v>16479690.174280003</v>
          </cell>
        </row>
        <row r="26">
          <cell r="B26" t="str">
            <v>Liquidity_Reserve_excess_amount</v>
          </cell>
          <cell r="C26">
            <v>0</v>
          </cell>
        </row>
        <row r="27">
          <cell r="B27" t="str">
            <v>Liquidity_Reserve_pop</v>
          </cell>
          <cell r="C27">
            <v>0</v>
          </cell>
        </row>
        <row r="28">
          <cell r="B28" t="str">
            <v>Liquidity_Reserve_cashin</v>
          </cell>
          <cell r="C28">
            <v>15973249.569280002</v>
          </cell>
        </row>
        <row r="29">
          <cell r="B29" t="str">
            <v>Liquidity_Reserve_eop</v>
          </cell>
          <cell r="C29">
            <v>15973249.569280002</v>
          </cell>
        </row>
        <row r="30">
          <cell r="B30" t="str">
            <v>Liquidity_Reserve_fund</v>
          </cell>
          <cell r="C30">
            <v>20671264.149999999</v>
          </cell>
        </row>
        <row r="31">
          <cell r="B31" t="str">
            <v>Com_Reserve_bop</v>
          </cell>
          <cell r="E31" t="str">
            <v>n/a</v>
          </cell>
        </row>
        <row r="32">
          <cell r="B32" t="str">
            <v>Com_Reserve_cashout</v>
          </cell>
          <cell r="E32" t="str">
            <v>n/a</v>
          </cell>
        </row>
        <row r="33">
          <cell r="B33" t="str">
            <v>Com_Reserve_excess_amount</v>
          </cell>
        </row>
        <row r="34">
          <cell r="B34" t="str">
            <v>Com_Reserve_pop</v>
          </cell>
        </row>
        <row r="35">
          <cell r="B35" t="str">
            <v>Com_Reserve_cashin</v>
          </cell>
          <cell r="E35" t="str">
            <v>n/a</v>
          </cell>
        </row>
        <row r="36">
          <cell r="B36" t="str">
            <v>Com_Reserve_eop</v>
          </cell>
          <cell r="C36">
            <v>0</v>
          </cell>
          <cell r="E36" t="str">
            <v>n/a</v>
          </cell>
        </row>
        <row r="37">
          <cell r="B37" t="str">
            <v>Com_Reserve_required</v>
          </cell>
          <cell r="C37">
            <v>0</v>
          </cell>
        </row>
        <row r="38">
          <cell r="B38" t="str">
            <v>Com_Reserve_Trigger</v>
          </cell>
          <cell r="E38" t="str">
            <v>no</v>
          </cell>
        </row>
        <row r="39">
          <cell r="B39" t="str">
            <v>Setoff_Reserve_bop</v>
          </cell>
          <cell r="E39" t="str">
            <v>n/a</v>
          </cell>
        </row>
        <row r="40">
          <cell r="B40" t="str">
            <v>Setoff_Reserve_cashout</v>
          </cell>
          <cell r="E40" t="str">
            <v>n/a</v>
          </cell>
        </row>
        <row r="41">
          <cell r="B41" t="str">
            <v>Setoff_Reserve_excess_amount</v>
          </cell>
        </row>
        <row r="42">
          <cell r="B42" t="str">
            <v>Setoff_Reserve_pop</v>
          </cell>
        </row>
        <row r="43">
          <cell r="B43" t="str">
            <v>Setoff_Reserve_cashin</v>
          </cell>
          <cell r="E43" t="str">
            <v>n/a</v>
          </cell>
        </row>
        <row r="44">
          <cell r="B44" t="str">
            <v>Setoff_Reserve_eop</v>
          </cell>
          <cell r="C44">
            <v>0</v>
          </cell>
          <cell r="E44" t="str">
            <v>n/a</v>
          </cell>
        </row>
        <row r="45">
          <cell r="B45" t="str">
            <v>Setoff_Reserve_required</v>
          </cell>
          <cell r="C45">
            <v>0</v>
          </cell>
        </row>
        <row r="46">
          <cell r="B46" t="str">
            <v>Setoff_Reserve_Trigger</v>
          </cell>
          <cell r="E46" t="str">
            <v>no</v>
          </cell>
        </row>
        <row r="47">
          <cell r="B47" t="str">
            <v>Setoff_Amount_current</v>
          </cell>
          <cell r="C47">
            <v>0</v>
          </cell>
        </row>
        <row r="48">
          <cell r="B48" t="str">
            <v>GrossDefault_current</v>
          </cell>
          <cell r="C48">
            <v>2624018.42</v>
          </cell>
        </row>
        <row r="49">
          <cell r="B49" t="str">
            <v>Recoveries_current</v>
          </cell>
          <cell r="C49">
            <v>95431.85</v>
          </cell>
        </row>
        <row r="50">
          <cell r="B50" t="str">
            <v>Terminated_contracts_new</v>
          </cell>
          <cell r="C50">
            <v>147</v>
          </cell>
        </row>
        <row r="51">
          <cell r="B51" t="str">
            <v>Cum_GrossDefault</v>
          </cell>
          <cell r="C51">
            <v>21930197.100000001</v>
          </cell>
        </row>
        <row r="52">
          <cell r="B52" t="str">
            <v>Cum_Recoveries</v>
          </cell>
          <cell r="C52">
            <v>352715.43999999994</v>
          </cell>
        </row>
        <row r="53">
          <cell r="B53" t="str">
            <v>Terminated_contracts_total</v>
          </cell>
          <cell r="C53">
            <v>1284</v>
          </cell>
        </row>
        <row r="54">
          <cell r="B54" t="str">
            <v>Loss_Ratio_before_previous</v>
          </cell>
          <cell r="C54">
            <v>1.2353150747745293E-2</v>
          </cell>
        </row>
        <row r="55">
          <cell r="B55" t="str">
            <v>Loss_Ratio_previous</v>
          </cell>
          <cell r="C55">
            <v>1.4044266677380851E-2</v>
          </cell>
        </row>
        <row r="56">
          <cell r="B56" t="str">
            <v>Loss_Ratio_current</v>
          </cell>
          <cell r="C56">
            <v>1.5908529351837303E-2</v>
          </cell>
        </row>
        <row r="57">
          <cell r="B57" t="str">
            <v>A_PDL_bop</v>
          </cell>
          <cell r="C57">
            <v>0</v>
          </cell>
        </row>
        <row r="58">
          <cell r="B58" t="str">
            <v>A_debited_PDL</v>
          </cell>
          <cell r="C58">
            <v>0</v>
          </cell>
        </row>
        <row r="59">
          <cell r="B59" t="str">
            <v>A_credited_PDL</v>
          </cell>
          <cell r="C59">
            <v>0</v>
          </cell>
        </row>
        <row r="60">
          <cell r="B60" t="str">
            <v>A_PDL_eop</v>
          </cell>
          <cell r="C60">
            <v>0</v>
          </cell>
        </row>
        <row r="61">
          <cell r="B61" t="str">
            <v>B_PDL_bop</v>
          </cell>
          <cell r="C61">
            <v>0</v>
          </cell>
        </row>
        <row r="62">
          <cell r="B62" t="str">
            <v>B_debited_PDL</v>
          </cell>
          <cell r="C62">
            <v>0</v>
          </cell>
        </row>
        <row r="63">
          <cell r="B63" t="str">
            <v>B_credited_PDL</v>
          </cell>
          <cell r="C63">
            <v>0</v>
          </cell>
        </row>
        <row r="64">
          <cell r="B64" t="str">
            <v>B_PDL_eop</v>
          </cell>
          <cell r="C64">
            <v>0</v>
          </cell>
        </row>
        <row r="65">
          <cell r="B65" t="str">
            <v>C_PDL_bop</v>
          </cell>
          <cell r="C65">
            <v>0</v>
          </cell>
        </row>
        <row r="66">
          <cell r="B66" t="str">
            <v>C_debited_PDL</v>
          </cell>
          <cell r="C66">
            <v>0</v>
          </cell>
        </row>
        <row r="67">
          <cell r="B67" t="str">
            <v>C_credited_PDL</v>
          </cell>
          <cell r="C67">
            <v>0</v>
          </cell>
        </row>
        <row r="68">
          <cell r="B68" t="str">
            <v>C_PDL_eop</v>
          </cell>
          <cell r="C68">
            <v>0</v>
          </cell>
        </row>
        <row r="69">
          <cell r="B69" t="str">
            <v>D_PDL_bop</v>
          </cell>
          <cell r="C69">
            <v>0</v>
          </cell>
        </row>
        <row r="70">
          <cell r="B70" t="str">
            <v>D_debited_PDL</v>
          </cell>
          <cell r="C70">
            <v>0</v>
          </cell>
        </row>
        <row r="71">
          <cell r="B71" t="str">
            <v>D_credited_PDL</v>
          </cell>
          <cell r="C71">
            <v>0</v>
          </cell>
        </row>
        <row r="72">
          <cell r="B72" t="str">
            <v>D_PDL_eop</v>
          </cell>
          <cell r="C72">
            <v>0</v>
          </cell>
        </row>
        <row r="73">
          <cell r="B73" t="str">
            <v>E_PDL_bop</v>
          </cell>
          <cell r="C73">
            <v>0</v>
          </cell>
        </row>
        <row r="74">
          <cell r="B74" t="str">
            <v>E_debited_PDL</v>
          </cell>
          <cell r="C74">
            <v>0</v>
          </cell>
        </row>
        <row r="75">
          <cell r="B75" t="str">
            <v>E_credited_PDL</v>
          </cell>
          <cell r="C75">
            <v>0</v>
          </cell>
        </row>
        <row r="76">
          <cell r="B76" t="str">
            <v>E_PDL_eop</v>
          </cell>
          <cell r="C76">
            <v>0</v>
          </cell>
        </row>
        <row r="77">
          <cell r="B77" t="str">
            <v>F_PDL_bop</v>
          </cell>
          <cell r="C77">
            <v>0</v>
          </cell>
        </row>
        <row r="78">
          <cell r="B78" t="str">
            <v>F_debited_PDL</v>
          </cell>
          <cell r="C78">
            <v>0</v>
          </cell>
        </row>
        <row r="79">
          <cell r="B79" t="str">
            <v>F_credited_PDL</v>
          </cell>
          <cell r="C79">
            <v>0</v>
          </cell>
        </row>
        <row r="80">
          <cell r="B80" t="str">
            <v>F_PDL_eop</v>
          </cell>
          <cell r="C80">
            <v>0</v>
          </cell>
        </row>
        <row r="81">
          <cell r="B81" t="str">
            <v>G_PDL_bop</v>
          </cell>
          <cell r="C81">
            <v>1077964.2642799951</v>
          </cell>
        </row>
        <row r="82">
          <cell r="B82" t="str">
            <v>G_debited_PDL</v>
          </cell>
          <cell r="C82">
            <v>2624018.42</v>
          </cell>
        </row>
        <row r="83">
          <cell r="B83" t="str">
            <v>G_credited_PDL</v>
          </cell>
          <cell r="C83">
            <v>2070270.0250000022</v>
          </cell>
        </row>
        <row r="84">
          <cell r="B84" t="str">
            <v>G_PDL_eop</v>
          </cell>
          <cell r="C84">
            <v>1631712.6592799928</v>
          </cell>
        </row>
        <row r="85">
          <cell r="B85" t="str">
            <v>Cum_Default_Ratio</v>
          </cell>
          <cell r="C85">
            <v>1.5908529351837303E-2</v>
          </cell>
        </row>
        <row r="86">
          <cell r="B86" t="str">
            <v>Purchase_Shortfall_before_previous</v>
          </cell>
          <cell r="C86">
            <v>19.095719739794731</v>
          </cell>
        </row>
        <row r="87">
          <cell r="B87" t="str">
            <v>Purchase_Shortfall_previous</v>
          </cell>
          <cell r="C87">
            <v>0</v>
          </cell>
        </row>
        <row r="88">
          <cell r="B88" t="str">
            <v>Purchase_Shortfall_current</v>
          </cell>
          <cell r="C88">
            <v>0</v>
          </cell>
        </row>
        <row r="89">
          <cell r="B89" t="str">
            <v>Delinquency_Ratio</v>
          </cell>
          <cell r="C89">
            <v>1.5191236362365699E-2</v>
          </cell>
        </row>
        <row r="90">
          <cell r="B90" t="str">
            <v>Debit_Balance_G_PDL_previous</v>
          </cell>
          <cell r="C90">
            <v>1.0779642642799951E-3</v>
          </cell>
        </row>
        <row r="91">
          <cell r="B91" t="str">
            <v>Debit_Balance_G_PDL_current</v>
          </cell>
          <cell r="C91">
            <v>1.6317126592799928E-3</v>
          </cell>
        </row>
        <row r="92">
          <cell r="B92" t="str">
            <v>Total_Notes_bop</v>
          </cell>
          <cell r="C92">
            <v>967602915.84000003</v>
          </cell>
        </row>
        <row r="93">
          <cell r="B93" t="str">
            <v>A_Notes_bop</v>
          </cell>
          <cell r="C93">
            <v>734697810</v>
          </cell>
        </row>
        <row r="94">
          <cell r="B94" t="str">
            <v>B_Notes_bop</v>
          </cell>
          <cell r="C94">
            <v>42760190</v>
          </cell>
        </row>
        <row r="95">
          <cell r="B95" t="str">
            <v>C_Notes_bop</v>
          </cell>
          <cell r="C95">
            <v>53450237.5</v>
          </cell>
        </row>
        <row r="96">
          <cell r="B96" t="str">
            <v>D_Notes_bop</v>
          </cell>
          <cell r="C96">
            <v>38872900</v>
          </cell>
        </row>
        <row r="97">
          <cell r="B97" t="str">
            <v>E_Notes_bop</v>
          </cell>
          <cell r="C97">
            <v>49562947.5</v>
          </cell>
        </row>
        <row r="98">
          <cell r="B98" t="str">
            <v>F_Notes_bop</v>
          </cell>
          <cell r="C98">
            <v>20258830.840000004</v>
          </cell>
        </row>
        <row r="99">
          <cell r="B99" t="str">
            <v>G_Notes_bop</v>
          </cell>
          <cell r="C99">
            <v>28000000</v>
          </cell>
        </row>
        <row r="100">
          <cell r="B100" t="str">
            <v>Replenishment</v>
          </cell>
          <cell r="C100">
            <v>0</v>
          </cell>
        </row>
        <row r="101">
          <cell r="B101" t="str">
            <v>Amortisation</v>
          </cell>
          <cell r="C101">
            <v>26927133.199999999</v>
          </cell>
        </row>
        <row r="102">
          <cell r="B102" t="str">
            <v>Total_Redemption</v>
          </cell>
          <cell r="C102">
            <v>26927133.199999999</v>
          </cell>
        </row>
        <row r="103">
          <cell r="B103" t="str">
            <v>A_Redemption</v>
          </cell>
          <cell r="C103">
            <v>21518935.199999999</v>
          </cell>
        </row>
        <row r="104">
          <cell r="B104" t="str">
            <v>B_Redemption</v>
          </cell>
          <cell r="C104">
            <v>1252424.8</v>
          </cell>
        </row>
        <row r="105">
          <cell r="B105" t="str">
            <v>C_Redemption</v>
          </cell>
          <cell r="C105">
            <v>1565531</v>
          </cell>
        </row>
        <row r="106">
          <cell r="B106" t="str">
            <v>D_Redemption</v>
          </cell>
          <cell r="C106">
            <v>1138568</v>
          </cell>
        </row>
        <row r="107">
          <cell r="B107" t="str">
            <v>E_Redemption</v>
          </cell>
          <cell r="C107">
            <v>1451674.2</v>
          </cell>
        </row>
        <row r="108">
          <cell r="B108" t="str">
            <v>F_Redemption</v>
          </cell>
          <cell r="C108">
            <v>0</v>
          </cell>
        </row>
        <row r="109">
          <cell r="B109" t="str">
            <v>G_Redemption</v>
          </cell>
          <cell r="C109">
            <v>0</v>
          </cell>
        </row>
        <row r="110">
          <cell r="B110" t="str">
            <v>Interest_Days</v>
          </cell>
          <cell r="C110">
            <v>30</v>
          </cell>
        </row>
        <row r="111">
          <cell r="B111" t="str">
            <v>A_Interests</v>
          </cell>
          <cell r="C111">
            <v>2775956.4</v>
          </cell>
        </row>
        <row r="112">
          <cell r="B112" t="str">
            <v>B_Interests</v>
          </cell>
          <cell r="C112">
            <v>234612.40000000002</v>
          </cell>
        </row>
        <row r="113">
          <cell r="B113" t="str">
            <v>C_Interests</v>
          </cell>
          <cell r="C113">
            <v>337804.50000000006</v>
          </cell>
        </row>
        <row r="114">
          <cell r="B114" t="str">
            <v>D_Interests</v>
          </cell>
          <cell r="C114">
            <v>302368</v>
          </cell>
        </row>
        <row r="115">
          <cell r="B115" t="str">
            <v>E_Interests</v>
          </cell>
          <cell r="C115">
            <v>509423.7</v>
          </cell>
        </row>
        <row r="116">
          <cell r="B116" t="str">
            <v>F_Interests</v>
          </cell>
          <cell r="C116">
            <v>267316.40000000002</v>
          </cell>
        </row>
        <row r="117">
          <cell r="B117" t="str">
            <v>G_Interests</v>
          </cell>
          <cell r="C117">
            <v>0</v>
          </cell>
        </row>
        <row r="118">
          <cell r="B118" t="str">
            <v>1M_Euribor</v>
          </cell>
          <cell r="C118">
            <v>3.8339999999999999E-2</v>
          </cell>
        </row>
        <row r="119">
          <cell r="B119" t="str">
            <v>Interest_collections</v>
          </cell>
          <cell r="C119">
            <v>4561608.3099999996</v>
          </cell>
        </row>
        <row r="120">
          <cell r="B120" t="str">
            <v>Other_interest_Payments</v>
          </cell>
          <cell r="C120">
            <v>0</v>
          </cell>
        </row>
        <row r="121">
          <cell r="B121" t="str">
            <v>Recoveries_received</v>
          </cell>
          <cell r="C121">
            <v>95431.85</v>
          </cell>
        </row>
        <row r="122">
          <cell r="B122" t="str">
            <v>Interests_earned_Transaction_Purchase_Shortfall_Account</v>
          </cell>
          <cell r="C122">
            <v>0</v>
          </cell>
        </row>
        <row r="123">
          <cell r="B123" t="str">
            <v>Amounts_ComReserve_Account</v>
          </cell>
          <cell r="C123">
            <v>0</v>
          </cell>
        </row>
        <row r="124">
          <cell r="B124" t="str">
            <v>Amounts_Liqudity_Reserve_Account</v>
          </cell>
          <cell r="C124">
            <v>16479690.174280003</v>
          </cell>
        </row>
        <row r="125">
          <cell r="B125" t="str">
            <v>Interests_paid_Swap_Counterparty</v>
          </cell>
          <cell r="C125">
            <v>1342066.17</v>
          </cell>
        </row>
        <row r="126">
          <cell r="B126" t="str">
            <v>Remaining_PreEnforcement_available_Principal_amount</v>
          </cell>
          <cell r="C126">
            <v>0</v>
          </cell>
        </row>
        <row r="127">
          <cell r="B127" t="str">
            <v>Other_amounts_paid_Interests</v>
          </cell>
          <cell r="C127">
            <v>0</v>
          </cell>
        </row>
        <row r="128">
          <cell r="B128" t="str">
            <v>Available_Interest_amount</v>
          </cell>
          <cell r="C128">
            <v>22478796.504280001</v>
          </cell>
        </row>
        <row r="129">
          <cell r="B129" t="str">
            <v>Available_Interest_amount</v>
          </cell>
          <cell r="C129">
            <v>22478796.504280001</v>
          </cell>
        </row>
        <row r="130">
          <cell r="B130" t="str">
            <v>Senior_Expenses</v>
          </cell>
          <cell r="C130">
            <v>7795.51</v>
          </cell>
        </row>
        <row r="131">
          <cell r="B131" t="str">
            <v>Swap_payment</v>
          </cell>
          <cell r="C131">
            <v>0</v>
          </cell>
        </row>
        <row r="132">
          <cell r="B132" t="str">
            <v>A_interest_amount_notes</v>
          </cell>
          <cell r="C132">
            <v>2775956.4</v>
          </cell>
        </row>
        <row r="133">
          <cell r="B133" t="str">
            <v>B_interest_amount_notes</v>
          </cell>
          <cell r="C133">
            <v>234612.40000000002</v>
          </cell>
        </row>
        <row r="134">
          <cell r="B134" t="str">
            <v>C_interest_amount_notes</v>
          </cell>
          <cell r="C134">
            <v>337804.50000000006</v>
          </cell>
        </row>
        <row r="135">
          <cell r="B135" t="str">
            <v>D_interest_amount_notes</v>
          </cell>
          <cell r="C135">
            <v>302368</v>
          </cell>
        </row>
        <row r="136">
          <cell r="B136" t="str">
            <v>E_interest_amount_notes</v>
          </cell>
          <cell r="C136">
            <v>509423.7</v>
          </cell>
        </row>
        <row r="137">
          <cell r="B137" t="str">
            <v>F_interest_amount_notes</v>
          </cell>
          <cell r="C137">
            <v>267316.40000000002</v>
          </cell>
        </row>
        <row r="138">
          <cell r="B138" t="str">
            <v>Liquidity_Reserve_Account_part1</v>
          </cell>
          <cell r="C138">
            <v>15973249.569280002</v>
          </cell>
        </row>
        <row r="139">
          <cell r="B139" t="str">
            <v>Elimination_PDL</v>
          </cell>
          <cell r="C139">
            <v>2070270.0250000022</v>
          </cell>
        </row>
        <row r="140">
          <cell r="B140" t="str">
            <v>Liquidity_Reserve_Account_part2</v>
          </cell>
          <cell r="C140">
            <v>0</v>
          </cell>
        </row>
        <row r="141">
          <cell r="B141" t="str">
            <v>B_Interests_notes</v>
          </cell>
          <cell r="C141">
            <v>0</v>
          </cell>
        </row>
        <row r="142">
          <cell r="B142" t="str">
            <v>C_Interests_notes</v>
          </cell>
          <cell r="C142">
            <v>0</v>
          </cell>
        </row>
        <row r="143">
          <cell r="B143" t="str">
            <v>D_Interests_notes</v>
          </cell>
          <cell r="C143">
            <v>0</v>
          </cell>
        </row>
        <row r="144">
          <cell r="B144" t="str">
            <v>E_Interests_notes</v>
          </cell>
          <cell r="C144">
            <v>0</v>
          </cell>
        </row>
        <row r="145">
          <cell r="B145" t="str">
            <v>F_Interests_notes</v>
          </cell>
          <cell r="C145">
            <v>0</v>
          </cell>
        </row>
        <row r="146">
          <cell r="B146" t="str">
            <v>F_Principal_Redemption_amount</v>
          </cell>
          <cell r="C146">
            <v>0</v>
          </cell>
        </row>
        <row r="147">
          <cell r="B147" t="str">
            <v>Mezzanine_loan_interests</v>
          </cell>
          <cell r="C147">
            <v>0</v>
          </cell>
        </row>
        <row r="148">
          <cell r="B148" t="str">
            <v>G_Interests_notes</v>
          </cell>
          <cell r="C148">
            <v>0</v>
          </cell>
        </row>
        <row r="149">
          <cell r="B149" t="str">
            <v>Termination_payment</v>
          </cell>
          <cell r="C149">
            <v>0</v>
          </cell>
        </row>
        <row r="150">
          <cell r="B150" t="str">
            <v>Liqudity_Reserve_Interests</v>
          </cell>
          <cell r="C150">
            <v>0</v>
          </cell>
        </row>
        <row r="151">
          <cell r="B151" t="str">
            <v>Liqudity_Reserve_Principal</v>
          </cell>
          <cell r="C151">
            <v>0</v>
          </cell>
        </row>
        <row r="152">
          <cell r="B152" t="str">
            <v>Remaining_amount_seller</v>
          </cell>
          <cell r="C152">
            <v>0</v>
          </cell>
        </row>
        <row r="153">
          <cell r="B153" t="str">
            <v>Principal_collections</v>
          </cell>
          <cell r="C153">
            <v>24856884.309999999</v>
          </cell>
        </row>
        <row r="154">
          <cell r="B154" t="str">
            <v>Other_Principal_amount</v>
          </cell>
          <cell r="C154">
            <v>0</v>
          </cell>
        </row>
        <row r="155">
          <cell r="B155" t="str">
            <v>Final_Repurchase_Price</v>
          </cell>
          <cell r="C155">
            <v>0</v>
          </cell>
        </row>
        <row r="156">
          <cell r="B156" t="str">
            <v>Amounts_credit_Com_Reserve_Account</v>
          </cell>
          <cell r="C156">
            <v>0</v>
          </cell>
        </row>
        <row r="157">
          <cell r="B157" t="str">
            <v>Amounts_credit_SettOff_Reserve_Account</v>
          </cell>
          <cell r="C157">
            <v>0</v>
          </cell>
        </row>
        <row r="158">
          <cell r="B158" t="str">
            <v>Amounts_credit_Purchase_Shortfall_Account</v>
          </cell>
          <cell r="C158">
            <v>0</v>
          </cell>
        </row>
        <row r="159">
          <cell r="B159" t="str">
            <v>Mezzanine_loan_disbursement</v>
          </cell>
          <cell r="C159">
            <v>0</v>
          </cell>
        </row>
        <row r="160">
          <cell r="B160" t="str">
            <v>PDL</v>
          </cell>
          <cell r="C160">
            <v>2070270.0250000022</v>
          </cell>
        </row>
        <row r="161">
          <cell r="B161" t="str">
            <v>Rounding_differences_previous</v>
          </cell>
          <cell r="C161">
            <v>0</v>
          </cell>
        </row>
        <row r="162">
          <cell r="B162" t="str">
            <v>Available_Principal_amount</v>
          </cell>
          <cell r="C162">
            <v>26927154.335000001</v>
          </cell>
        </row>
        <row r="163">
          <cell r="B163" t="str">
            <v>Available_Principal_amount</v>
          </cell>
          <cell r="C163">
            <v>26927154.335000001</v>
          </cell>
        </row>
        <row r="164">
          <cell r="B164" t="str">
            <v>Addition_amounts</v>
          </cell>
          <cell r="C164">
            <v>0</v>
          </cell>
        </row>
        <row r="165">
          <cell r="B165" t="str">
            <v>Net_note_available_Principal_Proceeds</v>
          </cell>
          <cell r="C165">
            <v>26927154.335000001</v>
          </cell>
        </row>
        <row r="166">
          <cell r="B166" t="str">
            <v>Replenishment</v>
          </cell>
          <cell r="C166">
            <v>0</v>
          </cell>
        </row>
        <row r="167">
          <cell r="B167" t="str">
            <v>Purchase_Shortfall</v>
          </cell>
          <cell r="C167">
            <v>0</v>
          </cell>
        </row>
        <row r="168">
          <cell r="B168" t="str">
            <v>A_prorata_Principal</v>
          </cell>
          <cell r="C168">
            <v>21518935.199999999</v>
          </cell>
        </row>
        <row r="169">
          <cell r="B169" t="str">
            <v>B_prorata_Principal</v>
          </cell>
          <cell r="C169">
            <v>1252424.8</v>
          </cell>
        </row>
        <row r="170">
          <cell r="B170" t="str">
            <v>C_prorata_Principal</v>
          </cell>
          <cell r="C170">
            <v>1565531</v>
          </cell>
        </row>
        <row r="171">
          <cell r="B171" t="str">
            <v>D_prorata_Principal</v>
          </cell>
          <cell r="C171">
            <v>1138568</v>
          </cell>
        </row>
        <row r="172">
          <cell r="B172" t="str">
            <v>E_prorata_Principal</v>
          </cell>
          <cell r="C172">
            <v>1451674.2</v>
          </cell>
        </row>
        <row r="173">
          <cell r="B173" t="str">
            <v>A_sequential_Principal</v>
          </cell>
          <cell r="C173">
            <v>0</v>
          </cell>
        </row>
        <row r="174">
          <cell r="B174" t="str">
            <v>B_to_G_Full_Redemption</v>
          </cell>
          <cell r="C174">
            <v>0</v>
          </cell>
        </row>
        <row r="175">
          <cell r="B175" t="str">
            <v>B_Redemption_triggerbreach</v>
          </cell>
          <cell r="C175">
            <v>0</v>
          </cell>
        </row>
        <row r="176">
          <cell r="B176" t="str">
            <v>C_Redemption_triggerbreach</v>
          </cell>
          <cell r="C176">
            <v>0</v>
          </cell>
        </row>
        <row r="177">
          <cell r="B177" t="str">
            <v>D_Redemption_triggerbreach</v>
          </cell>
          <cell r="C177">
            <v>0</v>
          </cell>
        </row>
        <row r="178">
          <cell r="B178" t="str">
            <v>E_Redemption_triggerbreach</v>
          </cell>
          <cell r="C178">
            <v>0</v>
          </cell>
        </row>
        <row r="179">
          <cell r="B179" t="str">
            <v>F_prorata_Principal</v>
          </cell>
          <cell r="C179">
            <v>0</v>
          </cell>
        </row>
        <row r="180">
          <cell r="B180" t="str">
            <v>Mezzanine_loan_principal</v>
          </cell>
          <cell r="C180">
            <v>0</v>
          </cell>
        </row>
        <row r="181">
          <cell r="B181" t="str">
            <v>G_prorata_Principal</v>
          </cell>
          <cell r="C181">
            <v>0</v>
          </cell>
        </row>
        <row r="182">
          <cell r="B182" t="str">
            <v>Transaction_Account_remaining_amount</v>
          </cell>
          <cell r="C182">
            <v>9.3132257461547852E-10</v>
          </cell>
        </row>
        <row r="183">
          <cell r="B183" t="str">
            <v>Senior_Expenses</v>
          </cell>
          <cell r="C183">
            <v>7795.51</v>
          </cell>
        </row>
        <row r="184">
          <cell r="B184" t="str">
            <v>Total_Interests_accrued</v>
          </cell>
          <cell r="C184">
            <v>9630016.7199999988</v>
          </cell>
        </row>
        <row r="185">
          <cell r="B185" t="str">
            <v>A_Interests_accrued</v>
          </cell>
          <cell r="C185">
            <v>2775956.4</v>
          </cell>
        </row>
        <row r="186">
          <cell r="B186" t="str">
            <v>B_Interests_accrued</v>
          </cell>
          <cell r="C186">
            <v>234612.40000000002</v>
          </cell>
        </row>
        <row r="187">
          <cell r="B187" t="str">
            <v>C_Interests_accrued</v>
          </cell>
          <cell r="C187">
            <v>337804.50000000006</v>
          </cell>
        </row>
        <row r="188">
          <cell r="B188" t="str">
            <v>D_Interests_accrued</v>
          </cell>
          <cell r="C188">
            <v>302368</v>
          </cell>
        </row>
        <row r="189">
          <cell r="B189" t="str">
            <v>E_Interests_accrued</v>
          </cell>
          <cell r="C189">
            <v>509423.7</v>
          </cell>
        </row>
        <row r="190">
          <cell r="B190" t="str">
            <v>F_Interests_accrued</v>
          </cell>
          <cell r="C190">
            <v>267316.40000000002</v>
          </cell>
        </row>
        <row r="191">
          <cell r="B191" t="str">
            <v>G_Interests_accrued</v>
          </cell>
          <cell r="C191">
            <v>5184524.8</v>
          </cell>
        </row>
        <row r="192">
          <cell r="B192" t="str">
            <v>Reserve_Interests_accrued</v>
          </cell>
          <cell r="C192">
            <v>18010.52</v>
          </cell>
        </row>
        <row r="193">
          <cell r="B193" t="str">
            <v>Total_Interests_accrued_cum</v>
          </cell>
          <cell r="C193">
            <v>89428148.120000005</v>
          </cell>
        </row>
        <row r="194">
          <cell r="B194" t="str">
            <v>A_Interests_accrued_cum</v>
          </cell>
          <cell r="C194">
            <v>30409797.599999998</v>
          </cell>
        </row>
        <row r="195">
          <cell r="B195" t="str">
            <v>B_Interests_accrued_cum</v>
          </cell>
          <cell r="C195">
            <v>2802566.8</v>
          </cell>
        </row>
        <row r="196">
          <cell r="B196" t="str">
            <v>C_Interests_accrued_cum</v>
          </cell>
          <cell r="C196">
            <v>4132881.5</v>
          </cell>
        </row>
        <row r="197">
          <cell r="B197" t="str">
            <v>D_Interests_accrued_cum</v>
          </cell>
          <cell r="C197">
            <v>3807148</v>
          </cell>
        </row>
        <row r="198">
          <cell r="B198" t="str">
            <v>E_Interests_accrued_cum</v>
          </cell>
          <cell r="C198">
            <v>6605764.7999999998</v>
          </cell>
        </row>
        <row r="199">
          <cell r="B199" t="str">
            <v>F_Interests_accrued_cum</v>
          </cell>
          <cell r="C199">
            <v>3549969.7999999993</v>
          </cell>
        </row>
        <row r="200">
          <cell r="B200" t="str">
            <v>G_Interests_accrued_cum</v>
          </cell>
          <cell r="C200">
            <v>37873388</v>
          </cell>
        </row>
        <row r="201">
          <cell r="B201" t="str">
            <v>Reserve_Interests_accrued_cum</v>
          </cell>
          <cell r="C201">
            <v>246631.61999999997</v>
          </cell>
        </row>
        <row r="202">
          <cell r="B202" t="str">
            <v>Total_Interest_Payments</v>
          </cell>
          <cell r="C202">
            <v>4427481.4000000004</v>
          </cell>
        </row>
        <row r="203">
          <cell r="B203" t="str">
            <v>A_Interest_Payments</v>
          </cell>
          <cell r="C203">
            <v>2775956.4</v>
          </cell>
        </row>
        <row r="204">
          <cell r="B204" t="str">
            <v>B_Interest_Payments</v>
          </cell>
          <cell r="C204">
            <v>234612.40000000002</v>
          </cell>
        </row>
        <row r="205">
          <cell r="B205" t="str">
            <v>C_Interest_Payments</v>
          </cell>
          <cell r="C205">
            <v>337804.50000000006</v>
          </cell>
        </row>
        <row r="206">
          <cell r="B206" t="str">
            <v>D_Interest_Payments</v>
          </cell>
          <cell r="C206">
            <v>302368</v>
          </cell>
        </row>
        <row r="207">
          <cell r="B207" t="str">
            <v>E_Interest_Payments</v>
          </cell>
          <cell r="C207">
            <v>509423.7</v>
          </cell>
        </row>
        <row r="208">
          <cell r="B208" t="str">
            <v>F_Interest_Payments</v>
          </cell>
          <cell r="C208">
            <v>267316.40000000002</v>
          </cell>
        </row>
        <row r="209">
          <cell r="B209" t="str">
            <v>G_Interest_Payments</v>
          </cell>
          <cell r="C209">
            <v>0</v>
          </cell>
        </row>
        <row r="210">
          <cell r="B210" t="str">
            <v>Reserve_Interest_Payments</v>
          </cell>
          <cell r="C210">
            <v>0</v>
          </cell>
        </row>
        <row r="211">
          <cell r="B211" t="str">
            <v>Total_Interest_Payments_cum</v>
          </cell>
          <cell r="C211">
            <v>51308128.499999993</v>
          </cell>
        </row>
        <row r="212">
          <cell r="B212" t="str">
            <v>A_Interest_Payments_cum</v>
          </cell>
          <cell r="C212">
            <v>30409797.599999998</v>
          </cell>
        </row>
        <row r="213">
          <cell r="B213" t="str">
            <v>B_Interest_Payments_cum</v>
          </cell>
          <cell r="C213">
            <v>2802566.8</v>
          </cell>
        </row>
        <row r="214">
          <cell r="B214" t="str">
            <v>C_Interest_Payments_cum</v>
          </cell>
          <cell r="C214">
            <v>4132881.5</v>
          </cell>
        </row>
        <row r="215">
          <cell r="B215" t="str">
            <v>D_Interest_Payments_cum</v>
          </cell>
          <cell r="C215">
            <v>3807148</v>
          </cell>
        </row>
        <row r="216">
          <cell r="B216" t="str">
            <v>E_Interest_Payments_cum</v>
          </cell>
          <cell r="C216">
            <v>6605764.7999999998</v>
          </cell>
        </row>
        <row r="217">
          <cell r="B217" t="str">
            <v>F_Interest_Payments_cum</v>
          </cell>
          <cell r="C217">
            <v>3549969.7999999993</v>
          </cell>
        </row>
        <row r="218">
          <cell r="B218" t="str">
            <v>G_Interest_Payments_cum</v>
          </cell>
          <cell r="C218">
            <v>0</v>
          </cell>
        </row>
        <row r="219">
          <cell r="B219" t="str">
            <v>Reserve_Interest_Payments_cum</v>
          </cell>
          <cell r="C219">
            <v>0</v>
          </cell>
        </row>
        <row r="220">
          <cell r="B220" t="str">
            <v>Total_Interests_unpaid</v>
          </cell>
          <cell r="C220">
            <v>5202535.3199999994</v>
          </cell>
        </row>
        <row r="221">
          <cell r="B221" t="str">
            <v>A_Interests_unpaid</v>
          </cell>
          <cell r="C221">
            <v>0</v>
          </cell>
        </row>
        <row r="222">
          <cell r="B222" t="str">
            <v>B_Interests_unpaid</v>
          </cell>
          <cell r="C222">
            <v>0</v>
          </cell>
        </row>
        <row r="223">
          <cell r="B223" t="str">
            <v>C_Interests_unpaid</v>
          </cell>
          <cell r="C223">
            <v>0</v>
          </cell>
        </row>
        <row r="224">
          <cell r="B224" t="str">
            <v>D_Interests_unpaid</v>
          </cell>
          <cell r="C224">
            <v>0</v>
          </cell>
        </row>
        <row r="225">
          <cell r="B225" t="str">
            <v>E_Interests_unpaid</v>
          </cell>
          <cell r="C225">
            <v>0</v>
          </cell>
        </row>
        <row r="226">
          <cell r="B226" t="str">
            <v>F_Interests_unpaid</v>
          </cell>
          <cell r="C226">
            <v>0</v>
          </cell>
        </row>
        <row r="227">
          <cell r="B227" t="str">
            <v>G_Interests_unpaid</v>
          </cell>
          <cell r="C227">
            <v>5184524.8</v>
          </cell>
        </row>
        <row r="228">
          <cell r="B228" t="str">
            <v>Reserve_Interests_unpaid</v>
          </cell>
          <cell r="C228">
            <v>18010.52</v>
          </cell>
        </row>
        <row r="229">
          <cell r="B229" t="str">
            <v>Total_Interests_unpaid_cum</v>
          </cell>
          <cell r="C229">
            <v>38120019.619999997</v>
          </cell>
        </row>
        <row r="230">
          <cell r="B230" t="str">
            <v>A_Interests_unpaid_cum</v>
          </cell>
          <cell r="C230">
            <v>0</v>
          </cell>
        </row>
        <row r="231">
          <cell r="B231" t="str">
            <v>B_Interests_unpaid_cum</v>
          </cell>
          <cell r="C231">
            <v>0</v>
          </cell>
        </row>
        <row r="232">
          <cell r="B232" t="str">
            <v>C_Interests_unpaid_cum</v>
          </cell>
          <cell r="C232">
            <v>0</v>
          </cell>
        </row>
        <row r="233">
          <cell r="B233" t="str">
            <v>D_Interests_unpaid_cum</v>
          </cell>
          <cell r="C233">
            <v>0</v>
          </cell>
        </row>
        <row r="234">
          <cell r="B234" t="str">
            <v>E_Interests_unpaid_cum</v>
          </cell>
          <cell r="C234">
            <v>0</v>
          </cell>
        </row>
        <row r="235">
          <cell r="B235" t="str">
            <v>F_Interests_unpaid_cum</v>
          </cell>
          <cell r="C235">
            <v>0</v>
          </cell>
        </row>
        <row r="236">
          <cell r="B236" t="str">
            <v>G_Interests_unpaid_cum</v>
          </cell>
          <cell r="C236">
            <v>37873388</v>
          </cell>
        </row>
        <row r="237">
          <cell r="B237" t="str">
            <v>Reserve_Interests_unpaid_cum</v>
          </cell>
          <cell r="C237">
            <v>246631.61999999997</v>
          </cell>
        </row>
        <row r="238">
          <cell r="B238" t="str">
            <v>Reserve_outstanding</v>
          </cell>
          <cell r="C238">
            <v>21612621.100000001</v>
          </cell>
        </row>
        <row r="239">
          <cell r="B239" t="str">
            <v>Swap_Notional_amount</v>
          </cell>
          <cell r="C239">
            <v>939602915.84000003</v>
          </cell>
        </row>
        <row r="240">
          <cell r="B240" t="str">
            <v>Fixed_Rate</v>
          </cell>
          <cell r="C240">
            <v>2.12E-2</v>
          </cell>
        </row>
        <row r="241">
          <cell r="B241" t="str">
            <v>Floating_Rate</v>
          </cell>
          <cell r="C241">
            <v>3.8339999999999999E-2</v>
          </cell>
        </row>
        <row r="242">
          <cell r="B242" t="str">
            <v>Net_Swap_Payments</v>
          </cell>
          <cell r="C242">
            <v>-1342066.17</v>
          </cell>
        </row>
        <row r="243">
          <cell r="B243" t="str">
            <v>Swap_Notional_amount_next</v>
          </cell>
          <cell r="C243">
            <v>912675782.63999999</v>
          </cell>
        </row>
      </sheetData>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B1" t="str">
            <v>RANGE</v>
          </cell>
          <cell r="C1" t="str">
            <v>_FREQ_</v>
          </cell>
          <cell r="D1" t="str">
            <v>RANGEVAL</v>
          </cell>
        </row>
        <row r="2">
          <cell r="B2" t="str">
            <v>CPB_    0: 1999</v>
          </cell>
          <cell r="C2">
            <v>3484</v>
          </cell>
          <cell r="D2">
            <v>3834513.6400000006</v>
          </cell>
        </row>
        <row r="3">
          <cell r="B3" t="str">
            <v>CPB_ 2000: 3999</v>
          </cell>
          <cell r="C3">
            <v>4071</v>
          </cell>
          <cell r="D3">
            <v>12172232.330000006</v>
          </cell>
        </row>
        <row r="4">
          <cell r="B4" t="str">
            <v>CPB_ 4000: 5999</v>
          </cell>
          <cell r="C4">
            <v>4414</v>
          </cell>
          <cell r="D4">
            <v>21807795.169999976</v>
          </cell>
        </row>
        <row r="5">
          <cell r="B5" t="str">
            <v>CPB_ 6000: 7999</v>
          </cell>
          <cell r="C5">
            <v>3891</v>
          </cell>
          <cell r="D5">
            <v>27217461.890000023</v>
          </cell>
        </row>
        <row r="6">
          <cell r="B6" t="str">
            <v>CPB_ 8000: 9999</v>
          </cell>
          <cell r="C6">
            <v>3838</v>
          </cell>
          <cell r="D6">
            <v>34717118.590000011</v>
          </cell>
        </row>
        <row r="7">
          <cell r="B7" t="str">
            <v>CPB_10000:11999</v>
          </cell>
          <cell r="C7">
            <v>2551</v>
          </cell>
          <cell r="D7">
            <v>28016367.300000031</v>
          </cell>
        </row>
        <row r="8">
          <cell r="B8" t="str">
            <v>CPB_12000:13999</v>
          </cell>
          <cell r="C8">
            <v>2350</v>
          </cell>
          <cell r="D8">
            <v>30548553.979999974</v>
          </cell>
        </row>
        <row r="9">
          <cell r="B9" t="str">
            <v>CPB_14000:15999</v>
          </cell>
          <cell r="C9">
            <v>2232</v>
          </cell>
          <cell r="D9">
            <v>33246259.980000019</v>
          </cell>
        </row>
        <row r="10">
          <cell r="B10" t="str">
            <v>CPB_16000:17999</v>
          </cell>
          <cell r="C10">
            <v>1862</v>
          </cell>
          <cell r="D10">
            <v>31632670.179999962</v>
          </cell>
        </row>
        <row r="11">
          <cell r="B11" t="str">
            <v>CPB_18000:19999</v>
          </cell>
          <cell r="C11">
            <v>2032</v>
          </cell>
          <cell r="D11">
            <v>38614036.800000042</v>
          </cell>
        </row>
        <row r="12">
          <cell r="B12" t="str">
            <v>CPB_20000:21999</v>
          </cell>
          <cell r="C12">
            <v>1407</v>
          </cell>
          <cell r="D12">
            <v>29550590.659999959</v>
          </cell>
        </row>
        <row r="13">
          <cell r="B13" t="str">
            <v>CPB_22000:23999</v>
          </cell>
          <cell r="C13">
            <v>1480</v>
          </cell>
          <cell r="D13">
            <v>34093238.859999955</v>
          </cell>
        </row>
        <row r="14">
          <cell r="B14" t="str">
            <v>CPB_24000:25999</v>
          </cell>
          <cell r="C14">
            <v>1299</v>
          </cell>
          <cell r="D14">
            <v>32407358.46999998</v>
          </cell>
        </row>
        <row r="15">
          <cell r="B15" t="str">
            <v>CPB_26000:27999</v>
          </cell>
          <cell r="C15">
            <v>1149</v>
          </cell>
          <cell r="D15">
            <v>31027689.070000008</v>
          </cell>
        </row>
        <row r="16">
          <cell r="B16" t="str">
            <v>CPB_28000:29999</v>
          </cell>
          <cell r="C16">
            <v>1120</v>
          </cell>
          <cell r="D16">
            <v>32428493.899999969</v>
          </cell>
        </row>
        <row r="17">
          <cell r="B17" t="str">
            <v>CPB_30000:31999</v>
          </cell>
          <cell r="C17">
            <v>860</v>
          </cell>
          <cell r="D17">
            <v>26612441.940000001</v>
          </cell>
        </row>
        <row r="18">
          <cell r="B18" t="str">
            <v>CPB_32000:33999</v>
          </cell>
          <cell r="C18">
            <v>812</v>
          </cell>
          <cell r="D18">
            <v>26803950.919999983</v>
          </cell>
        </row>
        <row r="19">
          <cell r="B19" t="str">
            <v>CPB_34000:35999</v>
          </cell>
          <cell r="C19">
            <v>756</v>
          </cell>
          <cell r="D19">
            <v>26436506.68000003</v>
          </cell>
        </row>
        <row r="20">
          <cell r="B20" t="str">
            <v>CPB_36000:37999</v>
          </cell>
          <cell r="C20">
            <v>706</v>
          </cell>
          <cell r="D20">
            <v>26148543.330000017</v>
          </cell>
        </row>
        <row r="21">
          <cell r="B21" t="str">
            <v>CPB_38000:39999</v>
          </cell>
          <cell r="C21">
            <v>679</v>
          </cell>
          <cell r="D21">
            <v>26467276.480000023</v>
          </cell>
        </row>
        <row r="22">
          <cell r="B22" t="str">
            <v>CPB_40000:41999</v>
          </cell>
          <cell r="C22">
            <v>549</v>
          </cell>
          <cell r="D22">
            <v>22501262.419999983</v>
          </cell>
        </row>
        <row r="23">
          <cell r="B23" t="str">
            <v>CPB_42000:43999</v>
          </cell>
          <cell r="C23">
            <v>495</v>
          </cell>
          <cell r="D23">
            <v>21274338.049999997</v>
          </cell>
        </row>
        <row r="24">
          <cell r="B24" t="str">
            <v>CPB_44000:45999</v>
          </cell>
          <cell r="C24">
            <v>465</v>
          </cell>
          <cell r="D24">
            <v>20906873.430000011</v>
          </cell>
        </row>
        <row r="25">
          <cell r="B25" t="str">
            <v>CPB_46000:47999</v>
          </cell>
          <cell r="C25">
            <v>462</v>
          </cell>
          <cell r="D25">
            <v>21750378.420000006</v>
          </cell>
        </row>
        <row r="26">
          <cell r="B26" t="str">
            <v>CPB_48000:49999</v>
          </cell>
          <cell r="C26">
            <v>348</v>
          </cell>
          <cell r="D26">
            <v>17048904.149999999</v>
          </cell>
        </row>
        <row r="27">
          <cell r="B27" t="str">
            <v>CPB_50000:51999</v>
          </cell>
          <cell r="C27">
            <v>289</v>
          </cell>
          <cell r="D27">
            <v>14719743.149999999</v>
          </cell>
        </row>
        <row r="28">
          <cell r="B28" t="str">
            <v>CPB_52000:53999</v>
          </cell>
          <cell r="C28">
            <v>243</v>
          </cell>
          <cell r="D28">
            <v>12879539.989999989</v>
          </cell>
        </row>
        <row r="29">
          <cell r="B29" t="str">
            <v>CPB_54000:55999</v>
          </cell>
          <cell r="C29">
            <v>236</v>
          </cell>
          <cell r="D29">
            <v>12977922.969999988</v>
          </cell>
        </row>
        <row r="30">
          <cell r="B30" t="str">
            <v>CPB_56000:57999</v>
          </cell>
          <cell r="C30">
            <v>228</v>
          </cell>
          <cell r="D30">
            <v>12993392.520000007</v>
          </cell>
        </row>
        <row r="31">
          <cell r="B31" t="str">
            <v>CPB_58000:59999</v>
          </cell>
          <cell r="C31">
            <v>210</v>
          </cell>
          <cell r="D31">
            <v>12387800.760000005</v>
          </cell>
        </row>
        <row r="32">
          <cell r="B32" t="str">
            <v>CPB_60000:61999</v>
          </cell>
          <cell r="C32">
            <v>151</v>
          </cell>
          <cell r="D32">
            <v>9207083.0999999996</v>
          </cell>
        </row>
        <row r="33">
          <cell r="B33" t="str">
            <v>CPB_62000:63999</v>
          </cell>
          <cell r="C33">
            <v>149</v>
          </cell>
          <cell r="D33">
            <v>9383908.4899999946</v>
          </cell>
        </row>
        <row r="34">
          <cell r="B34" t="str">
            <v>CPB_64000:65999</v>
          </cell>
          <cell r="C34">
            <v>131</v>
          </cell>
          <cell r="D34">
            <v>8520759.2599999979</v>
          </cell>
        </row>
        <row r="35">
          <cell r="B35" t="str">
            <v>CPB_66000:67999</v>
          </cell>
          <cell r="C35">
            <v>131</v>
          </cell>
          <cell r="D35">
            <v>8776377.2700000014</v>
          </cell>
        </row>
        <row r="36">
          <cell r="B36" t="str">
            <v>CPB_68000:69999</v>
          </cell>
          <cell r="C36">
            <v>117</v>
          </cell>
          <cell r="D36">
            <v>8075692.2300000004</v>
          </cell>
        </row>
        <row r="37">
          <cell r="B37" t="str">
            <v>CPB_70000:71999</v>
          </cell>
          <cell r="C37">
            <v>117</v>
          </cell>
          <cell r="D37">
            <v>8297683.2599999988</v>
          </cell>
        </row>
        <row r="38">
          <cell r="B38" t="str">
            <v>CPB_72000:73999</v>
          </cell>
          <cell r="C38">
            <v>78</v>
          </cell>
          <cell r="D38">
            <v>5684675.9100000011</v>
          </cell>
        </row>
        <row r="39">
          <cell r="B39" t="str">
            <v>CPB_74000:75999</v>
          </cell>
          <cell r="C39">
            <v>58</v>
          </cell>
          <cell r="D39">
            <v>4348599.93</v>
          </cell>
        </row>
        <row r="40">
          <cell r="B40" t="str">
            <v>CPB_76000:77999</v>
          </cell>
          <cell r="C40">
            <v>56</v>
          </cell>
          <cell r="D40">
            <v>4308087.4300000006</v>
          </cell>
        </row>
        <row r="41">
          <cell r="B41" t="str">
            <v>CPB_78000:79999</v>
          </cell>
          <cell r="C41">
            <v>38</v>
          </cell>
          <cell r="D41">
            <v>2999036.8600000003</v>
          </cell>
        </row>
        <row r="42">
          <cell r="B42" t="str">
            <v>CPB_80000:</v>
          </cell>
          <cell r="C42">
            <v>83</v>
          </cell>
          <cell r="D42">
            <v>7174818.7099999981</v>
          </cell>
        </row>
        <row r="43">
          <cell r="B43" t="str">
            <v>Interest_ 0: 0</v>
          </cell>
          <cell r="C43">
            <v>16</v>
          </cell>
          <cell r="D43">
            <v>26643.03</v>
          </cell>
        </row>
        <row r="44">
          <cell r="B44" t="str">
            <v>Interest_ 1: 1</v>
          </cell>
          <cell r="C44">
            <v>358</v>
          </cell>
          <cell r="D44">
            <v>2791735.3899999987</v>
          </cell>
        </row>
        <row r="45">
          <cell r="B45" t="str">
            <v>Interest_ 2: 2</v>
          </cell>
          <cell r="C45">
            <v>2432</v>
          </cell>
          <cell r="D45">
            <v>31397163.910000023</v>
          </cell>
        </row>
        <row r="46">
          <cell r="B46" t="str">
            <v>Interest_ 3: 3</v>
          </cell>
          <cell r="C46">
            <v>1631</v>
          </cell>
          <cell r="D46">
            <v>23751092.400000006</v>
          </cell>
        </row>
        <row r="47">
          <cell r="B47" t="str">
            <v>Interest_ 4: 4</v>
          </cell>
          <cell r="C47">
            <v>2632</v>
          </cell>
          <cell r="D47">
            <v>45224500.13000004</v>
          </cell>
        </row>
        <row r="48">
          <cell r="B48" t="str">
            <v>Interest_ 5: 5</v>
          </cell>
          <cell r="C48">
            <v>4237</v>
          </cell>
          <cell r="D48">
            <v>83343300.139999717</v>
          </cell>
        </row>
        <row r="49">
          <cell r="B49" t="str">
            <v>Interest_ 6: 6</v>
          </cell>
          <cell r="C49">
            <v>5906</v>
          </cell>
          <cell r="D49">
            <v>117368237.49999972</v>
          </cell>
        </row>
        <row r="50">
          <cell r="B50" t="str">
            <v>Interest_ 7: 7</v>
          </cell>
          <cell r="C50">
            <v>9879</v>
          </cell>
          <cell r="D50">
            <v>177314981.24999937</v>
          </cell>
        </row>
        <row r="51">
          <cell r="B51" t="str">
            <v>Interest_ 8: 8</v>
          </cell>
          <cell r="C51">
            <v>10217</v>
          </cell>
          <cell r="D51">
            <v>195561293.51000059</v>
          </cell>
        </row>
        <row r="52">
          <cell r="B52" t="str">
            <v>Interest_ 9: 9</v>
          </cell>
          <cell r="C52">
            <v>5873</v>
          </cell>
          <cell r="D52">
            <v>87315562.819999516</v>
          </cell>
        </row>
        <row r="53">
          <cell r="B53" t="str">
            <v>Interest_10:10</v>
          </cell>
          <cell r="C53">
            <v>1763</v>
          </cell>
          <cell r="D53">
            <v>27214835.249999966</v>
          </cell>
        </row>
        <row r="54">
          <cell r="B54" t="str">
            <v>Interest_11:11</v>
          </cell>
          <cell r="C54">
            <v>445</v>
          </cell>
          <cell r="D54">
            <v>5911674.4899999965</v>
          </cell>
        </row>
        <row r="55">
          <cell r="B55" t="str">
            <v>Interest_12:12</v>
          </cell>
          <cell r="C55">
            <v>133</v>
          </cell>
          <cell r="D55">
            <v>1825870.4099999995</v>
          </cell>
        </row>
        <row r="56">
          <cell r="B56" t="str">
            <v>Interest_13:</v>
          </cell>
          <cell r="C56">
            <v>105</v>
          </cell>
          <cell r="D56">
            <v>953088.24999999965</v>
          </cell>
        </row>
        <row r="57">
          <cell r="B57" t="str">
            <v>Interest_13:13</v>
          </cell>
          <cell r="C57">
            <v>0</v>
          </cell>
          <cell r="D57">
            <v>0</v>
          </cell>
        </row>
        <row r="58">
          <cell r="B58" t="str">
            <v>Interest_14:</v>
          </cell>
          <cell r="C58">
            <v>0</v>
          </cell>
          <cell r="D58">
            <v>0</v>
          </cell>
        </row>
        <row r="59">
          <cell r="B59" t="str">
            <v>Interest_14:14</v>
          </cell>
          <cell r="C59">
            <v>0</v>
          </cell>
          <cell r="D59">
            <v>0</v>
          </cell>
        </row>
        <row r="60">
          <cell r="B60" t="str">
            <v>OPB_     0:  1999</v>
          </cell>
          <cell r="C60">
            <v>1252</v>
          </cell>
          <cell r="D60">
            <v>1617329.6700000037</v>
          </cell>
        </row>
        <row r="61">
          <cell r="B61" t="str">
            <v>OPB_  2000:  3999</v>
          </cell>
          <cell r="C61">
            <v>3675</v>
          </cell>
          <cell r="D61">
            <v>10303467.359999835</v>
          </cell>
        </row>
        <row r="62">
          <cell r="B62" t="str">
            <v>OPB_  4000:  5999</v>
          </cell>
          <cell r="C62">
            <v>4424</v>
          </cell>
          <cell r="D62">
            <v>21606756.450000435</v>
          </cell>
        </row>
        <row r="63">
          <cell r="B63" t="str">
            <v>OPB_  6000:  7999</v>
          </cell>
          <cell r="C63">
            <v>3889</v>
          </cell>
          <cell r="D63">
            <v>26897219.640000202</v>
          </cell>
        </row>
        <row r="64">
          <cell r="B64" t="str">
            <v>OPB_  8000:  9999</v>
          </cell>
          <cell r="C64">
            <v>2780</v>
          </cell>
          <cell r="D64">
            <v>24497306.180000059</v>
          </cell>
        </row>
        <row r="65">
          <cell r="B65" t="str">
            <v>OPB_ 10000: 11999</v>
          </cell>
          <cell r="C65">
            <v>3816</v>
          </cell>
          <cell r="D65">
            <v>40451297.029999666</v>
          </cell>
        </row>
        <row r="66">
          <cell r="B66" t="str">
            <v>OPB_ 12000: 13999</v>
          </cell>
          <cell r="C66">
            <v>2368</v>
          </cell>
          <cell r="D66">
            <v>30421918.650000073</v>
          </cell>
        </row>
        <row r="67">
          <cell r="B67" t="str">
            <v>OPB_ 14000: 15999</v>
          </cell>
          <cell r="C67">
            <v>2522</v>
          </cell>
          <cell r="D67">
            <v>37968366.19000002</v>
          </cell>
        </row>
        <row r="68">
          <cell r="B68" t="str">
            <v>OPB_ 16000: 17999</v>
          </cell>
          <cell r="C68">
            <v>1642</v>
          </cell>
          <cell r="D68">
            <v>27814640.490000077</v>
          </cell>
        </row>
        <row r="69">
          <cell r="B69" t="str">
            <v>OPB_ 18000: 19999</v>
          </cell>
          <cell r="C69">
            <v>1540</v>
          </cell>
          <cell r="D69">
            <v>29084198.509999994</v>
          </cell>
        </row>
        <row r="70">
          <cell r="B70" t="str">
            <v>OPB_ 20000: 21999</v>
          </cell>
          <cell r="C70">
            <v>2267</v>
          </cell>
          <cell r="D70">
            <v>46877098.96999944</v>
          </cell>
        </row>
        <row r="71">
          <cell r="B71" t="str">
            <v>OPB_ 22000: 23999</v>
          </cell>
          <cell r="C71">
            <v>1244</v>
          </cell>
          <cell r="D71">
            <v>28545472.860000014</v>
          </cell>
        </row>
        <row r="72">
          <cell r="B72" t="str">
            <v>OPB_ 24000: 25999</v>
          </cell>
          <cell r="C72">
            <v>1466</v>
          </cell>
          <cell r="D72">
            <v>36514881.530000068</v>
          </cell>
        </row>
        <row r="73">
          <cell r="B73" t="str">
            <v>OPB_ 26000: 27999</v>
          </cell>
          <cell r="C73">
            <v>1258</v>
          </cell>
          <cell r="D73">
            <v>33743736.270000145</v>
          </cell>
        </row>
        <row r="74">
          <cell r="B74" t="str">
            <v>OPB_ 28000: 29999</v>
          </cell>
          <cell r="C74">
            <v>928</v>
          </cell>
          <cell r="D74">
            <v>26835168.73</v>
          </cell>
        </row>
        <row r="75">
          <cell r="B75" t="str">
            <v>OPB_ 30000: 31999</v>
          </cell>
          <cell r="C75">
            <v>1366</v>
          </cell>
          <cell r="D75">
            <v>41973077.349999949</v>
          </cell>
        </row>
        <row r="76">
          <cell r="B76" t="str">
            <v>OPB_ 32000: 33999</v>
          </cell>
          <cell r="C76">
            <v>792</v>
          </cell>
          <cell r="D76">
            <v>26077448.300000012</v>
          </cell>
        </row>
        <row r="77">
          <cell r="B77" t="str">
            <v>OPB_ 34000: 35999</v>
          </cell>
          <cell r="C77">
            <v>836</v>
          </cell>
          <cell r="D77">
            <v>29204259.42000002</v>
          </cell>
        </row>
        <row r="78">
          <cell r="B78" t="str">
            <v>OPB_ 36000: 37999</v>
          </cell>
          <cell r="C78">
            <v>760</v>
          </cell>
          <cell r="D78">
            <v>28038473.429999903</v>
          </cell>
        </row>
        <row r="79">
          <cell r="B79" t="str">
            <v>OPB_ 38000: 39999</v>
          </cell>
          <cell r="C79">
            <v>590</v>
          </cell>
          <cell r="D79">
            <v>22975874.829999968</v>
          </cell>
        </row>
        <row r="80">
          <cell r="B80" t="str">
            <v>OPB_ 40000: 41999</v>
          </cell>
          <cell r="C80">
            <v>882</v>
          </cell>
          <cell r="D80">
            <v>36018940.079999864</v>
          </cell>
        </row>
        <row r="81">
          <cell r="B81" t="str">
            <v>OPB_ 42000: 43999</v>
          </cell>
          <cell r="C81">
            <v>527</v>
          </cell>
          <cell r="D81">
            <v>22638660.290000003</v>
          </cell>
        </row>
        <row r="82">
          <cell r="B82" t="str">
            <v>OPB_ 44000: 45999</v>
          </cell>
          <cell r="C82">
            <v>537</v>
          </cell>
          <cell r="D82">
            <v>24148524.429999992</v>
          </cell>
        </row>
        <row r="83">
          <cell r="B83" t="str">
            <v>OPB_ 46000: 47999</v>
          </cell>
          <cell r="C83">
            <v>401</v>
          </cell>
          <cell r="D83">
            <v>18831576.009999972</v>
          </cell>
        </row>
        <row r="84">
          <cell r="B84" t="str">
            <v>OPB_ 48000: 49999</v>
          </cell>
          <cell r="C84">
            <v>369</v>
          </cell>
          <cell r="D84">
            <v>18049324.230000004</v>
          </cell>
        </row>
        <row r="85">
          <cell r="B85" t="str">
            <v>OPB_ 50000: 51999</v>
          </cell>
          <cell r="C85">
            <v>549</v>
          </cell>
          <cell r="D85">
            <v>27703122.509999979</v>
          </cell>
        </row>
        <row r="86">
          <cell r="B86" t="str">
            <v>OPB_ 52000: 53999</v>
          </cell>
          <cell r="C86">
            <v>355</v>
          </cell>
          <cell r="D86">
            <v>18752103.520000018</v>
          </cell>
        </row>
        <row r="87">
          <cell r="B87" t="str">
            <v>OPB_ 54000: 55999</v>
          </cell>
          <cell r="C87">
            <v>321</v>
          </cell>
          <cell r="D87">
            <v>17653786</v>
          </cell>
        </row>
        <row r="88">
          <cell r="B88" t="str">
            <v>OPB_ 56000: 57999</v>
          </cell>
          <cell r="C88">
            <v>241</v>
          </cell>
          <cell r="D88">
            <v>13725688.769999979</v>
          </cell>
        </row>
        <row r="89">
          <cell r="B89" t="str">
            <v>OPB_ 58000: 59999</v>
          </cell>
          <cell r="C89">
            <v>198</v>
          </cell>
          <cell r="D89">
            <v>11666571.59</v>
          </cell>
        </row>
        <row r="90">
          <cell r="B90" t="str">
            <v>OPB_ 60000: 61999</v>
          </cell>
          <cell r="C90">
            <v>276</v>
          </cell>
          <cell r="D90">
            <v>16729051.990000004</v>
          </cell>
        </row>
        <row r="91">
          <cell r="B91" t="str">
            <v>OPB_ 62000: 63999</v>
          </cell>
          <cell r="C91">
            <v>185</v>
          </cell>
          <cell r="D91">
            <v>11635546.870000014</v>
          </cell>
        </row>
        <row r="92">
          <cell r="B92" t="str">
            <v>OPB_ 64000: 65999</v>
          </cell>
          <cell r="C92">
            <v>187</v>
          </cell>
          <cell r="D92">
            <v>12148278.910000008</v>
          </cell>
        </row>
        <row r="93">
          <cell r="B93" t="str">
            <v>OPB_ 66000: 67999</v>
          </cell>
          <cell r="C93">
            <v>125</v>
          </cell>
          <cell r="D93">
            <v>8380645.9000000004</v>
          </cell>
        </row>
        <row r="94">
          <cell r="B94" t="str">
            <v>OPB_ 68000: 69999</v>
          </cell>
          <cell r="C94">
            <v>143</v>
          </cell>
          <cell r="D94">
            <v>9851724.1499999966</v>
          </cell>
        </row>
        <row r="95">
          <cell r="B95" t="str">
            <v>OPB_ 70000: 71999</v>
          </cell>
          <cell r="C95">
            <v>137</v>
          </cell>
          <cell r="D95">
            <v>9693209.0200000014</v>
          </cell>
        </row>
        <row r="96">
          <cell r="B96" t="str">
            <v>OPB_ 72000: 73999</v>
          </cell>
          <cell r="C96">
            <v>131</v>
          </cell>
          <cell r="D96">
            <v>9556417.9799999986</v>
          </cell>
        </row>
        <row r="97">
          <cell r="B97" t="str">
            <v>OPB_ 74000: 75999</v>
          </cell>
          <cell r="C97">
            <v>195</v>
          </cell>
          <cell r="D97">
            <v>14617351.209999999</v>
          </cell>
        </row>
        <row r="98">
          <cell r="B98" t="str">
            <v>OPB_ 76000: 77999</v>
          </cell>
          <cell r="C98">
            <v>80</v>
          </cell>
          <cell r="D98">
            <v>6171762.6400000006</v>
          </cell>
        </row>
        <row r="99">
          <cell r="B99" t="str">
            <v>OPB_ 78000: 79999</v>
          </cell>
          <cell r="C99">
            <v>113</v>
          </cell>
          <cell r="D99">
            <v>8892196.0499999914</v>
          </cell>
        </row>
        <row r="100">
          <cell r="B100" t="str">
            <v>OPB_ 80000: 81999</v>
          </cell>
          <cell r="C100">
            <v>68</v>
          </cell>
          <cell r="D100">
            <v>5503764.8399999989</v>
          </cell>
        </row>
        <row r="101">
          <cell r="B101" t="str">
            <v>OPB_ 82000: 83999</v>
          </cell>
          <cell r="C101">
            <v>60</v>
          </cell>
          <cell r="D101">
            <v>4980930.4699999988</v>
          </cell>
        </row>
        <row r="102">
          <cell r="B102" t="str">
            <v>OPB_ 84000: 85999</v>
          </cell>
          <cell r="C102">
            <v>44</v>
          </cell>
          <cell r="D102">
            <v>3740346.5099999993</v>
          </cell>
        </row>
        <row r="103">
          <cell r="B103" t="str">
            <v>OPB_ 86000: 87999</v>
          </cell>
          <cell r="C103">
            <v>23</v>
          </cell>
          <cell r="D103">
            <v>1996762.97</v>
          </cell>
        </row>
        <row r="104">
          <cell r="B104" t="str">
            <v>OPB_ 88000: 89999</v>
          </cell>
          <cell r="C104">
            <v>18</v>
          </cell>
          <cell r="D104">
            <v>1600431.3199999998</v>
          </cell>
        </row>
        <row r="105">
          <cell r="B105" t="str">
            <v>OPB_ 90000: 91999</v>
          </cell>
          <cell r="C105">
            <v>11</v>
          </cell>
          <cell r="D105">
            <v>998825.27</v>
          </cell>
        </row>
        <row r="106">
          <cell r="B106" t="str">
            <v>OPB_ 92000: 93999</v>
          </cell>
          <cell r="C106">
            <v>4</v>
          </cell>
          <cell r="D106">
            <v>372252.13999999996</v>
          </cell>
        </row>
        <row r="107">
          <cell r="B107" t="str">
            <v>OPB_ 94000: 95999</v>
          </cell>
          <cell r="C107">
            <v>8</v>
          </cell>
          <cell r="D107">
            <v>758784.81</v>
          </cell>
        </row>
        <row r="108">
          <cell r="B108" t="str">
            <v>OPB_ 96000: 97999</v>
          </cell>
          <cell r="C108">
            <v>3</v>
          </cell>
          <cell r="D108">
            <v>288686.57999999996</v>
          </cell>
        </row>
        <row r="109">
          <cell r="B109" t="str">
            <v>OPB_ 98000: 99999</v>
          </cell>
          <cell r="C109">
            <v>2</v>
          </cell>
          <cell r="D109">
            <v>198134.5</v>
          </cell>
        </row>
        <row r="110">
          <cell r="B110" t="str">
            <v>OPB_100000:</v>
          </cell>
          <cell r="C110">
            <v>19</v>
          </cell>
          <cell r="D110">
            <v>2120154.9800000004</v>
          </cell>
        </row>
        <row r="111">
          <cell r="B111" t="str">
            <v>borrower_1</v>
          </cell>
          <cell r="C111">
            <v>1</v>
          </cell>
          <cell r="D111">
            <v>123951.42</v>
          </cell>
        </row>
        <row r="112">
          <cell r="B112" t="str">
            <v>borrower_10</v>
          </cell>
          <cell r="C112">
            <v>2</v>
          </cell>
          <cell r="D112">
            <v>97107.59</v>
          </cell>
        </row>
        <row r="113">
          <cell r="B113" t="str">
            <v>borrower_11</v>
          </cell>
          <cell r="C113">
            <v>1</v>
          </cell>
          <cell r="D113">
            <v>95804.15</v>
          </cell>
        </row>
        <row r="114">
          <cell r="B114" t="str">
            <v>borrower_12</v>
          </cell>
          <cell r="C114">
            <v>1</v>
          </cell>
          <cell r="D114">
            <v>95702</v>
          </cell>
        </row>
        <row r="115">
          <cell r="B115" t="str">
            <v>borrower_13</v>
          </cell>
          <cell r="C115">
            <v>2</v>
          </cell>
          <cell r="D115">
            <v>92222.989999999991</v>
          </cell>
        </row>
        <row r="116">
          <cell r="B116" t="str">
            <v>borrower_14</v>
          </cell>
          <cell r="C116">
            <v>1</v>
          </cell>
          <cell r="D116">
            <v>91494.51</v>
          </cell>
        </row>
        <row r="117">
          <cell r="B117" t="str">
            <v>borrower_15</v>
          </cell>
          <cell r="C117">
            <v>1</v>
          </cell>
          <cell r="D117">
            <v>90881.48</v>
          </cell>
        </row>
        <row r="118">
          <cell r="B118" t="str">
            <v>borrower_16</v>
          </cell>
          <cell r="C118">
            <v>1</v>
          </cell>
          <cell r="D118">
            <v>90245.9</v>
          </cell>
        </row>
        <row r="119">
          <cell r="B119" t="str">
            <v>borrower_17</v>
          </cell>
          <cell r="C119">
            <v>1</v>
          </cell>
          <cell r="D119">
            <v>89996</v>
          </cell>
        </row>
        <row r="120">
          <cell r="B120" t="str">
            <v>borrower_18</v>
          </cell>
          <cell r="C120">
            <v>1</v>
          </cell>
          <cell r="D120">
            <v>89798.96</v>
          </cell>
        </row>
        <row r="121">
          <cell r="B121" t="str">
            <v>borrower_19</v>
          </cell>
          <cell r="C121">
            <v>1</v>
          </cell>
          <cell r="D121">
            <v>89725.41</v>
          </cell>
        </row>
        <row r="122">
          <cell r="B122" t="str">
            <v>borrower_2</v>
          </cell>
          <cell r="C122">
            <v>1</v>
          </cell>
          <cell r="D122">
            <v>122410.41</v>
          </cell>
        </row>
        <row r="123">
          <cell r="B123" t="str">
            <v>borrower_20</v>
          </cell>
          <cell r="C123">
            <v>1</v>
          </cell>
          <cell r="D123">
            <v>89099.63</v>
          </cell>
        </row>
        <row r="124">
          <cell r="B124" t="str">
            <v>borrower_21</v>
          </cell>
          <cell r="C124">
            <v>1</v>
          </cell>
          <cell r="D124">
            <v>89061.06</v>
          </cell>
        </row>
        <row r="125">
          <cell r="B125" t="str">
            <v>borrower_22</v>
          </cell>
          <cell r="C125">
            <v>2</v>
          </cell>
          <cell r="D125">
            <v>88294.24</v>
          </cell>
        </row>
        <row r="126">
          <cell r="B126" t="str">
            <v>borrower_23</v>
          </cell>
          <cell r="C126">
            <v>1</v>
          </cell>
          <cell r="D126">
            <v>87913.02</v>
          </cell>
        </row>
        <row r="127">
          <cell r="B127" t="str">
            <v>borrower_24</v>
          </cell>
          <cell r="C127">
            <v>1</v>
          </cell>
          <cell r="D127">
            <v>87413.43</v>
          </cell>
        </row>
        <row r="128">
          <cell r="B128" t="str">
            <v>borrower_25</v>
          </cell>
          <cell r="C128">
            <v>1</v>
          </cell>
          <cell r="D128">
            <v>86264</v>
          </cell>
        </row>
        <row r="129">
          <cell r="B129" t="str">
            <v>borrower_3</v>
          </cell>
          <cell r="C129">
            <v>1</v>
          </cell>
          <cell r="D129">
            <v>107805.9</v>
          </cell>
        </row>
        <row r="130">
          <cell r="B130" t="str">
            <v>borrower_4</v>
          </cell>
          <cell r="C130">
            <v>1</v>
          </cell>
          <cell r="D130">
            <v>106709.81</v>
          </cell>
        </row>
        <row r="131">
          <cell r="B131" t="str">
            <v>borrower_5</v>
          </cell>
          <cell r="C131">
            <v>1</v>
          </cell>
          <cell r="D131">
            <v>106225.81</v>
          </cell>
        </row>
        <row r="132">
          <cell r="B132" t="str">
            <v>borrower_6</v>
          </cell>
          <cell r="C132">
            <v>1</v>
          </cell>
          <cell r="D132">
            <v>102872.57</v>
          </cell>
        </row>
        <row r="133">
          <cell r="B133" t="str">
            <v>borrower_7</v>
          </cell>
          <cell r="C133">
            <v>1</v>
          </cell>
          <cell r="D133">
            <v>100943.9</v>
          </cell>
        </row>
        <row r="134">
          <cell r="B134" t="str">
            <v>borrower_8</v>
          </cell>
          <cell r="C134">
            <v>1</v>
          </cell>
          <cell r="D134">
            <v>99857.95</v>
          </cell>
        </row>
        <row r="135">
          <cell r="B135" t="str">
            <v>borrower_9</v>
          </cell>
          <cell r="C135">
            <v>1</v>
          </cell>
          <cell r="D135">
            <v>97861.34</v>
          </cell>
        </row>
        <row r="136">
          <cell r="B136" t="str">
            <v>collateral_secured</v>
          </cell>
          <cell r="C136">
            <v>284</v>
          </cell>
          <cell r="D136">
            <v>9779908.0900000036</v>
          </cell>
        </row>
        <row r="137">
          <cell r="B137" t="str">
            <v>collateral_unsecured</v>
          </cell>
          <cell r="C137">
            <v>45343</v>
          </cell>
          <cell r="D137">
            <v>790220070.39000511</v>
          </cell>
        </row>
        <row r="138">
          <cell r="B138" t="str">
            <v>geo_Baden-Wuerttemberg</v>
          </cell>
          <cell r="C138">
            <v>5872</v>
          </cell>
          <cell r="D138">
            <v>111370614.81999964</v>
          </cell>
        </row>
        <row r="139">
          <cell r="B139" t="str">
            <v>geo_Bavaria</v>
          </cell>
          <cell r="C139">
            <v>6145</v>
          </cell>
          <cell r="D139">
            <v>108210857.92999999</v>
          </cell>
        </row>
        <row r="140">
          <cell r="B140" t="str">
            <v>geo_Berlin</v>
          </cell>
          <cell r="C140">
            <v>1880</v>
          </cell>
          <cell r="D140">
            <v>35032523.840000011</v>
          </cell>
        </row>
        <row r="141">
          <cell r="B141" t="str">
            <v>geo_Brandenburg</v>
          </cell>
          <cell r="C141">
            <v>1754</v>
          </cell>
          <cell r="D141">
            <v>28994246.779999975</v>
          </cell>
        </row>
        <row r="142">
          <cell r="B142" t="str">
            <v>geo_Bremen</v>
          </cell>
          <cell r="C142">
            <v>417</v>
          </cell>
          <cell r="D142">
            <v>7499732.1400000006</v>
          </cell>
        </row>
        <row r="143">
          <cell r="B143" t="str">
            <v>geo_Hamburg</v>
          </cell>
          <cell r="C143">
            <v>869</v>
          </cell>
          <cell r="D143">
            <v>16115326.089999998</v>
          </cell>
        </row>
        <row r="144">
          <cell r="B144" t="str">
            <v>geo_Hesse</v>
          </cell>
          <cell r="C144">
            <v>3137</v>
          </cell>
          <cell r="D144">
            <v>57511316.279999949</v>
          </cell>
        </row>
        <row r="145">
          <cell r="B145" t="str">
            <v>geo_Lower Saxony</v>
          </cell>
          <cell r="C145">
            <v>4682</v>
          </cell>
          <cell r="D145">
            <v>82673651.820000038</v>
          </cell>
        </row>
        <row r="146">
          <cell r="B146" t="str">
            <v>geo_Mecklenburg-Western Pomerania</v>
          </cell>
          <cell r="C146">
            <v>1293</v>
          </cell>
          <cell r="D146">
            <v>21677729.839999959</v>
          </cell>
        </row>
        <row r="147">
          <cell r="B147" t="str">
            <v>geo_North Rhine-Westphalia</v>
          </cell>
          <cell r="C147">
            <v>10162</v>
          </cell>
          <cell r="D147">
            <v>177250899.56000033</v>
          </cell>
        </row>
        <row r="148">
          <cell r="B148" t="str">
            <v>geo_Rhineland-Palatinate</v>
          </cell>
          <cell r="C148">
            <v>2252</v>
          </cell>
          <cell r="D148">
            <v>39739135.639999993</v>
          </cell>
        </row>
        <row r="149">
          <cell r="B149" t="str">
            <v>geo_Saarland</v>
          </cell>
          <cell r="C149">
            <v>686</v>
          </cell>
          <cell r="D149">
            <v>11105902.919999998</v>
          </cell>
        </row>
        <row r="150">
          <cell r="B150" t="str">
            <v>geo_Saxonia</v>
          </cell>
          <cell r="C150">
            <v>1995</v>
          </cell>
          <cell r="D150">
            <v>31146145.480000004</v>
          </cell>
        </row>
        <row r="151">
          <cell r="B151" t="str">
            <v>geo_Saxony-Anhalt</v>
          </cell>
          <cell r="C151">
            <v>1565</v>
          </cell>
          <cell r="D151">
            <v>24044082.469999995</v>
          </cell>
        </row>
        <row r="152">
          <cell r="B152" t="str">
            <v>geo_Schleswig-Holstein</v>
          </cell>
          <cell r="C152">
            <v>1619</v>
          </cell>
          <cell r="D152">
            <v>26165329.800000012</v>
          </cell>
        </row>
        <row r="153">
          <cell r="B153" t="str">
            <v>geo_Thuringia</v>
          </cell>
          <cell r="C153">
            <v>1285</v>
          </cell>
          <cell r="D153">
            <v>21141037.26000002</v>
          </cell>
        </row>
        <row r="154">
          <cell r="B154" t="str">
            <v>geo_n/a</v>
          </cell>
          <cell r="C154">
            <v>14</v>
          </cell>
          <cell r="D154">
            <v>321445.81</v>
          </cell>
        </row>
        <row r="155">
          <cell r="B155" t="str">
            <v>insurance_no</v>
          </cell>
          <cell r="C155">
            <v>17756</v>
          </cell>
          <cell r="D155">
            <v>249345259.56000113</v>
          </cell>
        </row>
        <row r="156">
          <cell r="B156" t="str">
            <v>insurance_yes</v>
          </cell>
          <cell r="C156">
            <v>27871</v>
          </cell>
          <cell r="D156">
            <v>550654718.92000329</v>
          </cell>
        </row>
        <row r="157">
          <cell r="B157" t="str">
            <v>interest_wa interest</v>
          </cell>
          <cell r="C157">
            <v>45627</v>
          </cell>
          <cell r="D157">
            <v>7.5156291922329505E-2</v>
          </cell>
        </row>
        <row r="158">
          <cell r="B158" t="str">
            <v>loanconc_ 1: 1</v>
          </cell>
          <cell r="C158">
            <v>44708</v>
          </cell>
          <cell r="D158">
            <v>789477141.15001023</v>
          </cell>
        </row>
        <row r="159">
          <cell r="B159" t="str">
            <v>loanconc_ 2: 2</v>
          </cell>
          <cell r="C159">
            <v>452</v>
          </cell>
          <cell r="D159">
            <v>10447482.349999985</v>
          </cell>
        </row>
        <row r="160">
          <cell r="B160" t="str">
            <v>loanconc_ 3: 3</v>
          </cell>
          <cell r="C160">
            <v>5</v>
          </cell>
          <cell r="D160">
            <v>75354.98000000001</v>
          </cell>
        </row>
        <row r="161">
          <cell r="B161" t="str">
            <v>loanconc_ 4: 4</v>
          </cell>
          <cell r="C161">
            <v>0</v>
          </cell>
          <cell r="D161">
            <v>0</v>
          </cell>
        </row>
        <row r="162">
          <cell r="B162" t="str">
            <v>loanconc_ 5: 5</v>
          </cell>
          <cell r="C162">
            <v>0</v>
          </cell>
          <cell r="D162">
            <v>0</v>
          </cell>
        </row>
        <row r="163">
          <cell r="B163" t="str">
            <v>loanconc_ 6: 6</v>
          </cell>
          <cell r="C163">
            <v>0</v>
          </cell>
          <cell r="D163">
            <v>0</v>
          </cell>
        </row>
        <row r="164">
          <cell r="B164" t="str">
            <v>loanconc_ 7:</v>
          </cell>
          <cell r="C164">
            <v>0</v>
          </cell>
          <cell r="D164">
            <v>0</v>
          </cell>
        </row>
        <row r="165">
          <cell r="B165" t="str">
            <v>origterm_ 14: 20</v>
          </cell>
          <cell r="C165">
            <v>492</v>
          </cell>
          <cell r="D165">
            <v>743496.62999999942</v>
          </cell>
        </row>
        <row r="166">
          <cell r="B166" t="str">
            <v>origterm_ 21: 27</v>
          </cell>
          <cell r="C166">
            <v>1406</v>
          </cell>
          <cell r="D166">
            <v>3165949.9600000018</v>
          </cell>
        </row>
        <row r="167">
          <cell r="B167" t="str">
            <v>origterm_ 28: 34</v>
          </cell>
          <cell r="C167">
            <v>253</v>
          </cell>
          <cell r="D167">
            <v>1045123.9200000003</v>
          </cell>
        </row>
        <row r="168">
          <cell r="B168" t="str">
            <v>origterm_ 35: 41</v>
          </cell>
          <cell r="C168">
            <v>2261</v>
          </cell>
          <cell r="D168">
            <v>9685908.6199999955</v>
          </cell>
        </row>
        <row r="169">
          <cell r="B169" t="str">
            <v>origterm_ 42: 48</v>
          </cell>
          <cell r="C169">
            <v>429</v>
          </cell>
          <cell r="D169">
            <v>3400978.5000000005</v>
          </cell>
        </row>
        <row r="170">
          <cell r="B170" t="str">
            <v>origterm_ 49: 55</v>
          </cell>
          <cell r="C170">
            <v>2923</v>
          </cell>
          <cell r="D170">
            <v>18707273.139999971</v>
          </cell>
        </row>
        <row r="171">
          <cell r="B171" t="str">
            <v>origterm_ 56: 62</v>
          </cell>
          <cell r="C171">
            <v>3098</v>
          </cell>
          <cell r="D171">
            <v>29326039.490000013</v>
          </cell>
        </row>
        <row r="172">
          <cell r="B172" t="str">
            <v>origterm_ 63: 69</v>
          </cell>
          <cell r="C172">
            <v>501</v>
          </cell>
          <cell r="D172">
            <v>6732257.6100000022</v>
          </cell>
        </row>
        <row r="173">
          <cell r="B173" t="str">
            <v>origterm_ 70: 76</v>
          </cell>
          <cell r="C173">
            <v>2754</v>
          </cell>
          <cell r="D173">
            <v>35637874.830000006</v>
          </cell>
        </row>
        <row r="174">
          <cell r="B174" t="str">
            <v>origterm_ 77: 83</v>
          </cell>
          <cell r="C174">
            <v>551</v>
          </cell>
          <cell r="D174">
            <v>10984182.02</v>
          </cell>
        </row>
        <row r="175">
          <cell r="B175" t="str">
            <v>origterm_ 84: 90</v>
          </cell>
          <cell r="C175">
            <v>6075</v>
          </cell>
          <cell r="D175">
            <v>89605511.259999737</v>
          </cell>
        </row>
        <row r="176">
          <cell r="B176" t="str">
            <v>origterm_ 91: 97</v>
          </cell>
          <cell r="C176">
            <v>18883</v>
          </cell>
          <cell r="D176">
            <v>442013313.77000117</v>
          </cell>
        </row>
        <row r="177">
          <cell r="B177" t="str">
            <v>origterm_ 98:104</v>
          </cell>
          <cell r="C177">
            <v>5543</v>
          </cell>
          <cell r="D177">
            <v>147936685.24000069</v>
          </cell>
        </row>
        <row r="178">
          <cell r="B178" t="str">
            <v>origterm_0: 13</v>
          </cell>
          <cell r="C178">
            <v>435</v>
          </cell>
          <cell r="D178">
            <v>386985.57000000007</v>
          </cell>
        </row>
        <row r="179">
          <cell r="B179" t="str">
            <v>origterm_105:111</v>
          </cell>
          <cell r="C179">
            <v>23</v>
          </cell>
          <cell r="D179">
            <v>628397.91999999993</v>
          </cell>
        </row>
        <row r="180">
          <cell r="B180" t="str">
            <v>origterm_112:</v>
          </cell>
          <cell r="C180">
            <v>0</v>
          </cell>
          <cell r="D180">
            <v>0</v>
          </cell>
        </row>
        <row r="181">
          <cell r="B181" t="str">
            <v>origterm_wa original term</v>
          </cell>
          <cell r="C181">
            <v>45627</v>
          </cell>
          <cell r="D181">
            <v>90.482230255420461</v>
          </cell>
        </row>
        <row r="182">
          <cell r="B182" t="str">
            <v>payment_15th of month</v>
          </cell>
          <cell r="C182">
            <v>11341</v>
          </cell>
          <cell r="D182">
            <v>191420969.18999922</v>
          </cell>
        </row>
        <row r="183">
          <cell r="B183" t="str">
            <v>payment_1st of month</v>
          </cell>
          <cell r="C183">
            <v>34286</v>
          </cell>
          <cell r="D183">
            <v>608579009.29000282</v>
          </cell>
        </row>
        <row r="184">
          <cell r="B184" t="str">
            <v>payment_direct debit</v>
          </cell>
          <cell r="C184">
            <v>44884</v>
          </cell>
          <cell r="D184">
            <v>786687551.57000554</v>
          </cell>
        </row>
        <row r="185">
          <cell r="B185" t="str">
            <v>payment_other</v>
          </cell>
          <cell r="C185">
            <v>743</v>
          </cell>
          <cell r="D185">
            <v>13312426.910000013</v>
          </cell>
        </row>
        <row r="186">
          <cell r="B186" t="str">
            <v>period_1</v>
          </cell>
          <cell r="C186">
            <v>45627</v>
          </cell>
          <cell r="D186">
            <v>799999978.48000312</v>
          </cell>
        </row>
        <row r="187">
          <cell r="B187" t="str">
            <v>period_10</v>
          </cell>
          <cell r="C187">
            <v>44333</v>
          </cell>
          <cell r="D187">
            <v>718227203.70000005</v>
          </cell>
        </row>
        <row r="188">
          <cell r="B188" t="str">
            <v>period_100</v>
          </cell>
          <cell r="C188">
            <v>0</v>
          </cell>
          <cell r="D188">
            <v>0</v>
          </cell>
        </row>
        <row r="189">
          <cell r="B189" t="str">
            <v>period_11</v>
          </cell>
          <cell r="C189">
            <v>44174</v>
          </cell>
          <cell r="D189">
            <v>708998418.34000003</v>
          </cell>
        </row>
        <row r="190">
          <cell r="B190" t="str">
            <v>period_12</v>
          </cell>
          <cell r="C190">
            <v>44024</v>
          </cell>
          <cell r="D190">
            <v>699744833.25</v>
          </cell>
        </row>
        <row r="191">
          <cell r="B191" t="str">
            <v>period_13</v>
          </cell>
          <cell r="C191">
            <v>43856</v>
          </cell>
          <cell r="D191">
            <v>690462106.39999998</v>
          </cell>
        </row>
        <row r="192">
          <cell r="B192" t="str">
            <v>period_14</v>
          </cell>
          <cell r="C192">
            <v>43761</v>
          </cell>
          <cell r="D192">
            <v>681155555.86000001</v>
          </cell>
        </row>
        <row r="193">
          <cell r="B193" t="str">
            <v>period_15</v>
          </cell>
          <cell r="C193">
            <v>43589</v>
          </cell>
          <cell r="D193">
            <v>671810029.54999995</v>
          </cell>
        </row>
        <row r="194">
          <cell r="B194" t="str">
            <v>period_16</v>
          </cell>
          <cell r="C194">
            <v>43403</v>
          </cell>
          <cell r="D194">
            <v>662440242.01999998</v>
          </cell>
        </row>
        <row r="195">
          <cell r="B195" t="str">
            <v>period_17</v>
          </cell>
          <cell r="C195">
            <v>43206</v>
          </cell>
          <cell r="D195">
            <v>653046789.63</v>
          </cell>
        </row>
        <row r="196">
          <cell r="B196" t="str">
            <v>period_18</v>
          </cell>
          <cell r="C196">
            <v>43007</v>
          </cell>
          <cell r="D196">
            <v>643638437.53999996</v>
          </cell>
        </row>
        <row r="197">
          <cell r="B197" t="str">
            <v>period_19</v>
          </cell>
          <cell r="C197">
            <v>42770</v>
          </cell>
          <cell r="D197">
            <v>634209957.12</v>
          </cell>
        </row>
        <row r="198">
          <cell r="B198" t="str">
            <v>period_2</v>
          </cell>
          <cell r="C198">
            <v>45442</v>
          </cell>
          <cell r="D198">
            <v>791042192.45000005</v>
          </cell>
        </row>
        <row r="199">
          <cell r="B199" t="str">
            <v>period_20</v>
          </cell>
          <cell r="C199">
            <v>42635</v>
          </cell>
          <cell r="D199">
            <v>624766565.58000004</v>
          </cell>
        </row>
        <row r="200">
          <cell r="B200" t="str">
            <v>period_21</v>
          </cell>
          <cell r="C200">
            <v>42477</v>
          </cell>
          <cell r="D200">
            <v>615288627.19000006</v>
          </cell>
        </row>
        <row r="201">
          <cell r="B201" t="str">
            <v>period_22</v>
          </cell>
          <cell r="C201">
            <v>42299</v>
          </cell>
          <cell r="D201">
            <v>605784406.25999999</v>
          </cell>
        </row>
        <row r="202">
          <cell r="B202" t="str">
            <v>period_23</v>
          </cell>
          <cell r="C202">
            <v>42159</v>
          </cell>
          <cell r="D202">
            <v>596255482.13999999</v>
          </cell>
        </row>
        <row r="203">
          <cell r="B203" t="str">
            <v>period_24</v>
          </cell>
          <cell r="C203">
            <v>41966</v>
          </cell>
          <cell r="D203">
            <v>586693630.98000002</v>
          </cell>
        </row>
        <row r="204">
          <cell r="B204" t="str">
            <v>period_25</v>
          </cell>
          <cell r="C204">
            <v>41756</v>
          </cell>
          <cell r="D204">
            <v>577110426.35000002</v>
          </cell>
        </row>
        <row r="205">
          <cell r="B205" t="str">
            <v>period_26</v>
          </cell>
          <cell r="C205">
            <v>41609</v>
          </cell>
          <cell r="D205">
            <v>567505846.71000004</v>
          </cell>
        </row>
        <row r="206">
          <cell r="B206" t="str">
            <v>period_27</v>
          </cell>
          <cell r="C206">
            <v>41376</v>
          </cell>
          <cell r="D206">
            <v>557872126.25</v>
          </cell>
        </row>
        <row r="207">
          <cell r="B207" t="str">
            <v>period_28</v>
          </cell>
          <cell r="C207">
            <v>41093</v>
          </cell>
          <cell r="D207">
            <v>548226809.57000005</v>
          </cell>
        </row>
        <row r="208">
          <cell r="B208" t="str">
            <v>period_29</v>
          </cell>
          <cell r="C208">
            <v>40813</v>
          </cell>
          <cell r="D208">
            <v>538579556.71000004</v>
          </cell>
        </row>
        <row r="209">
          <cell r="B209" t="str">
            <v>period_3</v>
          </cell>
          <cell r="C209">
            <v>45297</v>
          </cell>
          <cell r="D209">
            <v>782033880.90999997</v>
          </cell>
        </row>
        <row r="210">
          <cell r="B210" t="str">
            <v>period_30</v>
          </cell>
          <cell r="C210">
            <v>40528</v>
          </cell>
          <cell r="D210">
            <v>528931050.75</v>
          </cell>
        </row>
        <row r="211">
          <cell r="B211" t="str">
            <v>period_31</v>
          </cell>
          <cell r="C211">
            <v>40137</v>
          </cell>
          <cell r="D211">
            <v>519290048.66000003</v>
          </cell>
        </row>
        <row r="212">
          <cell r="B212" t="str">
            <v>period_32</v>
          </cell>
          <cell r="C212">
            <v>39943</v>
          </cell>
          <cell r="D212">
            <v>509665220.91000003</v>
          </cell>
        </row>
        <row r="213">
          <cell r="B213" t="str">
            <v>period_33</v>
          </cell>
          <cell r="C213">
            <v>39738</v>
          </cell>
          <cell r="D213">
            <v>500021635.75999999</v>
          </cell>
        </row>
        <row r="214">
          <cell r="B214" t="str">
            <v>period_34</v>
          </cell>
          <cell r="C214">
            <v>39542</v>
          </cell>
          <cell r="D214">
            <v>490362708.80000001</v>
          </cell>
        </row>
        <row r="215">
          <cell r="B215" t="str">
            <v>period_35</v>
          </cell>
          <cell r="C215">
            <v>39328</v>
          </cell>
          <cell r="D215">
            <v>480680482.14999998</v>
          </cell>
        </row>
        <row r="216">
          <cell r="B216" t="str">
            <v>period_36</v>
          </cell>
          <cell r="C216">
            <v>39097</v>
          </cell>
          <cell r="D216">
            <v>470976024.77999997</v>
          </cell>
        </row>
        <row r="217">
          <cell r="B217" t="str">
            <v>period_37</v>
          </cell>
          <cell r="C217">
            <v>38891</v>
          </cell>
          <cell r="D217">
            <v>461259252.41000003</v>
          </cell>
        </row>
        <row r="218">
          <cell r="B218" t="str">
            <v>period_38</v>
          </cell>
          <cell r="C218">
            <v>38726</v>
          </cell>
          <cell r="D218">
            <v>451535659.13999999</v>
          </cell>
        </row>
        <row r="219">
          <cell r="B219" t="str">
            <v>period_39</v>
          </cell>
          <cell r="C219">
            <v>38407</v>
          </cell>
          <cell r="D219">
            <v>441790128.01999998</v>
          </cell>
        </row>
        <row r="220">
          <cell r="B220" t="str">
            <v>period_4</v>
          </cell>
          <cell r="C220">
            <v>45131</v>
          </cell>
          <cell r="D220">
            <v>772995735.65999997</v>
          </cell>
        </row>
        <row r="221">
          <cell r="B221" t="str">
            <v>period_40</v>
          </cell>
          <cell r="C221">
            <v>38098</v>
          </cell>
          <cell r="D221">
            <v>432055156.76999998</v>
          </cell>
        </row>
        <row r="222">
          <cell r="B222" t="str">
            <v>period_41</v>
          </cell>
          <cell r="C222">
            <v>37749</v>
          </cell>
          <cell r="D222">
            <v>422323681.94</v>
          </cell>
        </row>
        <row r="223">
          <cell r="B223" t="str">
            <v>period_42</v>
          </cell>
          <cell r="C223">
            <v>37406</v>
          </cell>
          <cell r="D223">
            <v>412609843.60000002</v>
          </cell>
        </row>
        <row r="224">
          <cell r="B224" t="str">
            <v>period_43</v>
          </cell>
          <cell r="C224">
            <v>36951</v>
          </cell>
          <cell r="D224">
            <v>402911755.23000002</v>
          </cell>
        </row>
        <row r="225">
          <cell r="B225" t="str">
            <v>period_44</v>
          </cell>
          <cell r="C225">
            <v>36728</v>
          </cell>
          <cell r="D225">
            <v>393248626.22000003</v>
          </cell>
        </row>
        <row r="226">
          <cell r="B226" t="str">
            <v>period_45</v>
          </cell>
          <cell r="C226">
            <v>36514</v>
          </cell>
          <cell r="D226">
            <v>383577317.81999999</v>
          </cell>
        </row>
        <row r="227">
          <cell r="B227" t="str">
            <v>period_46</v>
          </cell>
          <cell r="C227">
            <v>36268</v>
          </cell>
          <cell r="D227">
            <v>373897963.02999997</v>
          </cell>
        </row>
        <row r="228">
          <cell r="B228" t="str">
            <v>period_47</v>
          </cell>
          <cell r="C228">
            <v>36046</v>
          </cell>
          <cell r="D228">
            <v>364214516.06</v>
          </cell>
        </row>
        <row r="229">
          <cell r="B229" t="str">
            <v>period_48</v>
          </cell>
          <cell r="C229">
            <v>35825</v>
          </cell>
          <cell r="D229">
            <v>354524733.74000001</v>
          </cell>
        </row>
        <row r="230">
          <cell r="B230" t="str">
            <v>period_49</v>
          </cell>
          <cell r="C230">
            <v>35596</v>
          </cell>
          <cell r="D230">
            <v>344832703.50999999</v>
          </cell>
        </row>
        <row r="231">
          <cell r="B231" t="str">
            <v>period_5</v>
          </cell>
          <cell r="C231">
            <v>45002</v>
          </cell>
          <cell r="D231">
            <v>763935469.92999995</v>
          </cell>
        </row>
        <row r="232">
          <cell r="B232" t="str">
            <v>period_50</v>
          </cell>
          <cell r="C232">
            <v>35423</v>
          </cell>
          <cell r="D232">
            <v>335140517.79000002</v>
          </cell>
        </row>
        <row r="233">
          <cell r="B233" t="str">
            <v>period_51</v>
          </cell>
          <cell r="C233">
            <v>35137</v>
          </cell>
          <cell r="D233">
            <v>325437400.24000001</v>
          </cell>
        </row>
        <row r="234">
          <cell r="B234" t="str">
            <v>period_52</v>
          </cell>
          <cell r="C234">
            <v>34772</v>
          </cell>
          <cell r="D234">
            <v>315744880.63</v>
          </cell>
        </row>
        <row r="235">
          <cell r="B235" t="str">
            <v>period_53</v>
          </cell>
          <cell r="C235">
            <v>34420</v>
          </cell>
          <cell r="D235">
            <v>306080341.56999999</v>
          </cell>
        </row>
        <row r="236">
          <cell r="B236" t="str">
            <v>period_54</v>
          </cell>
          <cell r="C236">
            <v>34044</v>
          </cell>
          <cell r="D236">
            <v>296446075.57999998</v>
          </cell>
        </row>
        <row r="237">
          <cell r="B237" t="str">
            <v>period_55</v>
          </cell>
          <cell r="C237">
            <v>33541</v>
          </cell>
          <cell r="D237">
            <v>286849945.42000002</v>
          </cell>
        </row>
        <row r="238">
          <cell r="B238" t="str">
            <v>period_56</v>
          </cell>
          <cell r="C238">
            <v>33343</v>
          </cell>
          <cell r="D238">
            <v>277311194.66000003</v>
          </cell>
        </row>
        <row r="239">
          <cell r="B239" t="str">
            <v>period_57</v>
          </cell>
          <cell r="C239">
            <v>33129</v>
          </cell>
          <cell r="D239">
            <v>267765825.83000001</v>
          </cell>
        </row>
        <row r="240">
          <cell r="B240" t="str">
            <v>period_58</v>
          </cell>
          <cell r="C240">
            <v>32891</v>
          </cell>
          <cell r="D240">
            <v>258212621.52000001</v>
          </cell>
        </row>
        <row r="241">
          <cell r="B241" t="str">
            <v>period_59</v>
          </cell>
          <cell r="C241">
            <v>32657</v>
          </cell>
          <cell r="D241">
            <v>248660960.41</v>
          </cell>
        </row>
        <row r="242">
          <cell r="B242" t="str">
            <v>period_6</v>
          </cell>
          <cell r="C242">
            <v>44857</v>
          </cell>
          <cell r="D242">
            <v>754845618.01999998</v>
          </cell>
        </row>
        <row r="243">
          <cell r="B243" t="str">
            <v>period_60</v>
          </cell>
          <cell r="C243">
            <v>32400</v>
          </cell>
          <cell r="D243">
            <v>239112803.84</v>
          </cell>
        </row>
        <row r="244">
          <cell r="B244" t="str">
            <v>period_61</v>
          </cell>
          <cell r="C244">
            <v>32154</v>
          </cell>
          <cell r="D244">
            <v>229574516.81999999</v>
          </cell>
        </row>
        <row r="245">
          <cell r="B245" t="str">
            <v>period_62</v>
          </cell>
          <cell r="C245">
            <v>31925</v>
          </cell>
          <cell r="D245">
            <v>220044957.88999999</v>
          </cell>
        </row>
        <row r="246">
          <cell r="B246" t="str">
            <v>period_63</v>
          </cell>
          <cell r="C246">
            <v>31593</v>
          </cell>
          <cell r="D246">
            <v>210516605.78999999</v>
          </cell>
        </row>
        <row r="247">
          <cell r="B247" t="str">
            <v>period_64</v>
          </cell>
          <cell r="C247">
            <v>31202</v>
          </cell>
          <cell r="D247">
            <v>201017035.34999999</v>
          </cell>
        </row>
        <row r="248">
          <cell r="B248" t="str">
            <v>period_65</v>
          </cell>
          <cell r="C248">
            <v>30772</v>
          </cell>
          <cell r="D248">
            <v>191559897.90000001</v>
          </cell>
        </row>
        <row r="249">
          <cell r="B249" t="str">
            <v>period_66</v>
          </cell>
          <cell r="C249">
            <v>30265</v>
          </cell>
          <cell r="D249">
            <v>182157591.71000001</v>
          </cell>
        </row>
        <row r="250">
          <cell r="B250" t="str">
            <v>period_67</v>
          </cell>
          <cell r="C250">
            <v>29652</v>
          </cell>
          <cell r="D250">
            <v>172836220.40000001</v>
          </cell>
        </row>
        <row r="251">
          <cell r="B251" t="str">
            <v>period_68</v>
          </cell>
          <cell r="C251">
            <v>29339</v>
          </cell>
          <cell r="D251">
            <v>163609237.94999999</v>
          </cell>
        </row>
        <row r="252">
          <cell r="B252" t="str">
            <v>period_69</v>
          </cell>
          <cell r="C252">
            <v>29005</v>
          </cell>
          <cell r="D252">
            <v>154415327.53999999</v>
          </cell>
        </row>
        <row r="253">
          <cell r="B253" t="str">
            <v>period_7</v>
          </cell>
          <cell r="C253">
            <v>44711</v>
          </cell>
          <cell r="D253">
            <v>745734004.40999997</v>
          </cell>
        </row>
        <row r="254">
          <cell r="B254" t="str">
            <v>period_70</v>
          </cell>
          <cell r="C254">
            <v>28551</v>
          </cell>
          <cell r="D254">
            <v>145255488.38</v>
          </cell>
        </row>
        <row r="255">
          <cell r="B255" t="str">
            <v>period_71</v>
          </cell>
          <cell r="C255">
            <v>28069</v>
          </cell>
          <cell r="D255">
            <v>136155209.81</v>
          </cell>
        </row>
        <row r="256">
          <cell r="B256" t="str">
            <v>period_72</v>
          </cell>
          <cell r="C256">
            <v>27541</v>
          </cell>
          <cell r="D256">
            <v>127123193.91</v>
          </cell>
        </row>
        <row r="257">
          <cell r="B257" t="str">
            <v>period_73</v>
          </cell>
          <cell r="C257">
            <v>26948</v>
          </cell>
          <cell r="D257">
            <v>118186843.3</v>
          </cell>
        </row>
        <row r="258">
          <cell r="B258" t="str">
            <v>period_74</v>
          </cell>
          <cell r="C258">
            <v>26604</v>
          </cell>
          <cell r="D258">
            <v>109372219.73999999</v>
          </cell>
        </row>
        <row r="259">
          <cell r="B259" t="str">
            <v>period_75</v>
          </cell>
          <cell r="C259">
            <v>25927</v>
          </cell>
          <cell r="D259">
            <v>100613584.59</v>
          </cell>
        </row>
        <row r="260">
          <cell r="B260" t="str">
            <v>period_76</v>
          </cell>
          <cell r="C260">
            <v>25168</v>
          </cell>
          <cell r="D260">
            <v>92007567.939999998</v>
          </cell>
        </row>
        <row r="261">
          <cell r="B261" t="str">
            <v>period_77</v>
          </cell>
          <cell r="C261">
            <v>24271</v>
          </cell>
          <cell r="D261">
            <v>83597509</v>
          </cell>
        </row>
        <row r="262">
          <cell r="B262" t="str">
            <v>period_78</v>
          </cell>
          <cell r="C262">
            <v>23315</v>
          </cell>
          <cell r="D262">
            <v>75417597.969999999</v>
          </cell>
        </row>
        <row r="263">
          <cell r="B263" t="str">
            <v>period_79</v>
          </cell>
          <cell r="C263">
            <v>21952</v>
          </cell>
          <cell r="D263">
            <v>67474596.760000005</v>
          </cell>
        </row>
        <row r="264">
          <cell r="B264" t="str">
            <v>period_8</v>
          </cell>
          <cell r="C264">
            <v>44606</v>
          </cell>
          <cell r="D264">
            <v>736597826.49000001</v>
          </cell>
        </row>
        <row r="265">
          <cell r="B265" t="str">
            <v>period_80</v>
          </cell>
          <cell r="C265">
            <v>21204</v>
          </cell>
          <cell r="D265">
            <v>59894990.619999997</v>
          </cell>
        </row>
        <row r="266">
          <cell r="B266" t="str">
            <v>period_81</v>
          </cell>
          <cell r="C266">
            <v>20321</v>
          </cell>
          <cell r="D266">
            <v>52521123.439999998</v>
          </cell>
        </row>
        <row r="267">
          <cell r="B267" t="str">
            <v>period_82</v>
          </cell>
          <cell r="C267">
            <v>19086</v>
          </cell>
          <cell r="D267">
            <v>45395490.229999997</v>
          </cell>
        </row>
        <row r="268">
          <cell r="B268" t="str">
            <v>period_83</v>
          </cell>
          <cell r="C268">
            <v>17997</v>
          </cell>
          <cell r="D268">
            <v>38651245.759999998</v>
          </cell>
        </row>
        <row r="269">
          <cell r="B269" t="str">
            <v>period_84</v>
          </cell>
          <cell r="C269">
            <v>16994</v>
          </cell>
          <cell r="D269">
            <v>32251564.920000002</v>
          </cell>
        </row>
        <row r="270">
          <cell r="B270" t="str">
            <v>period_85</v>
          </cell>
          <cell r="C270">
            <v>15757</v>
          </cell>
          <cell r="D270">
            <v>26188198.27</v>
          </cell>
        </row>
        <row r="271">
          <cell r="B271" t="str">
            <v>period_86</v>
          </cell>
          <cell r="C271">
            <v>14924</v>
          </cell>
          <cell r="D271">
            <v>20545049.109999999</v>
          </cell>
        </row>
        <row r="272">
          <cell r="B272" t="str">
            <v>period_87</v>
          </cell>
          <cell r="C272">
            <v>13214</v>
          </cell>
          <cell r="D272">
            <v>15177712.060000001</v>
          </cell>
        </row>
        <row r="273">
          <cell r="B273" t="str">
            <v>period_88</v>
          </cell>
          <cell r="C273">
            <v>10842</v>
          </cell>
          <cell r="D273">
            <v>10424595.01</v>
          </cell>
        </row>
        <row r="274">
          <cell r="B274" t="str">
            <v>period_89</v>
          </cell>
          <cell r="C274">
            <v>8443</v>
          </cell>
          <cell r="D274">
            <v>6541774.46</v>
          </cell>
        </row>
        <row r="275">
          <cell r="B275" t="str">
            <v>period_9</v>
          </cell>
          <cell r="C275">
            <v>44483</v>
          </cell>
          <cell r="D275">
            <v>727428489.73000002</v>
          </cell>
        </row>
        <row r="276">
          <cell r="B276" t="str">
            <v>period_90</v>
          </cell>
          <cell r="C276">
            <v>5897</v>
          </cell>
          <cell r="D276">
            <v>3529720.97</v>
          </cell>
        </row>
        <row r="277">
          <cell r="B277" t="str">
            <v>period_91</v>
          </cell>
          <cell r="C277">
            <v>2089</v>
          </cell>
          <cell r="D277">
            <v>1462612.23</v>
          </cell>
        </row>
        <row r="278">
          <cell r="B278" t="str">
            <v>period_92</v>
          </cell>
          <cell r="C278">
            <v>1355</v>
          </cell>
          <cell r="D278">
            <v>802479</v>
          </cell>
        </row>
        <row r="279">
          <cell r="B279" t="str">
            <v>period_93</v>
          </cell>
          <cell r="C279">
            <v>798</v>
          </cell>
          <cell r="D279">
            <v>387439.93</v>
          </cell>
        </row>
        <row r="280">
          <cell r="B280" t="str">
            <v>period_94</v>
          </cell>
          <cell r="C280">
            <v>379</v>
          </cell>
          <cell r="D280">
            <v>153789.99</v>
          </cell>
        </row>
        <row r="281">
          <cell r="B281" t="str">
            <v>period_95</v>
          </cell>
          <cell r="C281">
            <v>139</v>
          </cell>
          <cell r="D281">
            <v>48383.25</v>
          </cell>
        </row>
        <row r="282">
          <cell r="B282" t="str">
            <v>period_96</v>
          </cell>
          <cell r="C282">
            <v>14</v>
          </cell>
          <cell r="D282">
            <v>9243.59</v>
          </cell>
        </row>
        <row r="283">
          <cell r="B283" t="str">
            <v>period_97</v>
          </cell>
          <cell r="C283">
            <v>7</v>
          </cell>
          <cell r="D283">
            <v>3498.3</v>
          </cell>
        </row>
        <row r="284">
          <cell r="B284" t="str">
            <v>period_98</v>
          </cell>
          <cell r="C284">
            <v>1</v>
          </cell>
          <cell r="D284">
            <v>309.33</v>
          </cell>
        </row>
        <row r="285">
          <cell r="B285" t="str">
            <v>period_99</v>
          </cell>
          <cell r="C285">
            <v>0</v>
          </cell>
          <cell r="D285">
            <v>0</v>
          </cell>
        </row>
        <row r="286">
          <cell r="B286" t="str">
            <v>remaining_  0:  6</v>
          </cell>
          <cell r="C286">
            <v>888</v>
          </cell>
          <cell r="D286">
            <v>619016.85000000021</v>
          </cell>
        </row>
        <row r="287">
          <cell r="B287" t="str">
            <v>remaining_  7: 13</v>
          </cell>
          <cell r="C287">
            <v>951</v>
          </cell>
          <cell r="D287">
            <v>1792499.889999999</v>
          </cell>
        </row>
        <row r="288">
          <cell r="B288" t="str">
            <v>remaining_ 14: 20</v>
          </cell>
          <cell r="C288">
            <v>1284</v>
          </cell>
          <cell r="D288">
            <v>3899839.4000000004</v>
          </cell>
        </row>
        <row r="289">
          <cell r="B289" t="str">
            <v>remaining_ 21: 27</v>
          </cell>
          <cell r="C289">
            <v>1385</v>
          </cell>
          <cell r="D289">
            <v>6078292.4800000051</v>
          </cell>
        </row>
        <row r="290">
          <cell r="B290" t="str">
            <v>remaining_ 28: 34</v>
          </cell>
          <cell r="C290">
            <v>1766</v>
          </cell>
          <cell r="D290">
            <v>9931851.1199999992</v>
          </cell>
        </row>
        <row r="291">
          <cell r="B291" t="str">
            <v>remaining_ 35: 41</v>
          </cell>
          <cell r="C291">
            <v>1924</v>
          </cell>
          <cell r="D291">
            <v>14577371.870000014</v>
          </cell>
        </row>
        <row r="292">
          <cell r="B292" t="str">
            <v>remaining_ 42: 48</v>
          </cell>
          <cell r="C292">
            <v>1813</v>
          </cell>
          <cell r="D292">
            <v>16643722.390000004</v>
          </cell>
        </row>
        <row r="293">
          <cell r="B293" t="str">
            <v>remaining_ 49: 55</v>
          </cell>
          <cell r="C293">
            <v>2253</v>
          </cell>
          <cell r="D293">
            <v>25131559.350000009</v>
          </cell>
        </row>
        <row r="294">
          <cell r="B294" t="str">
            <v>remaining_ 56: 62</v>
          </cell>
          <cell r="C294">
            <v>1752</v>
          </cell>
          <cell r="D294">
            <v>23185942.430000022</v>
          </cell>
        </row>
        <row r="295">
          <cell r="B295" t="str">
            <v>remaining_ 63: 69</v>
          </cell>
          <cell r="C295">
            <v>3042</v>
          </cell>
          <cell r="D295">
            <v>44935581.860000089</v>
          </cell>
        </row>
        <row r="296">
          <cell r="B296" t="str">
            <v>remaining_ 70: 76</v>
          </cell>
          <cell r="C296">
            <v>4282</v>
          </cell>
          <cell r="D296">
            <v>79475760.2700001</v>
          </cell>
        </row>
        <row r="297">
          <cell r="B297" t="str">
            <v>remaining_ 77: 83</v>
          </cell>
          <cell r="C297">
            <v>7280</v>
          </cell>
          <cell r="D297">
            <v>159197905.89000028</v>
          </cell>
        </row>
        <row r="298">
          <cell r="B298" t="str">
            <v>remaining_ 84: 90</v>
          </cell>
          <cell r="C298">
            <v>14917</v>
          </cell>
          <cell r="D298">
            <v>369784161.0099991</v>
          </cell>
        </row>
        <row r="299">
          <cell r="B299" t="str">
            <v>remaining_ 91: 97</v>
          </cell>
          <cell r="C299">
            <v>2089</v>
          </cell>
          <cell r="D299">
            <v>44725272.260000013</v>
          </cell>
        </row>
        <row r="300">
          <cell r="B300" t="str">
            <v>remaining_98:</v>
          </cell>
          <cell r="C300">
            <v>1</v>
          </cell>
          <cell r="D300">
            <v>21201.41</v>
          </cell>
        </row>
        <row r="301">
          <cell r="B301" t="str">
            <v>remaining_wa remaining term</v>
          </cell>
          <cell r="C301">
            <v>45627</v>
          </cell>
          <cell r="D301">
            <v>78.387419238783934</v>
          </cell>
        </row>
        <row r="302">
          <cell r="B302" t="str">
            <v>seasoning_ 0: 2</v>
          </cell>
          <cell r="C302">
            <v>173</v>
          </cell>
          <cell r="D302">
            <v>2019733.4</v>
          </cell>
        </row>
        <row r="303">
          <cell r="B303" t="str">
            <v>seasoning_ 3: 5</v>
          </cell>
          <cell r="C303">
            <v>1883</v>
          </cell>
          <cell r="D303">
            <v>26333863.179999989</v>
          </cell>
        </row>
        <row r="304">
          <cell r="B304" t="str">
            <v>seasoning_ 6: 8</v>
          </cell>
          <cell r="C304">
            <v>11497</v>
          </cell>
          <cell r="D304">
            <v>213582662.61999959</v>
          </cell>
        </row>
        <row r="305">
          <cell r="B305" t="str">
            <v>seasoning_ 9:11</v>
          </cell>
          <cell r="C305">
            <v>12529</v>
          </cell>
          <cell r="D305">
            <v>234896242.50999951</v>
          </cell>
        </row>
        <row r="306">
          <cell r="B306" t="str">
            <v>seasoning_12:14</v>
          </cell>
          <cell r="C306">
            <v>5241</v>
          </cell>
          <cell r="D306">
            <v>95596301.709999487</v>
          </cell>
        </row>
        <row r="307">
          <cell r="B307" t="str">
            <v>seasoning_15:17</v>
          </cell>
          <cell r="C307">
            <v>5949</v>
          </cell>
          <cell r="D307">
            <v>98575589.540000051</v>
          </cell>
        </row>
        <row r="308">
          <cell r="B308" t="str">
            <v>seasoning_18:20</v>
          </cell>
          <cell r="C308">
            <v>3314</v>
          </cell>
          <cell r="D308">
            <v>56059896.020000048</v>
          </cell>
        </row>
        <row r="309">
          <cell r="B309" t="str">
            <v>seasoning_21:23</v>
          </cell>
          <cell r="C309">
            <v>2519</v>
          </cell>
          <cell r="D309">
            <v>40871601.35999997</v>
          </cell>
        </row>
        <row r="310">
          <cell r="B310" t="str">
            <v>seasoning_24:26</v>
          </cell>
          <cell r="C310">
            <v>1496</v>
          </cell>
          <cell r="D310">
            <v>19688810.889999975</v>
          </cell>
        </row>
        <row r="311">
          <cell r="B311" t="str">
            <v>seasoning_27:29</v>
          </cell>
          <cell r="C311">
            <v>457</v>
          </cell>
          <cell r="D311">
            <v>5748628.0100000026</v>
          </cell>
        </row>
        <row r="312">
          <cell r="B312" t="str">
            <v>seasoning_30:32</v>
          </cell>
          <cell r="C312">
            <v>192</v>
          </cell>
          <cell r="D312">
            <v>2782831.6299999994</v>
          </cell>
        </row>
        <row r="313">
          <cell r="B313" t="str">
            <v>seasoning_33:35</v>
          </cell>
          <cell r="C313">
            <v>135</v>
          </cell>
          <cell r="D313">
            <v>1698030.2699999993</v>
          </cell>
        </row>
        <row r="314">
          <cell r="B314" t="str">
            <v>seasoning_36:38</v>
          </cell>
          <cell r="C314">
            <v>92</v>
          </cell>
          <cell r="D314">
            <v>1001458.61</v>
          </cell>
        </row>
        <row r="315">
          <cell r="B315" t="str">
            <v>seasoning_39:41</v>
          </cell>
          <cell r="C315">
            <v>39</v>
          </cell>
          <cell r="D315">
            <v>382719.33</v>
          </cell>
        </row>
        <row r="316">
          <cell r="B316" t="str">
            <v>seasoning_42:44</v>
          </cell>
          <cell r="C316">
            <v>19</v>
          </cell>
          <cell r="D316">
            <v>150957.28000000003</v>
          </cell>
        </row>
        <row r="317">
          <cell r="B317" t="str">
            <v>seasoning_45:47</v>
          </cell>
          <cell r="C317">
            <v>20</v>
          </cell>
          <cell r="D317">
            <v>163769.87000000002</v>
          </cell>
        </row>
        <row r="318">
          <cell r="B318" t="str">
            <v>seasoning_48:50</v>
          </cell>
          <cell r="C318">
            <v>21</v>
          </cell>
          <cell r="D318">
            <v>142869.33999999997</v>
          </cell>
        </row>
        <row r="319">
          <cell r="B319" t="str">
            <v>seasoning_51:53</v>
          </cell>
          <cell r="C319">
            <v>9</v>
          </cell>
          <cell r="D319">
            <v>55373.899999999994</v>
          </cell>
        </row>
        <row r="320">
          <cell r="B320" t="str">
            <v>seasoning_54:56</v>
          </cell>
          <cell r="C320">
            <v>9</v>
          </cell>
          <cell r="D320">
            <v>46702.090000000004</v>
          </cell>
        </row>
        <row r="321">
          <cell r="B321" t="str">
            <v>seasoning_57:59</v>
          </cell>
          <cell r="C321">
            <v>12</v>
          </cell>
          <cell r="D321">
            <v>87913.680000000008</v>
          </cell>
        </row>
        <row r="322">
          <cell r="B322" t="str">
            <v>seasoning_60:62</v>
          </cell>
          <cell r="C322">
            <v>2</v>
          </cell>
          <cell r="D322">
            <v>22813.260000000002</v>
          </cell>
        </row>
        <row r="323">
          <cell r="B323" t="str">
            <v>seasoning_63:65</v>
          </cell>
          <cell r="C323">
            <v>3</v>
          </cell>
          <cell r="D323">
            <v>27101.09</v>
          </cell>
        </row>
        <row r="324">
          <cell r="B324" t="str">
            <v>seasoning_66:68</v>
          </cell>
          <cell r="C324">
            <v>3</v>
          </cell>
          <cell r="D324">
            <v>25492.1</v>
          </cell>
        </row>
        <row r="325">
          <cell r="B325" t="str">
            <v>seasoning_69:71</v>
          </cell>
          <cell r="C325">
            <v>4</v>
          </cell>
          <cell r="D325">
            <v>11783.06</v>
          </cell>
        </row>
        <row r="326">
          <cell r="B326" t="str">
            <v>seasoning_72:74</v>
          </cell>
          <cell r="C326">
            <v>3</v>
          </cell>
          <cell r="D326">
            <v>7007.35</v>
          </cell>
        </row>
        <row r="327">
          <cell r="B327" t="str">
            <v>seasoning_75:77</v>
          </cell>
          <cell r="C327">
            <v>4</v>
          </cell>
          <cell r="D327">
            <v>18270.66</v>
          </cell>
        </row>
        <row r="328">
          <cell r="B328" t="str">
            <v>seasoning_78:80</v>
          </cell>
          <cell r="C328">
            <v>0</v>
          </cell>
          <cell r="D328">
            <v>0</v>
          </cell>
        </row>
        <row r="329">
          <cell r="B329" t="str">
            <v>seasoning_81:</v>
          </cell>
          <cell r="C329">
            <v>2</v>
          </cell>
          <cell r="D329">
            <v>1555.72</v>
          </cell>
        </row>
        <row r="330">
          <cell r="B330" t="str">
            <v>seasoning_wa seasoning</v>
          </cell>
          <cell r="C330">
            <v>45627</v>
          </cell>
          <cell r="D330">
            <v>12.094811016637822</v>
          </cell>
        </row>
      </sheetData>
      <sheetData sheetId="38">
        <row r="1">
          <cell r="B1" t="str">
            <v>VARIABLE</v>
          </cell>
          <cell r="C1" t="str">
            <v>NUM</v>
          </cell>
          <cell r="D1" t="str">
            <v>DATE</v>
          </cell>
          <cell r="E1" t="str">
            <v>STRG</v>
          </cell>
        </row>
        <row r="2">
          <cell r="B2" t="str">
            <v>Reporting_Date</v>
          </cell>
          <cell r="D2">
            <v>45299</v>
          </cell>
          <cell r="E2" t="str">
            <v/>
          </cell>
        </row>
        <row r="3">
          <cell r="B3" t="str">
            <v>Calculation_Date</v>
          </cell>
          <cell r="D3">
            <v>45302</v>
          </cell>
          <cell r="E3" t="str">
            <v/>
          </cell>
        </row>
        <row r="4">
          <cell r="B4" t="str">
            <v>Payment_Date</v>
          </cell>
          <cell r="D4">
            <v>45306</v>
          </cell>
          <cell r="E4" t="str">
            <v/>
          </cell>
        </row>
        <row r="5">
          <cell r="B5" t="str">
            <v>Period</v>
          </cell>
          <cell r="C5">
            <v>5</v>
          </cell>
          <cell r="E5" t="str">
            <v/>
          </cell>
        </row>
        <row r="6">
          <cell r="B6" t="str">
            <v>Monthly_Period</v>
          </cell>
          <cell r="D6">
            <v>45306</v>
          </cell>
          <cell r="E6" t="str">
            <v/>
          </cell>
        </row>
        <row r="7">
          <cell r="B7" t="str">
            <v>Interest_Period_from</v>
          </cell>
          <cell r="D7">
            <v>45274</v>
          </cell>
          <cell r="E7" t="str">
            <v/>
          </cell>
        </row>
        <row r="8">
          <cell r="B8" t="str">
            <v>Outstanding_bop_current</v>
          </cell>
          <cell r="C8">
            <v>799999965.69000006</v>
          </cell>
          <cell r="E8" t="str">
            <v/>
          </cell>
        </row>
        <row r="9">
          <cell r="B9" t="str">
            <v>Outstanding_bop_previous</v>
          </cell>
          <cell r="C9">
            <v>799999971.15999997</v>
          </cell>
          <cell r="E9" t="str">
            <v/>
          </cell>
        </row>
        <row r="10">
          <cell r="B10" t="str">
            <v>Total_Principal_Collections_current</v>
          </cell>
          <cell r="C10">
            <v>16421917.800000001</v>
          </cell>
          <cell r="E10" t="str">
            <v/>
          </cell>
        </row>
        <row r="11">
          <cell r="B11" t="str">
            <v>Total_Principal_Collections_previous</v>
          </cell>
          <cell r="C11">
            <v>20353725.710000001</v>
          </cell>
          <cell r="E11" t="str">
            <v/>
          </cell>
        </row>
        <row r="12">
          <cell r="B12" t="str">
            <v>Collected_Interest_Portion_current</v>
          </cell>
          <cell r="C12">
            <v>4752480.67</v>
          </cell>
          <cell r="E12" t="str">
            <v/>
          </cell>
        </row>
        <row r="13">
          <cell r="B13" t="str">
            <v>Collected_Interest_Portion_previous</v>
          </cell>
          <cell r="C13">
            <v>4737440.8</v>
          </cell>
          <cell r="E13" t="str">
            <v/>
          </cell>
        </row>
        <row r="14">
          <cell r="B14" t="str">
            <v>Defaults_current</v>
          </cell>
          <cell r="C14">
            <v>874440.48</v>
          </cell>
          <cell r="E14" t="str">
            <v/>
          </cell>
        </row>
        <row r="15">
          <cell r="B15" t="str">
            <v>Defaults_previous</v>
          </cell>
          <cell r="C15">
            <v>657619.93999999994</v>
          </cell>
          <cell r="E15" t="str">
            <v/>
          </cell>
        </row>
        <row r="16">
          <cell r="B16" t="str">
            <v>Replenishment_current</v>
          </cell>
          <cell r="C16">
            <v>17296371.07</v>
          </cell>
          <cell r="E16" t="str">
            <v/>
          </cell>
        </row>
        <row r="17">
          <cell r="B17" t="str">
            <v>Replenishment_previous</v>
          </cell>
          <cell r="C17">
            <v>21011340.18</v>
          </cell>
          <cell r="E17" t="str">
            <v/>
          </cell>
        </row>
        <row r="18">
          <cell r="B18" t="str">
            <v>Outstanding_eop_current</v>
          </cell>
          <cell r="C18">
            <v>799999978.48000002</v>
          </cell>
          <cell r="E18" t="str">
            <v/>
          </cell>
        </row>
        <row r="19">
          <cell r="B19" t="str">
            <v>Outstanding_eop_previous</v>
          </cell>
          <cell r="C19">
            <v>799999965.69000006</v>
          </cell>
          <cell r="E19" t="str">
            <v/>
          </cell>
        </row>
        <row r="20">
          <cell r="B20" t="str">
            <v>Purchase_Shortfall_current</v>
          </cell>
          <cell r="C20">
            <v>3.08</v>
          </cell>
          <cell r="E20" t="str">
            <v/>
          </cell>
        </row>
        <row r="21">
          <cell r="B21" t="str">
            <v>Purchase_Shortfall_previous</v>
          </cell>
          <cell r="C21">
            <v>15.87</v>
          </cell>
          <cell r="E21" t="str">
            <v/>
          </cell>
        </row>
        <row r="22">
          <cell r="B22" t="str">
            <v>Total_Assets_current</v>
          </cell>
          <cell r="C22">
            <v>799999981.55999994</v>
          </cell>
          <cell r="E22" t="str">
            <v/>
          </cell>
        </row>
        <row r="23">
          <cell r="B23" t="str">
            <v>Total_Assets_previous</v>
          </cell>
          <cell r="C23">
            <v>799999981.55999994</v>
          </cell>
          <cell r="E23" t="str">
            <v/>
          </cell>
        </row>
        <row r="24">
          <cell r="B24" t="str">
            <v>Liquidity_Reserve_bop</v>
          </cell>
          <cell r="C24">
            <v>11758764.640000001</v>
          </cell>
          <cell r="E24" t="str">
            <v/>
          </cell>
        </row>
        <row r="25">
          <cell r="B25" t="str">
            <v>Liquidity_Reserve_cashout</v>
          </cell>
          <cell r="C25">
            <v>11758764.640000001</v>
          </cell>
          <cell r="E25" t="str">
            <v/>
          </cell>
        </row>
        <row r="26">
          <cell r="B26" t="str">
            <v>Liquidity_Reserve_excess_amount</v>
          </cell>
          <cell r="C26">
            <v>8400</v>
          </cell>
          <cell r="E26" t="str">
            <v/>
          </cell>
        </row>
        <row r="27">
          <cell r="B27" t="str">
            <v>Liquidity_Reserve_pop</v>
          </cell>
          <cell r="C27">
            <v>0</v>
          </cell>
          <cell r="E27" t="str">
            <v/>
          </cell>
        </row>
        <row r="28">
          <cell r="B28" t="str">
            <v>Liquidity_Reserve_cashin</v>
          </cell>
          <cell r="C28">
            <v>11714400</v>
          </cell>
          <cell r="E28" t="str">
            <v/>
          </cell>
        </row>
        <row r="29">
          <cell r="B29" t="str">
            <v>Liquidity_Reserve_eop</v>
          </cell>
          <cell r="C29">
            <v>11714400</v>
          </cell>
          <cell r="E29" t="str">
            <v/>
          </cell>
        </row>
        <row r="30">
          <cell r="B30" t="str">
            <v>Liquidity_Reserve_fund</v>
          </cell>
          <cell r="C30">
            <v>11714400</v>
          </cell>
          <cell r="E30" t="str">
            <v/>
          </cell>
        </row>
        <row r="31">
          <cell r="B31" t="str">
            <v>Com_Reserve_bop</v>
          </cell>
          <cell r="E31" t="str">
            <v>n/a</v>
          </cell>
        </row>
        <row r="32">
          <cell r="B32" t="str">
            <v>Com_Reserve_cashout</v>
          </cell>
          <cell r="E32" t="str">
            <v>n/a</v>
          </cell>
        </row>
        <row r="33">
          <cell r="B33" t="str">
            <v>Com_Reserve_cashin</v>
          </cell>
          <cell r="E33" t="str">
            <v>n/a</v>
          </cell>
        </row>
        <row r="34">
          <cell r="B34" t="str">
            <v>Com_Reserve_eop</v>
          </cell>
          <cell r="C34">
            <v>0</v>
          </cell>
          <cell r="E34" t="str">
            <v>n/a</v>
          </cell>
        </row>
        <row r="35">
          <cell r="B35" t="str">
            <v>Com_Reserve_required</v>
          </cell>
          <cell r="C35">
            <v>0</v>
          </cell>
          <cell r="E35" t="str">
            <v/>
          </cell>
        </row>
        <row r="36">
          <cell r="B36" t="str">
            <v>Com_Reserve_Trigger</v>
          </cell>
          <cell r="E36" t="str">
            <v>no</v>
          </cell>
        </row>
        <row r="37">
          <cell r="B37" t="str">
            <v>Setoff_Reserve_bop</v>
          </cell>
          <cell r="E37" t="str">
            <v>n/a</v>
          </cell>
        </row>
        <row r="38">
          <cell r="B38" t="str">
            <v>Setoff_Reserve_cashout</v>
          </cell>
          <cell r="E38" t="str">
            <v>n/a</v>
          </cell>
        </row>
        <row r="39">
          <cell r="B39" t="str">
            <v>Setoff_Reserve_cashin</v>
          </cell>
          <cell r="E39" t="str">
            <v>n/a</v>
          </cell>
        </row>
        <row r="40">
          <cell r="B40" t="str">
            <v>Setoff_Reserve_eop</v>
          </cell>
          <cell r="C40">
            <v>0</v>
          </cell>
          <cell r="E40" t="str">
            <v>n/a</v>
          </cell>
        </row>
        <row r="41">
          <cell r="B41" t="str">
            <v>Setoff_Reserve_required</v>
          </cell>
          <cell r="C41">
            <v>0</v>
          </cell>
          <cell r="E41" t="str">
            <v/>
          </cell>
        </row>
        <row r="42">
          <cell r="B42" t="str">
            <v>Setoff_Reserve_Trigger</v>
          </cell>
          <cell r="E42" t="str">
            <v>no</v>
          </cell>
        </row>
        <row r="43">
          <cell r="B43" t="str">
            <v>Setoff_Amount_current</v>
          </cell>
          <cell r="C43">
            <v>0</v>
          </cell>
          <cell r="E43" t="str">
            <v/>
          </cell>
        </row>
        <row r="44">
          <cell r="B44" t="str">
            <v>GrossDefault_current</v>
          </cell>
          <cell r="C44">
            <v>874440.48</v>
          </cell>
          <cell r="E44" t="str">
            <v/>
          </cell>
        </row>
        <row r="45">
          <cell r="B45" t="str">
            <v>Recoveries_current</v>
          </cell>
          <cell r="C45">
            <v>-4553.34</v>
          </cell>
          <cell r="E45" t="str">
            <v/>
          </cell>
        </row>
        <row r="46">
          <cell r="B46" t="str">
            <v>Terminated_contracts_new</v>
          </cell>
          <cell r="C46">
            <v>34</v>
          </cell>
          <cell r="E46" t="str">
            <v/>
          </cell>
        </row>
        <row r="47">
          <cell r="B47" t="str">
            <v>Cum_GrossDefault</v>
          </cell>
          <cell r="C47">
            <v>1809922.34</v>
          </cell>
          <cell r="E47" t="str">
            <v/>
          </cell>
        </row>
        <row r="48">
          <cell r="B48" t="str">
            <v>Cum_Recoveries</v>
          </cell>
          <cell r="C48">
            <v>-7196.81</v>
          </cell>
          <cell r="E48" t="str">
            <v/>
          </cell>
        </row>
        <row r="49">
          <cell r="B49" t="str">
            <v>Terminated_contracts_total</v>
          </cell>
          <cell r="C49">
            <v>74</v>
          </cell>
          <cell r="E49" t="str">
            <v/>
          </cell>
        </row>
        <row r="50">
          <cell r="B50" t="str">
            <v>Loss_Ratio_before_previous</v>
          </cell>
          <cell r="E50" t="str">
            <v>0,00032303931992</v>
          </cell>
        </row>
        <row r="51">
          <cell r="B51" t="str">
            <v>Loss_Ratio_previous</v>
          </cell>
          <cell r="C51">
            <v>1.1000000000000001E-3</v>
          </cell>
          <cell r="E51" t="str">
            <v/>
          </cell>
        </row>
        <row r="52">
          <cell r="B52" t="str">
            <v>Loss_Ratio_current</v>
          </cell>
          <cell r="C52">
            <v>2E-3</v>
          </cell>
          <cell r="E52" t="str">
            <v/>
          </cell>
        </row>
        <row r="53">
          <cell r="B53" t="str">
            <v>A_PDL_bop</v>
          </cell>
          <cell r="C53">
            <v>0</v>
          </cell>
          <cell r="E53" t="str">
            <v/>
          </cell>
        </row>
        <row r="54">
          <cell r="B54" t="str">
            <v>A_debited_PDL</v>
          </cell>
          <cell r="C54">
            <v>0</v>
          </cell>
          <cell r="E54" t="str">
            <v/>
          </cell>
        </row>
        <row r="55">
          <cell r="B55" t="str">
            <v>A_credited_PDL</v>
          </cell>
          <cell r="C55">
            <v>0</v>
          </cell>
          <cell r="E55" t="str">
            <v/>
          </cell>
        </row>
        <row r="56">
          <cell r="B56" t="str">
            <v>A_PDL_eop</v>
          </cell>
          <cell r="C56">
            <v>0</v>
          </cell>
          <cell r="E56" t="str">
            <v/>
          </cell>
        </row>
        <row r="57">
          <cell r="B57" t="str">
            <v>B_PDL_bop</v>
          </cell>
          <cell r="C57">
            <v>0</v>
          </cell>
          <cell r="E57" t="str">
            <v/>
          </cell>
        </row>
        <row r="58">
          <cell r="B58" t="str">
            <v>B_debited_PDL</v>
          </cell>
          <cell r="C58">
            <v>0</v>
          </cell>
          <cell r="E58" t="str">
            <v/>
          </cell>
        </row>
        <row r="59">
          <cell r="B59" t="str">
            <v>B_credited_PDL</v>
          </cell>
          <cell r="C59">
            <v>0</v>
          </cell>
          <cell r="E59" t="str">
            <v/>
          </cell>
        </row>
        <row r="60">
          <cell r="B60" t="str">
            <v>B_PDL_eop</v>
          </cell>
          <cell r="C60">
            <v>0</v>
          </cell>
          <cell r="E60" t="str">
            <v/>
          </cell>
        </row>
        <row r="61">
          <cell r="B61" t="str">
            <v>C_PDL_bop</v>
          </cell>
          <cell r="C61">
            <v>0</v>
          </cell>
          <cell r="E61" t="str">
            <v/>
          </cell>
        </row>
        <row r="62">
          <cell r="B62" t="str">
            <v>C_debited_PDL</v>
          </cell>
          <cell r="C62">
            <v>0</v>
          </cell>
          <cell r="E62" t="str">
            <v/>
          </cell>
        </row>
        <row r="63">
          <cell r="B63" t="str">
            <v>C_credited_PDL</v>
          </cell>
          <cell r="C63">
            <v>0</v>
          </cell>
          <cell r="E63" t="str">
            <v/>
          </cell>
        </row>
        <row r="64">
          <cell r="B64" t="str">
            <v>C_PDL_eop</v>
          </cell>
          <cell r="C64">
            <v>0</v>
          </cell>
          <cell r="E64" t="str">
            <v/>
          </cell>
        </row>
        <row r="65">
          <cell r="B65" t="str">
            <v>D_PDL_bop</v>
          </cell>
          <cell r="C65">
            <v>0</v>
          </cell>
          <cell r="E65" t="str">
            <v/>
          </cell>
        </row>
        <row r="66">
          <cell r="B66" t="str">
            <v>D_debited_PDL</v>
          </cell>
          <cell r="C66">
            <v>0</v>
          </cell>
          <cell r="E66" t="str">
            <v/>
          </cell>
        </row>
        <row r="67">
          <cell r="B67" t="str">
            <v>D_credited_PDL</v>
          </cell>
          <cell r="C67">
            <v>0</v>
          </cell>
          <cell r="E67" t="str">
            <v/>
          </cell>
        </row>
        <row r="68">
          <cell r="B68" t="str">
            <v>D_PDL_eop</v>
          </cell>
          <cell r="C68">
            <v>0</v>
          </cell>
          <cell r="E68" t="str">
            <v/>
          </cell>
        </row>
        <row r="69">
          <cell r="B69" t="str">
            <v>E_PDL_bop</v>
          </cell>
          <cell r="C69">
            <v>0</v>
          </cell>
          <cell r="E69" t="str">
            <v/>
          </cell>
        </row>
        <row r="70">
          <cell r="B70" t="str">
            <v>E_debited_PDL</v>
          </cell>
          <cell r="C70">
            <v>0</v>
          </cell>
          <cell r="E70" t="str">
            <v/>
          </cell>
        </row>
        <row r="71">
          <cell r="B71" t="str">
            <v>E_credited_PDL</v>
          </cell>
          <cell r="C71">
            <v>0</v>
          </cell>
          <cell r="E71" t="str">
            <v/>
          </cell>
        </row>
        <row r="72">
          <cell r="B72" t="str">
            <v>E_PDL_eop</v>
          </cell>
          <cell r="C72">
            <v>0</v>
          </cell>
          <cell r="E72" t="str">
            <v/>
          </cell>
        </row>
        <row r="73">
          <cell r="B73" t="str">
            <v>F_PDL_bop</v>
          </cell>
          <cell r="C73">
            <v>0</v>
          </cell>
          <cell r="E73" t="str">
            <v/>
          </cell>
        </row>
        <row r="74">
          <cell r="B74" t="str">
            <v>F_debited_PDL</v>
          </cell>
          <cell r="C74">
            <v>0</v>
          </cell>
          <cell r="E74" t="str">
            <v/>
          </cell>
        </row>
        <row r="75">
          <cell r="B75" t="str">
            <v>F_credited_PDL</v>
          </cell>
          <cell r="C75">
            <v>0</v>
          </cell>
          <cell r="E75" t="str">
            <v/>
          </cell>
        </row>
        <row r="76">
          <cell r="B76" t="str">
            <v>F_PDL_eop</v>
          </cell>
          <cell r="C76">
            <v>0</v>
          </cell>
          <cell r="E76" t="str">
            <v/>
          </cell>
        </row>
        <row r="77">
          <cell r="B77" t="str">
            <v>OC_PDL_bop</v>
          </cell>
          <cell r="C77">
            <v>0</v>
          </cell>
          <cell r="E77" t="str">
            <v/>
          </cell>
        </row>
        <row r="78">
          <cell r="B78" t="str">
            <v>OC_debited_PDL</v>
          </cell>
          <cell r="C78">
            <v>874440.48</v>
          </cell>
          <cell r="E78" t="str">
            <v/>
          </cell>
        </row>
        <row r="79">
          <cell r="B79" t="str">
            <v>OC_credited_PDL</v>
          </cell>
          <cell r="C79">
            <v>874440.48</v>
          </cell>
          <cell r="E79" t="str">
            <v/>
          </cell>
        </row>
        <row r="80">
          <cell r="B80" t="str">
            <v>OC_PDL_eop</v>
          </cell>
          <cell r="C80">
            <v>0</v>
          </cell>
          <cell r="E80" t="str">
            <v/>
          </cell>
        </row>
        <row r="81">
          <cell r="B81" t="str">
            <v>Cum_Default_Ratio</v>
          </cell>
          <cell r="C81">
            <v>2E-3</v>
          </cell>
          <cell r="E81" t="str">
            <v/>
          </cell>
        </row>
        <row r="82">
          <cell r="B82" t="str">
            <v>Purchase_Shortfall_before_previous</v>
          </cell>
          <cell r="C82">
            <v>10.4</v>
          </cell>
          <cell r="E82" t="str">
            <v/>
          </cell>
        </row>
        <row r="83">
          <cell r="B83" t="str">
            <v>Purchase_Shortfall_previous</v>
          </cell>
          <cell r="C83">
            <v>15.87</v>
          </cell>
          <cell r="E83" t="str">
            <v/>
          </cell>
        </row>
        <row r="84">
          <cell r="B84" t="str">
            <v>Purchase_Shortfall_current</v>
          </cell>
          <cell r="C84">
            <v>3.08</v>
          </cell>
          <cell r="E84" t="str">
            <v/>
          </cell>
        </row>
        <row r="85">
          <cell r="B85" t="str">
            <v>Delinquency_Ratio</v>
          </cell>
          <cell r="C85">
            <v>7.9000000000000008E-3</v>
          </cell>
          <cell r="E85" t="str">
            <v/>
          </cell>
        </row>
        <row r="86">
          <cell r="B86" t="str">
            <v>Dynamic_Loss_Ratio_3M</v>
          </cell>
          <cell r="E86" t="str">
            <v/>
          </cell>
        </row>
        <row r="87">
          <cell r="B87" t="str">
            <v>Debit_Balance_PDL_previous</v>
          </cell>
          <cell r="C87">
            <v>0</v>
          </cell>
          <cell r="E87" t="str">
            <v/>
          </cell>
        </row>
        <row r="88">
          <cell r="B88" t="str">
            <v>Debit_Balance_PDL_current</v>
          </cell>
          <cell r="C88">
            <v>0</v>
          </cell>
          <cell r="E88" t="str">
            <v/>
          </cell>
        </row>
        <row r="89">
          <cell r="B89" t="str">
            <v>Total_Notes_bop</v>
          </cell>
          <cell r="C89">
            <v>780960000</v>
          </cell>
          <cell r="E89" t="str">
            <v/>
          </cell>
        </row>
        <row r="90">
          <cell r="B90" t="str">
            <v>A_Notes_bop</v>
          </cell>
          <cell r="C90">
            <v>605600000</v>
          </cell>
          <cell r="E90" t="str">
            <v/>
          </cell>
        </row>
        <row r="91">
          <cell r="B91" t="str">
            <v>B_Notes_bop</v>
          </cell>
          <cell r="C91">
            <v>40000000</v>
          </cell>
          <cell r="E91" t="str">
            <v/>
          </cell>
        </row>
        <row r="92">
          <cell r="B92" t="str">
            <v>C_Notes_bop</v>
          </cell>
          <cell r="C92">
            <v>42400000</v>
          </cell>
          <cell r="E92" t="str">
            <v/>
          </cell>
        </row>
        <row r="93">
          <cell r="B93" t="str">
            <v>D_Notes_bop</v>
          </cell>
          <cell r="C93">
            <v>41600000</v>
          </cell>
          <cell r="E93" t="str">
            <v/>
          </cell>
        </row>
        <row r="94">
          <cell r="B94" t="str">
            <v>E_Notes_bop</v>
          </cell>
          <cell r="C94">
            <v>42400000</v>
          </cell>
          <cell r="E94" t="str">
            <v/>
          </cell>
        </row>
        <row r="95">
          <cell r="B95" t="str">
            <v>F_Notes_bop</v>
          </cell>
          <cell r="C95">
            <v>8960000</v>
          </cell>
          <cell r="E95" t="str">
            <v/>
          </cell>
        </row>
        <row r="96">
          <cell r="B96" t="str">
            <v>Replenishment</v>
          </cell>
          <cell r="C96">
            <v>17296371.07</v>
          </cell>
          <cell r="E96" t="str">
            <v/>
          </cell>
        </row>
        <row r="97">
          <cell r="B97" t="str">
            <v>Amortisation</v>
          </cell>
          <cell r="C97">
            <v>560000</v>
          </cell>
          <cell r="E97" t="str">
            <v/>
          </cell>
        </row>
        <row r="98">
          <cell r="B98" t="str">
            <v>Total_Redemption</v>
          </cell>
          <cell r="C98">
            <v>560000</v>
          </cell>
          <cell r="E98" t="str">
            <v/>
          </cell>
        </row>
        <row r="99">
          <cell r="B99" t="str">
            <v>A_Redemption</v>
          </cell>
          <cell r="C99">
            <v>0</v>
          </cell>
          <cell r="E99" t="str">
            <v/>
          </cell>
        </row>
        <row r="100">
          <cell r="B100" t="str">
            <v>B_Redemption</v>
          </cell>
          <cell r="C100">
            <v>0</v>
          </cell>
          <cell r="E100" t="str">
            <v/>
          </cell>
        </row>
        <row r="101">
          <cell r="B101" t="str">
            <v>C_Redemption</v>
          </cell>
          <cell r="C101">
            <v>0</v>
          </cell>
          <cell r="E101" t="str">
            <v/>
          </cell>
        </row>
        <row r="102">
          <cell r="B102" t="str">
            <v>D_Redemption</v>
          </cell>
          <cell r="C102">
            <v>0</v>
          </cell>
          <cell r="E102" t="str">
            <v/>
          </cell>
        </row>
        <row r="103">
          <cell r="B103" t="str">
            <v>E_Redemption</v>
          </cell>
          <cell r="C103">
            <v>0</v>
          </cell>
          <cell r="E103" t="str">
            <v/>
          </cell>
        </row>
        <row r="104">
          <cell r="B104" t="str">
            <v>F_Redemption</v>
          </cell>
          <cell r="C104">
            <v>560000</v>
          </cell>
          <cell r="E104" t="str">
            <v/>
          </cell>
        </row>
        <row r="105">
          <cell r="B105" t="str">
            <v>Interest_Days</v>
          </cell>
          <cell r="C105">
            <v>31</v>
          </cell>
          <cell r="E105" t="str">
            <v/>
          </cell>
        </row>
        <row r="106">
          <cell r="B106" t="str">
            <v>A_Interests</v>
          </cell>
          <cell r="C106">
            <v>2466548.2400000002</v>
          </cell>
          <cell r="E106" t="str">
            <v/>
          </cell>
        </row>
        <row r="107">
          <cell r="B107" t="str">
            <v>B_Interests</v>
          </cell>
          <cell r="C107">
            <v>192428</v>
          </cell>
          <cell r="E107" t="str">
            <v/>
          </cell>
        </row>
        <row r="108">
          <cell r="B108" t="str">
            <v>C_Interests</v>
          </cell>
          <cell r="C108">
            <v>247314.96</v>
          </cell>
          <cell r="E108" t="str">
            <v/>
          </cell>
        </row>
        <row r="109">
          <cell r="B109" t="str">
            <v>D_Interests</v>
          </cell>
          <cell r="C109">
            <v>296266.88</v>
          </cell>
          <cell r="E109" t="str">
            <v/>
          </cell>
        </row>
        <row r="110">
          <cell r="B110" t="str">
            <v>E_Interests</v>
          </cell>
          <cell r="C110">
            <v>399954.96</v>
          </cell>
          <cell r="E110" t="str">
            <v/>
          </cell>
        </row>
        <row r="111">
          <cell r="B111" t="str">
            <v>F_Interests</v>
          </cell>
          <cell r="C111">
            <v>100447.2</v>
          </cell>
          <cell r="E111" t="str">
            <v/>
          </cell>
        </row>
        <row r="112">
          <cell r="B112" t="str">
            <v>1M_Euribor</v>
          </cell>
          <cell r="C112">
            <v>3.8600000000000002E-2</v>
          </cell>
          <cell r="E112" t="str">
            <v/>
          </cell>
        </row>
        <row r="113">
          <cell r="B113" t="str">
            <v>F_accrued_Target_Amortisation</v>
          </cell>
          <cell r="C113">
            <v>560000</v>
          </cell>
          <cell r="E113" t="str">
            <v/>
          </cell>
        </row>
        <row r="114">
          <cell r="B114" t="str">
            <v>Interest_collections</v>
          </cell>
          <cell r="C114">
            <v>4752480.67</v>
          </cell>
          <cell r="E114" t="str">
            <v/>
          </cell>
        </row>
        <row r="115">
          <cell r="B115" t="str">
            <v>Other_interest_Payments</v>
          </cell>
          <cell r="C115">
            <v>0</v>
          </cell>
          <cell r="E115" t="str">
            <v/>
          </cell>
        </row>
        <row r="116">
          <cell r="B116" t="str">
            <v>Recoveries_received</v>
          </cell>
          <cell r="C116">
            <v>-4553.34</v>
          </cell>
          <cell r="E116" t="str">
            <v/>
          </cell>
        </row>
        <row r="117">
          <cell r="B117" t="str">
            <v>Interests_earned_Transaction_Purchase_Shortfall_Account</v>
          </cell>
          <cell r="C117">
            <v>0</v>
          </cell>
          <cell r="E117" t="str">
            <v/>
          </cell>
        </row>
        <row r="118">
          <cell r="B118" t="str">
            <v>Amounts_ComReserve_Account</v>
          </cell>
          <cell r="C118">
            <v>0</v>
          </cell>
          <cell r="E118" t="str">
            <v/>
          </cell>
        </row>
        <row r="119">
          <cell r="B119" t="str">
            <v>Amounts_Liqudity_Reserve_Account</v>
          </cell>
          <cell r="C119">
            <v>11758764.640000001</v>
          </cell>
          <cell r="E119" t="str">
            <v/>
          </cell>
        </row>
        <row r="120">
          <cell r="B120" t="str">
            <v>Interests_paid_Swap_Counterparty</v>
          </cell>
          <cell r="C120">
            <v>466493.44</v>
          </cell>
          <cell r="E120" t="str">
            <v/>
          </cell>
        </row>
        <row r="121">
          <cell r="B121" t="str">
            <v>Principal_addition_amounts</v>
          </cell>
          <cell r="C121">
            <v>0</v>
          </cell>
          <cell r="E121" t="str">
            <v/>
          </cell>
        </row>
        <row r="122">
          <cell r="B122" t="str">
            <v>Other_amounts_paid_Interests</v>
          </cell>
          <cell r="C122">
            <v>0</v>
          </cell>
          <cell r="E122" t="str">
            <v/>
          </cell>
        </row>
        <row r="123">
          <cell r="B123" t="str">
            <v>Remaining_PreEnforcement_available_Principal_amount</v>
          </cell>
          <cell r="C123">
            <v>0</v>
          </cell>
          <cell r="E123" t="str">
            <v/>
          </cell>
        </row>
        <row r="124">
          <cell r="B124" t="str">
            <v>Available_Interest_amount</v>
          </cell>
          <cell r="C124">
            <v>16973185.41</v>
          </cell>
          <cell r="E124" t="str">
            <v/>
          </cell>
        </row>
        <row r="125">
          <cell r="B125" t="str">
            <v>Available_Interest_amount</v>
          </cell>
          <cell r="C125">
            <v>16973185.41</v>
          </cell>
          <cell r="E125" t="str">
            <v/>
          </cell>
        </row>
        <row r="126">
          <cell r="B126" t="str">
            <v>Senior_Expenses</v>
          </cell>
          <cell r="C126">
            <v>13942.32</v>
          </cell>
          <cell r="E126" t="str">
            <v/>
          </cell>
        </row>
        <row r="127">
          <cell r="B127" t="str">
            <v>Replacement_servicer_fee_reserve</v>
          </cell>
          <cell r="C127">
            <v>0</v>
          </cell>
          <cell r="E127" t="str">
            <v/>
          </cell>
        </row>
        <row r="128">
          <cell r="B128" t="str">
            <v>Swap_payment</v>
          </cell>
          <cell r="C128">
            <v>0</v>
          </cell>
          <cell r="E128" t="str">
            <v/>
          </cell>
        </row>
        <row r="129">
          <cell r="B129" t="str">
            <v>A_interest_amount_notes</v>
          </cell>
          <cell r="C129">
            <v>2466548.2400000002</v>
          </cell>
          <cell r="E129" t="str">
            <v/>
          </cell>
        </row>
        <row r="130">
          <cell r="B130" t="str">
            <v>B_interest_amount_notes</v>
          </cell>
          <cell r="C130">
            <v>192428</v>
          </cell>
          <cell r="E130" t="str">
            <v/>
          </cell>
        </row>
        <row r="131">
          <cell r="B131" t="str">
            <v>C_interest_amount_notes</v>
          </cell>
          <cell r="C131">
            <v>247314.96</v>
          </cell>
          <cell r="E131" t="str">
            <v/>
          </cell>
        </row>
        <row r="132">
          <cell r="B132" t="str">
            <v>D_interest_amount_notes</v>
          </cell>
          <cell r="C132">
            <v>296266.88</v>
          </cell>
          <cell r="E132" t="str">
            <v/>
          </cell>
        </row>
        <row r="133">
          <cell r="B133" t="str">
            <v>E_interest_amount_notes</v>
          </cell>
          <cell r="C133">
            <v>399954.96</v>
          </cell>
          <cell r="E133" t="str">
            <v/>
          </cell>
        </row>
        <row r="134">
          <cell r="B134" t="str">
            <v>F_interest_amount_notes</v>
          </cell>
          <cell r="C134">
            <v>100447.2</v>
          </cell>
          <cell r="E134" t="str">
            <v/>
          </cell>
        </row>
        <row r="135">
          <cell r="B135" t="str">
            <v>Liquidity_Reserve_Account_part1</v>
          </cell>
          <cell r="C135">
            <v>7809600</v>
          </cell>
          <cell r="E135" t="str">
            <v/>
          </cell>
        </row>
        <row r="136">
          <cell r="B136" t="str">
            <v>Elimination_PDL</v>
          </cell>
          <cell r="C136">
            <v>874440.48</v>
          </cell>
          <cell r="E136" t="str">
            <v/>
          </cell>
        </row>
        <row r="137">
          <cell r="B137" t="str">
            <v>Liquidity_Reserve_Account_part2</v>
          </cell>
          <cell r="C137">
            <v>3904800</v>
          </cell>
          <cell r="E137" t="str">
            <v/>
          </cell>
        </row>
        <row r="138">
          <cell r="B138" t="str">
            <v>B_Interests_notes</v>
          </cell>
          <cell r="C138">
            <v>0</v>
          </cell>
          <cell r="E138" t="str">
            <v/>
          </cell>
        </row>
        <row r="139">
          <cell r="B139" t="str">
            <v>C_Interests_notes</v>
          </cell>
          <cell r="C139">
            <v>0</v>
          </cell>
          <cell r="E139" t="str">
            <v/>
          </cell>
        </row>
        <row r="140">
          <cell r="B140" t="str">
            <v>D_Interests_notes</v>
          </cell>
          <cell r="C140">
            <v>0</v>
          </cell>
          <cell r="E140" t="str">
            <v/>
          </cell>
        </row>
        <row r="141">
          <cell r="B141" t="str">
            <v>E_Interests_notes</v>
          </cell>
          <cell r="C141">
            <v>0</v>
          </cell>
          <cell r="E141" t="str">
            <v/>
          </cell>
        </row>
        <row r="142">
          <cell r="B142" t="str">
            <v>F_Interests_notes</v>
          </cell>
          <cell r="C142">
            <v>0</v>
          </cell>
          <cell r="E142" t="str">
            <v/>
          </cell>
        </row>
        <row r="143">
          <cell r="B143" t="str">
            <v>F_Principal_Redemption_amount</v>
          </cell>
          <cell r="C143">
            <v>560000</v>
          </cell>
          <cell r="E143" t="str">
            <v/>
          </cell>
        </row>
        <row r="144">
          <cell r="B144" t="str">
            <v>Mezzanine_loan_interests</v>
          </cell>
          <cell r="C144">
            <v>0</v>
          </cell>
          <cell r="E144" t="str">
            <v/>
          </cell>
        </row>
        <row r="145">
          <cell r="B145" t="str">
            <v>Termination_payment</v>
          </cell>
          <cell r="C145">
            <v>0</v>
          </cell>
          <cell r="E145" t="str">
            <v/>
          </cell>
        </row>
        <row r="146">
          <cell r="B146" t="str">
            <v>Liqudity_Reserve_Interests</v>
          </cell>
          <cell r="C146">
            <v>10420.27</v>
          </cell>
          <cell r="E146" t="str">
            <v/>
          </cell>
        </row>
        <row r="147">
          <cell r="B147" t="str">
            <v>Liqudity_Reserve_Principal</v>
          </cell>
          <cell r="C147">
            <v>8400</v>
          </cell>
          <cell r="E147" t="str">
            <v/>
          </cell>
        </row>
        <row r="148">
          <cell r="B148" t="str">
            <v>Remaining_amount_seller</v>
          </cell>
          <cell r="C148">
            <v>88622.1</v>
          </cell>
          <cell r="E148" t="str">
            <v/>
          </cell>
        </row>
        <row r="149">
          <cell r="B149" t="str">
            <v>Principal_collections</v>
          </cell>
          <cell r="C149">
            <v>16421917.800000001</v>
          </cell>
          <cell r="E149" t="str">
            <v/>
          </cell>
        </row>
        <row r="150">
          <cell r="B150" t="str">
            <v>Other_Principal_amount</v>
          </cell>
          <cell r="C150">
            <v>0</v>
          </cell>
          <cell r="E150" t="str">
            <v/>
          </cell>
        </row>
        <row r="151">
          <cell r="B151" t="str">
            <v>Final_Repurchase_Price</v>
          </cell>
          <cell r="C151">
            <v>0</v>
          </cell>
          <cell r="E151" t="str">
            <v/>
          </cell>
        </row>
        <row r="152">
          <cell r="B152" t="str">
            <v>Amounts_credit_Com_Reserve_Account</v>
          </cell>
          <cell r="C152">
            <v>0</v>
          </cell>
          <cell r="E152" t="str">
            <v/>
          </cell>
        </row>
        <row r="153">
          <cell r="B153" t="str">
            <v>Amounts_credit_SettOff_Reserve_Account</v>
          </cell>
          <cell r="C153">
            <v>0</v>
          </cell>
          <cell r="E153" t="str">
            <v/>
          </cell>
        </row>
        <row r="154">
          <cell r="B154" t="str">
            <v>Amounts_credit_Purchase_Shortfall_Account</v>
          </cell>
          <cell r="C154">
            <v>15.87</v>
          </cell>
          <cell r="E154" t="str">
            <v/>
          </cell>
        </row>
        <row r="155">
          <cell r="B155" t="str">
            <v>Mezzanine_loan_disbursement</v>
          </cell>
          <cell r="C155">
            <v>0</v>
          </cell>
          <cell r="E155" t="str">
            <v/>
          </cell>
        </row>
        <row r="156">
          <cell r="B156" t="str">
            <v>PDL</v>
          </cell>
          <cell r="C156">
            <v>874440.48</v>
          </cell>
          <cell r="E156" t="str">
            <v/>
          </cell>
        </row>
        <row r="157">
          <cell r="B157" t="str">
            <v>Other_amounts_paid_Principal</v>
          </cell>
          <cell r="C157">
            <v>0</v>
          </cell>
          <cell r="E157" t="str">
            <v/>
          </cell>
        </row>
        <row r="158">
          <cell r="B158" t="str">
            <v>Available_Principal_amount</v>
          </cell>
          <cell r="C158">
            <v>17296374.149999999</v>
          </cell>
          <cell r="E158" t="str">
            <v/>
          </cell>
        </row>
        <row r="159">
          <cell r="B159" t="str">
            <v>Available_Principal_amount</v>
          </cell>
          <cell r="C159">
            <v>17296374.149999999</v>
          </cell>
          <cell r="E159" t="str">
            <v/>
          </cell>
        </row>
        <row r="160">
          <cell r="B160" t="str">
            <v>Addition_amounts</v>
          </cell>
          <cell r="C160">
            <v>0</v>
          </cell>
          <cell r="E160" t="str">
            <v/>
          </cell>
        </row>
        <row r="161">
          <cell r="B161" t="str">
            <v>Net_note_available_Principal_Proceeds</v>
          </cell>
          <cell r="C161">
            <v>17296374.149999999</v>
          </cell>
          <cell r="E161" t="str">
            <v/>
          </cell>
        </row>
        <row r="162">
          <cell r="B162" t="str">
            <v>Replenishment</v>
          </cell>
          <cell r="C162">
            <v>17296371.07</v>
          </cell>
          <cell r="E162" t="str">
            <v/>
          </cell>
        </row>
        <row r="163">
          <cell r="B163" t="str">
            <v>Purchase_Shortfall</v>
          </cell>
          <cell r="C163">
            <v>3.08</v>
          </cell>
          <cell r="E163" t="str">
            <v/>
          </cell>
        </row>
        <row r="164">
          <cell r="B164" t="str">
            <v>A_prorata_Principal</v>
          </cell>
          <cell r="C164">
            <v>0</v>
          </cell>
          <cell r="E164" t="str">
            <v/>
          </cell>
        </row>
        <row r="165">
          <cell r="B165" t="str">
            <v>B_prorata_Principal</v>
          </cell>
          <cell r="C165">
            <v>0</v>
          </cell>
          <cell r="E165" t="str">
            <v/>
          </cell>
        </row>
        <row r="166">
          <cell r="B166" t="str">
            <v>C_prorata_Principal</v>
          </cell>
          <cell r="C166">
            <v>0</v>
          </cell>
          <cell r="E166" t="str">
            <v/>
          </cell>
        </row>
        <row r="167">
          <cell r="B167" t="str">
            <v>D_prorata_Principal</v>
          </cell>
          <cell r="C167">
            <v>0</v>
          </cell>
          <cell r="E167" t="str">
            <v/>
          </cell>
        </row>
        <row r="168">
          <cell r="B168" t="str">
            <v>E_prorata_Principal</v>
          </cell>
          <cell r="C168">
            <v>0</v>
          </cell>
          <cell r="E168" t="str">
            <v/>
          </cell>
        </row>
        <row r="169">
          <cell r="B169" t="str">
            <v>A_sequential_Principal</v>
          </cell>
          <cell r="C169">
            <v>0</v>
          </cell>
          <cell r="E169" t="str">
            <v/>
          </cell>
        </row>
        <row r="170">
          <cell r="B170" t="str">
            <v>Full_Redemption_B_F</v>
          </cell>
          <cell r="C170">
            <v>0</v>
          </cell>
          <cell r="E170" t="str">
            <v/>
          </cell>
        </row>
        <row r="171">
          <cell r="B171" t="str">
            <v>Payment_deferred_purchase_price</v>
          </cell>
          <cell r="C171">
            <v>0</v>
          </cell>
          <cell r="E171" t="str">
            <v/>
          </cell>
        </row>
        <row r="172">
          <cell r="B172" t="str">
            <v>B_Full_Redemption</v>
          </cell>
          <cell r="C172">
            <v>0</v>
          </cell>
          <cell r="E172" t="str">
            <v/>
          </cell>
        </row>
        <row r="173">
          <cell r="B173" t="str">
            <v>C_Full_Redemption</v>
          </cell>
          <cell r="C173">
            <v>0</v>
          </cell>
          <cell r="E173" t="str">
            <v/>
          </cell>
        </row>
        <row r="174">
          <cell r="B174" t="str">
            <v>D_Full_Redemption</v>
          </cell>
          <cell r="C174">
            <v>0</v>
          </cell>
          <cell r="E174" t="str">
            <v/>
          </cell>
        </row>
        <row r="175">
          <cell r="B175" t="str">
            <v>E_Full_Redemption</v>
          </cell>
          <cell r="C175">
            <v>0</v>
          </cell>
          <cell r="E175" t="str">
            <v/>
          </cell>
        </row>
        <row r="176">
          <cell r="B176" t="str">
            <v>F_Full_Redemption</v>
          </cell>
          <cell r="C176">
            <v>0</v>
          </cell>
          <cell r="E176" t="str">
            <v/>
          </cell>
        </row>
        <row r="177">
          <cell r="B177" t="str">
            <v>Mezzanine_loan_principal</v>
          </cell>
          <cell r="C177">
            <v>0</v>
          </cell>
          <cell r="E177" t="str">
            <v/>
          </cell>
        </row>
        <row r="178">
          <cell r="B178" t="str">
            <v>Redemption_deferred_purchase_price</v>
          </cell>
          <cell r="C178">
            <v>0</v>
          </cell>
          <cell r="E178" t="str">
            <v/>
          </cell>
        </row>
        <row r="179">
          <cell r="B179" t="str">
            <v>Clearing_rounding_differences</v>
          </cell>
          <cell r="C179">
            <v>0</v>
          </cell>
          <cell r="E179" t="str">
            <v/>
          </cell>
        </row>
        <row r="180">
          <cell r="B180" t="str">
            <v>Transaction_Account_remaining_amount</v>
          </cell>
          <cell r="C180">
            <v>0</v>
          </cell>
          <cell r="E180" t="str">
            <v/>
          </cell>
        </row>
        <row r="181">
          <cell r="B181" t="str">
            <v>Senior_Expenses</v>
          </cell>
          <cell r="C181">
            <v>13942.32</v>
          </cell>
          <cell r="E181" t="str">
            <v/>
          </cell>
        </row>
        <row r="182">
          <cell r="B182" t="str">
            <v>Total_Interests_accrued</v>
          </cell>
          <cell r="C182">
            <v>3713380.51</v>
          </cell>
          <cell r="E182" t="str">
            <v/>
          </cell>
        </row>
        <row r="183">
          <cell r="B183" t="str">
            <v>A_Interests_accrued</v>
          </cell>
          <cell r="C183">
            <v>2466548.2400000002</v>
          </cell>
          <cell r="E183" t="str">
            <v/>
          </cell>
        </row>
        <row r="184">
          <cell r="B184" t="str">
            <v>B_Interests_accrued</v>
          </cell>
          <cell r="C184">
            <v>192428</v>
          </cell>
          <cell r="E184" t="str">
            <v/>
          </cell>
        </row>
        <row r="185">
          <cell r="B185" t="str">
            <v>C_Interests_accrued</v>
          </cell>
          <cell r="C185">
            <v>247314.96</v>
          </cell>
          <cell r="E185" t="str">
            <v/>
          </cell>
        </row>
        <row r="186">
          <cell r="B186" t="str">
            <v>D_Interests_accrued</v>
          </cell>
          <cell r="C186">
            <v>296266.88</v>
          </cell>
          <cell r="E186" t="str">
            <v/>
          </cell>
        </row>
        <row r="187">
          <cell r="B187" t="str">
            <v>E_Interests_accrued</v>
          </cell>
          <cell r="C187">
            <v>399954.96</v>
          </cell>
          <cell r="E187" t="str">
            <v/>
          </cell>
        </row>
        <row r="188">
          <cell r="B188" t="str">
            <v>F_Interests_accrued</v>
          </cell>
          <cell r="C188">
            <v>100447.2</v>
          </cell>
          <cell r="E188" t="str">
            <v/>
          </cell>
        </row>
        <row r="189">
          <cell r="B189" t="str">
            <v>Reserve_Interests_accrued</v>
          </cell>
          <cell r="C189">
            <v>10420.27</v>
          </cell>
          <cell r="E189" t="str">
            <v/>
          </cell>
        </row>
        <row r="190">
          <cell r="B190" t="str">
            <v>Total_Interests_accrued_cum</v>
          </cell>
          <cell r="C190">
            <v>16532890.359999999</v>
          </cell>
          <cell r="E190" t="str">
            <v/>
          </cell>
        </row>
        <row r="191">
          <cell r="B191" t="str">
            <v>A_Interests_accrued_cum</v>
          </cell>
          <cell r="C191">
            <v>10921572.08</v>
          </cell>
          <cell r="E191" t="str">
            <v/>
          </cell>
        </row>
        <row r="192">
          <cell r="B192" t="str">
            <v>B_Interests_accrued_cum</v>
          </cell>
          <cell r="C192">
            <v>854172</v>
          </cell>
          <cell r="E192" t="str">
            <v/>
          </cell>
        </row>
        <row r="193">
          <cell r="B193" t="str">
            <v>C_Interests_accrued_cum</v>
          </cell>
          <cell r="C193">
            <v>1100462.32</v>
          </cell>
          <cell r="E193" t="str">
            <v/>
          </cell>
        </row>
        <row r="194">
          <cell r="B194" t="str">
            <v>D_Interests_accrued_cum</v>
          </cell>
          <cell r="C194">
            <v>1320978.8799999999</v>
          </cell>
          <cell r="E194" t="str">
            <v/>
          </cell>
        </row>
        <row r="195">
          <cell r="B195" t="str">
            <v>E_Interests_accrued_cum</v>
          </cell>
          <cell r="C195">
            <v>1787342.32</v>
          </cell>
          <cell r="E195" t="str">
            <v/>
          </cell>
        </row>
        <row r="196">
          <cell r="B196" t="str">
            <v>F_Interests_accrued_cum</v>
          </cell>
          <cell r="C196">
            <v>501413.92</v>
          </cell>
          <cell r="E196" t="str">
            <v/>
          </cell>
        </row>
        <row r="197">
          <cell r="B197" t="str">
            <v>Reserve_Interests_accrued_cum</v>
          </cell>
          <cell r="C197">
            <v>46948.84</v>
          </cell>
          <cell r="E197" t="str">
            <v/>
          </cell>
        </row>
        <row r="198">
          <cell r="B198" t="str">
            <v>Total_Interest_Payments</v>
          </cell>
          <cell r="C198">
            <v>3713380.51</v>
          </cell>
          <cell r="E198" t="str">
            <v/>
          </cell>
        </row>
        <row r="199">
          <cell r="B199" t="str">
            <v>A_Interest_Payments</v>
          </cell>
          <cell r="C199">
            <v>2466548.2400000002</v>
          </cell>
          <cell r="E199" t="str">
            <v/>
          </cell>
        </row>
        <row r="200">
          <cell r="B200" t="str">
            <v>B_Interest_Payments</v>
          </cell>
          <cell r="C200">
            <v>192428</v>
          </cell>
          <cell r="E200" t="str">
            <v/>
          </cell>
        </row>
        <row r="201">
          <cell r="B201" t="str">
            <v>C_Interest_Payments</v>
          </cell>
          <cell r="C201">
            <v>247314.96</v>
          </cell>
          <cell r="E201" t="str">
            <v/>
          </cell>
        </row>
        <row r="202">
          <cell r="B202" t="str">
            <v>D_Interest_Payments</v>
          </cell>
          <cell r="C202">
            <v>296266.88</v>
          </cell>
          <cell r="E202" t="str">
            <v/>
          </cell>
        </row>
        <row r="203">
          <cell r="B203" t="str">
            <v>E_Interest_Payments</v>
          </cell>
          <cell r="C203">
            <v>399954.96</v>
          </cell>
          <cell r="E203" t="str">
            <v/>
          </cell>
        </row>
        <row r="204">
          <cell r="B204" t="str">
            <v>F_Interest_Payments</v>
          </cell>
          <cell r="C204">
            <v>100447.2</v>
          </cell>
          <cell r="E204" t="str">
            <v/>
          </cell>
        </row>
        <row r="205">
          <cell r="B205" t="str">
            <v>Reserve_Interest_Payments</v>
          </cell>
          <cell r="C205">
            <v>10420.27</v>
          </cell>
          <cell r="E205" t="str">
            <v/>
          </cell>
        </row>
        <row r="206">
          <cell r="B206" t="str">
            <v>Total_Interest_Payments_cum</v>
          </cell>
          <cell r="C206">
            <v>16532890.359999999</v>
          </cell>
          <cell r="E206" t="str">
            <v/>
          </cell>
        </row>
        <row r="207">
          <cell r="B207" t="str">
            <v>A_Interest_Payments_cum</v>
          </cell>
          <cell r="C207">
            <v>10921572.08</v>
          </cell>
          <cell r="E207" t="str">
            <v/>
          </cell>
        </row>
        <row r="208">
          <cell r="B208" t="str">
            <v>B_Interest_Payments_cum</v>
          </cell>
          <cell r="C208">
            <v>854172</v>
          </cell>
          <cell r="E208" t="str">
            <v/>
          </cell>
        </row>
        <row r="209">
          <cell r="B209" t="str">
            <v>C_Interest_Payments_cum</v>
          </cell>
          <cell r="C209">
            <v>1100462.32</v>
          </cell>
          <cell r="E209" t="str">
            <v/>
          </cell>
        </row>
        <row r="210">
          <cell r="B210" t="str">
            <v>D_Interest_Payments_cum</v>
          </cell>
          <cell r="C210">
            <v>1320978.8799999999</v>
          </cell>
          <cell r="E210" t="str">
            <v/>
          </cell>
        </row>
        <row r="211">
          <cell r="B211" t="str">
            <v>E_Interest_Payments_cum</v>
          </cell>
          <cell r="C211">
            <v>1787342.32</v>
          </cell>
          <cell r="E211" t="str">
            <v/>
          </cell>
        </row>
        <row r="212">
          <cell r="B212" t="str">
            <v>F_Interest_Payments_cum</v>
          </cell>
          <cell r="C212">
            <v>501413.92</v>
          </cell>
          <cell r="E212" t="str">
            <v/>
          </cell>
        </row>
        <row r="213">
          <cell r="B213" t="str">
            <v>Reserve_Interest_Payments_cum</v>
          </cell>
          <cell r="C213">
            <v>46948.84</v>
          </cell>
          <cell r="E213" t="str">
            <v/>
          </cell>
        </row>
        <row r="214">
          <cell r="B214" t="str">
            <v>Total_Interests_unpaid</v>
          </cell>
          <cell r="C214">
            <v>0</v>
          </cell>
          <cell r="E214" t="str">
            <v/>
          </cell>
        </row>
        <row r="215">
          <cell r="B215" t="str">
            <v>A_Interests_unpaid</v>
          </cell>
          <cell r="C215">
            <v>0</v>
          </cell>
          <cell r="E215" t="str">
            <v/>
          </cell>
        </row>
        <row r="216">
          <cell r="B216" t="str">
            <v>B_Interests_unpaid</v>
          </cell>
          <cell r="C216">
            <v>0</v>
          </cell>
          <cell r="E216" t="str">
            <v/>
          </cell>
        </row>
        <row r="217">
          <cell r="B217" t="str">
            <v>C_Interests_unpaid</v>
          </cell>
          <cell r="C217">
            <v>0</v>
          </cell>
          <cell r="E217" t="str">
            <v/>
          </cell>
        </row>
        <row r="218">
          <cell r="B218" t="str">
            <v>D_Interests_unpaid</v>
          </cell>
          <cell r="C218">
            <v>0</v>
          </cell>
          <cell r="E218" t="str">
            <v/>
          </cell>
        </row>
        <row r="219">
          <cell r="B219" t="str">
            <v>E_Interests_unpaid</v>
          </cell>
          <cell r="C219">
            <v>0</v>
          </cell>
          <cell r="E219" t="str">
            <v/>
          </cell>
        </row>
        <row r="220">
          <cell r="B220" t="str">
            <v>F_Interests_unpaid</v>
          </cell>
          <cell r="C220">
            <v>0</v>
          </cell>
          <cell r="E220" t="str">
            <v/>
          </cell>
        </row>
        <row r="221">
          <cell r="B221" t="str">
            <v>Reserve_Interests_unpaid</v>
          </cell>
          <cell r="C221">
            <v>0</v>
          </cell>
          <cell r="E221" t="str">
            <v/>
          </cell>
        </row>
        <row r="222">
          <cell r="B222" t="str">
            <v>Total_Interests_unpaid_cum</v>
          </cell>
          <cell r="C222">
            <v>0</v>
          </cell>
          <cell r="E222" t="str">
            <v/>
          </cell>
        </row>
        <row r="223">
          <cell r="B223" t="str">
            <v>A_Interests_unpaid_cum</v>
          </cell>
          <cell r="C223">
            <v>0</v>
          </cell>
          <cell r="E223" t="str">
            <v/>
          </cell>
        </row>
        <row r="224">
          <cell r="B224" t="str">
            <v>B_Interests_unpaid_cum</v>
          </cell>
          <cell r="C224">
            <v>0</v>
          </cell>
          <cell r="E224" t="str">
            <v/>
          </cell>
        </row>
        <row r="225">
          <cell r="B225" t="str">
            <v>C_Interests_unpaid_cum</v>
          </cell>
          <cell r="C225">
            <v>0</v>
          </cell>
          <cell r="E225" t="str">
            <v/>
          </cell>
        </row>
        <row r="226">
          <cell r="B226" t="str">
            <v>D_Interests_unpaid_cum</v>
          </cell>
          <cell r="C226">
            <v>0</v>
          </cell>
          <cell r="E226" t="str">
            <v/>
          </cell>
        </row>
        <row r="227">
          <cell r="B227" t="str">
            <v>E_Interests_unpaid_cum</v>
          </cell>
          <cell r="C227">
            <v>0</v>
          </cell>
          <cell r="E227" t="str">
            <v/>
          </cell>
        </row>
        <row r="228">
          <cell r="B228" t="str">
            <v>F_Interests_unpaid_cum</v>
          </cell>
          <cell r="C228">
            <v>0</v>
          </cell>
          <cell r="E228" t="str">
            <v/>
          </cell>
        </row>
        <row r="229">
          <cell r="B229" t="str">
            <v>Reserve_Interests_unpaid_cum</v>
          </cell>
          <cell r="C229">
            <v>0</v>
          </cell>
          <cell r="E229" t="str">
            <v/>
          </cell>
        </row>
        <row r="230">
          <cell r="B230" t="str">
            <v>Reserve_outstanding</v>
          </cell>
          <cell r="C230">
            <v>11714400</v>
          </cell>
          <cell r="E230" t="str">
            <v/>
          </cell>
        </row>
        <row r="231">
          <cell r="B231" t="str">
            <v>Swap_Notional_amount</v>
          </cell>
          <cell r="C231">
            <v>780960000</v>
          </cell>
          <cell r="E231" t="str">
            <v/>
          </cell>
        </row>
        <row r="232">
          <cell r="B232" t="str">
            <v>Fixed_Rate</v>
          </cell>
          <cell r="C232">
            <v>3.1899999999999998E-2</v>
          </cell>
          <cell r="E232" t="str">
            <v/>
          </cell>
        </row>
        <row r="233">
          <cell r="B233" t="str">
            <v>Floating_Rate</v>
          </cell>
          <cell r="C233">
            <v>3.8600000000000002E-2</v>
          </cell>
          <cell r="E233" t="str">
            <v/>
          </cell>
        </row>
        <row r="234">
          <cell r="B234" t="str">
            <v>Net_Swap_Payments</v>
          </cell>
          <cell r="C234">
            <v>-466493.44</v>
          </cell>
          <cell r="E234" t="str">
            <v/>
          </cell>
        </row>
        <row r="235">
          <cell r="B235" t="str">
            <v>Swap_Notional_amount_next</v>
          </cell>
          <cell r="C235">
            <v>780400000</v>
          </cell>
          <cell r="E235" t="str">
            <v/>
          </cell>
        </row>
      </sheetData>
      <sheetData sheetId="39">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delinquency_1</v>
          </cell>
          <cell r="C2">
            <v>799999981.55999994</v>
          </cell>
          <cell r="D2">
            <v>0</v>
          </cell>
          <cell r="E2">
            <v>0</v>
          </cell>
          <cell r="F2">
            <v>0</v>
          </cell>
          <cell r="G2">
            <v>0</v>
          </cell>
          <cell r="H2">
            <v>0</v>
          </cell>
          <cell r="I2">
            <v>0</v>
          </cell>
          <cell r="J2">
            <v>0</v>
          </cell>
          <cell r="K2">
            <v>0</v>
          </cell>
        </row>
        <row r="3">
          <cell r="B3" t="str">
            <v>delinquency_2</v>
          </cell>
          <cell r="C3">
            <v>799999981.55999994</v>
          </cell>
          <cell r="D3">
            <v>300686.15999999997</v>
          </cell>
          <cell r="E3">
            <v>1480295.14</v>
          </cell>
          <cell r="F3">
            <v>1104548.6499999999</v>
          </cell>
          <cell r="G3">
            <v>30223.25</v>
          </cell>
          <cell r="H3">
            <v>5680.06</v>
          </cell>
          <cell r="I3">
            <v>30153.86</v>
          </cell>
          <cell r="J3">
            <v>25105.79</v>
          </cell>
          <cell r="K3">
            <v>1330.56</v>
          </cell>
        </row>
        <row r="4">
          <cell r="B4" t="str">
            <v>delinquency_3</v>
          </cell>
          <cell r="C4">
            <v>799999941.96000004</v>
          </cell>
          <cell r="D4">
            <v>1500995.62</v>
          </cell>
          <cell r="E4">
            <v>1592449.73</v>
          </cell>
          <cell r="F4">
            <v>535431.57999999996</v>
          </cell>
          <cell r="G4">
            <v>967777.77</v>
          </cell>
          <cell r="H4">
            <v>28079.95</v>
          </cell>
          <cell r="I4">
            <v>41749.699999999997</v>
          </cell>
          <cell r="J4">
            <v>16551.18</v>
          </cell>
          <cell r="K4">
            <v>40489.26</v>
          </cell>
        </row>
        <row r="5">
          <cell r="B5" t="str">
            <v>delinquency_4</v>
          </cell>
          <cell r="C5">
            <v>799999971.15999997</v>
          </cell>
          <cell r="D5">
            <v>654632.57999999996</v>
          </cell>
          <cell r="E5">
            <v>1880033.26</v>
          </cell>
          <cell r="F5">
            <v>2290342.96</v>
          </cell>
          <cell r="G5">
            <v>2123217.06</v>
          </cell>
          <cell r="H5">
            <v>12872.29</v>
          </cell>
          <cell r="I5">
            <v>35768.639999999999</v>
          </cell>
          <cell r="J5">
            <v>61874.1</v>
          </cell>
          <cell r="K5">
            <v>95840.68</v>
          </cell>
        </row>
        <row r="6">
          <cell r="B6" t="str">
            <v>delinquency_5</v>
          </cell>
          <cell r="C6">
            <v>799999965.69000006</v>
          </cell>
          <cell r="D6">
            <v>2088424.78</v>
          </cell>
          <cell r="E6">
            <v>1048972.3500000001</v>
          </cell>
          <cell r="F6">
            <v>2036381.93</v>
          </cell>
          <cell r="G6">
            <v>3247767.98</v>
          </cell>
          <cell r="H6">
            <v>42798.09</v>
          </cell>
          <cell r="I6">
            <v>26775.200000000001</v>
          </cell>
          <cell r="J6">
            <v>61810.67</v>
          </cell>
          <cell r="K6">
            <v>155787.18</v>
          </cell>
        </row>
        <row r="7">
          <cell r="B7" t="str">
            <v>delinquency_6</v>
          </cell>
        </row>
        <row r="8">
          <cell r="B8" t="str">
            <v>delinquency_7</v>
          </cell>
        </row>
        <row r="9">
          <cell r="B9" t="str">
            <v>delinquency_8</v>
          </cell>
        </row>
        <row r="10">
          <cell r="B10" t="str">
            <v>delinquency_9</v>
          </cell>
        </row>
        <row r="11">
          <cell r="B11" t="str">
            <v>delinquency_10</v>
          </cell>
        </row>
        <row r="12">
          <cell r="B12" t="str">
            <v>delinquency_11</v>
          </cell>
        </row>
        <row r="13">
          <cell r="B13" t="str">
            <v>delinquency_12</v>
          </cell>
        </row>
        <row r="14">
          <cell r="B14" t="str">
            <v>delinquency_13</v>
          </cell>
        </row>
        <row r="15">
          <cell r="B15" t="str">
            <v>delinquency_14</v>
          </cell>
        </row>
        <row r="16">
          <cell r="B16" t="str">
            <v>delinquency_15</v>
          </cell>
        </row>
        <row r="17">
          <cell r="B17" t="str">
            <v>delinquency_16</v>
          </cell>
        </row>
        <row r="18">
          <cell r="B18" t="str">
            <v>delinquency_17</v>
          </cell>
        </row>
        <row r="19">
          <cell r="B19" t="str">
            <v>delinquency_18</v>
          </cell>
        </row>
        <row r="20">
          <cell r="B20" t="str">
            <v>delinquency_19</v>
          </cell>
        </row>
        <row r="21">
          <cell r="B21" t="str">
            <v>delinquency_20</v>
          </cell>
        </row>
        <row r="22">
          <cell r="B22" t="str">
            <v>delinquency_21</v>
          </cell>
        </row>
        <row r="23">
          <cell r="B23" t="str">
            <v>delinquency_22</v>
          </cell>
        </row>
        <row r="24">
          <cell r="B24" t="str">
            <v>delinquency_23</v>
          </cell>
        </row>
        <row r="25">
          <cell r="B25" t="str">
            <v>delinquency_24</v>
          </cell>
        </row>
        <row r="26">
          <cell r="B26" t="str">
            <v>delinquency_25</v>
          </cell>
        </row>
        <row r="27">
          <cell r="B27" t="str">
            <v>delinquency_26</v>
          </cell>
        </row>
        <row r="28">
          <cell r="B28" t="str">
            <v>delinquency_27</v>
          </cell>
        </row>
        <row r="29">
          <cell r="B29" t="str">
            <v>delinquency_28</v>
          </cell>
        </row>
        <row r="30">
          <cell r="B30" t="str">
            <v>delinquency_29</v>
          </cell>
        </row>
        <row r="31">
          <cell r="B31" t="str">
            <v>delinquency_30</v>
          </cell>
        </row>
        <row r="32">
          <cell r="B32" t="str">
            <v>delinquency_31</v>
          </cell>
        </row>
        <row r="33">
          <cell r="B33" t="str">
            <v>delinquency_32</v>
          </cell>
        </row>
        <row r="34">
          <cell r="B34" t="str">
            <v>delinquency_33</v>
          </cell>
        </row>
        <row r="35">
          <cell r="B35" t="str">
            <v>delinquency_34</v>
          </cell>
        </row>
        <row r="36">
          <cell r="B36" t="str">
            <v>delinquency_35</v>
          </cell>
        </row>
        <row r="37">
          <cell r="B37" t="str">
            <v>delinquency_36</v>
          </cell>
        </row>
        <row r="38">
          <cell r="B38" t="str">
            <v>delinquency_37</v>
          </cell>
        </row>
        <row r="39">
          <cell r="B39" t="str">
            <v>delinquency_38</v>
          </cell>
        </row>
        <row r="40">
          <cell r="B40" t="str">
            <v>delinquency_39</v>
          </cell>
        </row>
        <row r="41">
          <cell r="B41" t="str">
            <v>delinquency_40</v>
          </cell>
        </row>
        <row r="42">
          <cell r="B42" t="str">
            <v>delinquency_41</v>
          </cell>
        </row>
        <row r="43">
          <cell r="B43" t="str">
            <v>delinquency_42</v>
          </cell>
        </row>
        <row r="44">
          <cell r="B44" t="str">
            <v>delinquency_43</v>
          </cell>
        </row>
        <row r="45">
          <cell r="B45" t="str">
            <v>delinquency_44</v>
          </cell>
        </row>
        <row r="46">
          <cell r="B46" t="str">
            <v>delinquency_45</v>
          </cell>
        </row>
        <row r="47">
          <cell r="B47" t="str">
            <v>delinquency_46</v>
          </cell>
        </row>
        <row r="48">
          <cell r="B48" t="str">
            <v>delinquency_47</v>
          </cell>
        </row>
        <row r="49">
          <cell r="B49" t="str">
            <v>delinquency_48</v>
          </cell>
        </row>
        <row r="50">
          <cell r="B50" t="str">
            <v>delinquency_49</v>
          </cell>
        </row>
        <row r="51">
          <cell r="B51" t="str">
            <v>delinquency_50</v>
          </cell>
        </row>
        <row r="52">
          <cell r="B52" t="str">
            <v>delinquency_51</v>
          </cell>
        </row>
        <row r="53">
          <cell r="B53" t="str">
            <v>delinquency_52</v>
          </cell>
        </row>
        <row r="54">
          <cell r="B54" t="str">
            <v>delinquency_53</v>
          </cell>
        </row>
        <row r="55">
          <cell r="B55" t="str">
            <v>delinquency_54</v>
          </cell>
        </row>
        <row r="56">
          <cell r="B56" t="str">
            <v>delinquency_55</v>
          </cell>
        </row>
        <row r="57">
          <cell r="B57" t="str">
            <v>delinquency_56</v>
          </cell>
        </row>
        <row r="58">
          <cell r="B58" t="str">
            <v>delinquency_57</v>
          </cell>
        </row>
        <row r="59">
          <cell r="B59" t="str">
            <v>delinquency_58</v>
          </cell>
        </row>
        <row r="60">
          <cell r="B60" t="str">
            <v>delinquency_59</v>
          </cell>
        </row>
        <row r="61">
          <cell r="B61" t="str">
            <v>delinquency_60</v>
          </cell>
        </row>
        <row r="62">
          <cell r="B62" t="str">
            <v>delinquency_61</v>
          </cell>
        </row>
        <row r="63">
          <cell r="B63" t="str">
            <v>delinquency_62</v>
          </cell>
        </row>
        <row r="64">
          <cell r="B64" t="str">
            <v>delinquency_63</v>
          </cell>
        </row>
        <row r="65">
          <cell r="B65" t="str">
            <v>delinquency_64</v>
          </cell>
        </row>
        <row r="66">
          <cell r="B66" t="str">
            <v>delinquency_65</v>
          </cell>
        </row>
        <row r="67">
          <cell r="B67" t="str">
            <v>delinquency_66</v>
          </cell>
        </row>
        <row r="68">
          <cell r="B68" t="str">
            <v>delinquency_67</v>
          </cell>
        </row>
        <row r="69">
          <cell r="B69" t="str">
            <v>delinquency_68</v>
          </cell>
        </row>
        <row r="70">
          <cell r="B70" t="str">
            <v>delinquency_69</v>
          </cell>
        </row>
        <row r="71">
          <cell r="B71" t="str">
            <v>delinquency_70</v>
          </cell>
        </row>
        <row r="72">
          <cell r="B72" t="str">
            <v>delinquency_71</v>
          </cell>
        </row>
        <row r="73">
          <cell r="B73" t="str">
            <v>delinquency_72</v>
          </cell>
        </row>
        <row r="74">
          <cell r="B74" t="str">
            <v>delinquency_73</v>
          </cell>
        </row>
        <row r="75">
          <cell r="B75" t="str">
            <v>delinquency_74</v>
          </cell>
        </row>
        <row r="76">
          <cell r="B76" t="str">
            <v>delinquency_75</v>
          </cell>
        </row>
        <row r="77">
          <cell r="B77" t="str">
            <v>delinquency_76</v>
          </cell>
        </row>
        <row r="78">
          <cell r="B78" t="str">
            <v>delinquency_77</v>
          </cell>
        </row>
        <row r="79">
          <cell r="B79" t="str">
            <v>delinquency_78</v>
          </cell>
        </row>
        <row r="80">
          <cell r="B80" t="str">
            <v>delinquency_79</v>
          </cell>
        </row>
        <row r="81">
          <cell r="B81" t="str">
            <v>delinquency_80</v>
          </cell>
        </row>
      </sheetData>
      <sheetData sheetId="40">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defaults_1</v>
          </cell>
          <cell r="C2">
            <v>0</v>
          </cell>
          <cell r="D2">
            <v>0</v>
          </cell>
          <cell r="E2">
            <v>0</v>
          </cell>
          <cell r="F2">
            <v>822656474.24000001</v>
          </cell>
          <cell r="G2">
            <v>0</v>
          </cell>
          <cell r="H2">
            <v>0</v>
          </cell>
          <cell r="I2">
            <v>0</v>
          </cell>
          <cell r="J2">
            <v>0</v>
          </cell>
          <cell r="K2">
            <v>0</v>
          </cell>
        </row>
        <row r="3">
          <cell r="B3" t="str">
            <v>defaults_2</v>
          </cell>
          <cell r="C3">
            <v>0</v>
          </cell>
          <cell r="D3">
            <v>0</v>
          </cell>
          <cell r="E3">
            <v>0</v>
          </cell>
          <cell r="F3">
            <v>842725089.55999994</v>
          </cell>
          <cell r="G3">
            <v>0</v>
          </cell>
          <cell r="H3">
            <v>0</v>
          </cell>
          <cell r="I3">
            <v>0</v>
          </cell>
          <cell r="J3">
            <v>0</v>
          </cell>
          <cell r="K3">
            <v>0</v>
          </cell>
        </row>
        <row r="4">
          <cell r="B4" t="str">
            <v>defaults_3</v>
          </cell>
          <cell r="C4">
            <v>6</v>
          </cell>
          <cell r="D4">
            <v>277861.92</v>
          </cell>
          <cell r="E4">
            <v>277861.92</v>
          </cell>
          <cell r="F4">
            <v>862443185.15999997</v>
          </cell>
          <cell r="G4">
            <v>3.221799705547574E-4</v>
          </cell>
          <cell r="H4">
            <v>-741.14</v>
          </cell>
          <cell r="I4">
            <v>-741.14</v>
          </cell>
          <cell r="J4">
            <v>278603.06</v>
          </cell>
          <cell r="K4">
            <v>3.2303931991568087E-4</v>
          </cell>
        </row>
        <row r="5">
          <cell r="B5" t="str">
            <v>defaults_4</v>
          </cell>
          <cell r="C5">
            <v>40</v>
          </cell>
          <cell r="D5">
            <v>657619.93999999994</v>
          </cell>
          <cell r="E5">
            <v>935481.86</v>
          </cell>
          <cell r="F5">
            <v>883454525.34000003</v>
          </cell>
          <cell r="G5">
            <v>1.0588907896985156E-3</v>
          </cell>
          <cell r="H5">
            <v>-1902.33</v>
          </cell>
          <cell r="I5">
            <v>-2643.47</v>
          </cell>
          <cell r="J5">
            <v>938125.33</v>
          </cell>
          <cell r="K5">
            <v>1.061882986720748E-3</v>
          </cell>
        </row>
        <row r="6">
          <cell r="B6" t="str">
            <v>defaults_5</v>
          </cell>
          <cell r="C6">
            <v>74</v>
          </cell>
          <cell r="D6">
            <v>874440.48</v>
          </cell>
          <cell r="E6">
            <v>1809922.34</v>
          </cell>
          <cell r="F6">
            <v>900750896.40999997</v>
          </cell>
          <cell r="G6">
            <v>2.0093483639189932E-3</v>
          </cell>
          <cell r="H6">
            <v>-4553.34</v>
          </cell>
          <cell r="I6">
            <v>-7196.81</v>
          </cell>
          <cell r="J6">
            <v>1817119.15</v>
          </cell>
          <cell r="K6">
            <v>2.0173381533587632E-3</v>
          </cell>
        </row>
        <row r="7">
          <cell r="B7" t="str">
            <v>defaults_6</v>
          </cell>
        </row>
        <row r="8">
          <cell r="B8" t="str">
            <v>defaults_7</v>
          </cell>
        </row>
        <row r="9">
          <cell r="B9" t="str">
            <v>defaults_8</v>
          </cell>
        </row>
        <row r="10">
          <cell r="B10" t="str">
            <v>defaults_9</v>
          </cell>
        </row>
        <row r="11">
          <cell r="B11" t="str">
            <v>defaults_10</v>
          </cell>
        </row>
        <row r="12">
          <cell r="B12" t="str">
            <v>defaults_11</v>
          </cell>
        </row>
        <row r="13">
          <cell r="B13" t="str">
            <v>defaults_12</v>
          </cell>
        </row>
        <row r="14">
          <cell r="B14" t="str">
            <v>defaults_13</v>
          </cell>
        </row>
        <row r="15">
          <cell r="B15" t="str">
            <v>defaults_14</v>
          </cell>
        </row>
        <row r="16">
          <cell r="B16" t="str">
            <v>defaults_15</v>
          </cell>
        </row>
        <row r="17">
          <cell r="B17" t="str">
            <v>defaults_16</v>
          </cell>
        </row>
        <row r="18">
          <cell r="B18" t="str">
            <v>defaults_17</v>
          </cell>
        </row>
        <row r="19">
          <cell r="B19" t="str">
            <v>defaults_18</v>
          </cell>
        </row>
        <row r="20">
          <cell r="B20" t="str">
            <v>defaults_19</v>
          </cell>
        </row>
        <row r="21">
          <cell r="B21" t="str">
            <v>defaults_20</v>
          </cell>
        </row>
        <row r="22">
          <cell r="B22" t="str">
            <v>defaults_21</v>
          </cell>
        </row>
        <row r="23">
          <cell r="B23" t="str">
            <v>defaults_22</v>
          </cell>
        </row>
        <row r="24">
          <cell r="B24" t="str">
            <v>defaults_23</v>
          </cell>
        </row>
        <row r="25">
          <cell r="B25" t="str">
            <v>defaults_24</v>
          </cell>
        </row>
        <row r="26">
          <cell r="B26" t="str">
            <v>defaults_25</v>
          </cell>
        </row>
        <row r="27">
          <cell r="B27" t="str">
            <v>defaults_26</v>
          </cell>
        </row>
        <row r="28">
          <cell r="B28" t="str">
            <v>defaults_27</v>
          </cell>
        </row>
        <row r="29">
          <cell r="B29" t="str">
            <v>defaults_28</v>
          </cell>
        </row>
        <row r="30">
          <cell r="B30" t="str">
            <v>defaults_29</v>
          </cell>
        </row>
        <row r="31">
          <cell r="B31" t="str">
            <v>defaults_30</v>
          </cell>
        </row>
        <row r="32">
          <cell r="B32" t="str">
            <v>defaults_31</v>
          </cell>
        </row>
        <row r="33">
          <cell r="B33" t="str">
            <v>defaults_32</v>
          </cell>
        </row>
        <row r="34">
          <cell r="B34" t="str">
            <v>defaults_33</v>
          </cell>
        </row>
        <row r="35">
          <cell r="B35" t="str">
            <v>defaults_34</v>
          </cell>
        </row>
        <row r="36">
          <cell r="B36" t="str">
            <v>defaults_35</v>
          </cell>
        </row>
        <row r="37">
          <cell r="B37" t="str">
            <v>defaults_36</v>
          </cell>
        </row>
        <row r="38">
          <cell r="B38" t="str">
            <v>defaults_37</v>
          </cell>
        </row>
        <row r="39">
          <cell r="B39" t="str">
            <v>defaults_38</v>
          </cell>
        </row>
        <row r="40">
          <cell r="B40" t="str">
            <v>defaults_39</v>
          </cell>
        </row>
        <row r="41">
          <cell r="B41" t="str">
            <v>defaults_40</v>
          </cell>
        </row>
        <row r="42">
          <cell r="B42" t="str">
            <v>defaults_41</v>
          </cell>
        </row>
        <row r="43">
          <cell r="B43" t="str">
            <v>defaults_42</v>
          </cell>
        </row>
        <row r="44">
          <cell r="B44" t="str">
            <v>defaults_43</v>
          </cell>
        </row>
        <row r="45">
          <cell r="B45" t="str">
            <v>defaults_44</v>
          </cell>
        </row>
        <row r="46">
          <cell r="B46" t="str">
            <v>defaults_45</v>
          </cell>
        </row>
        <row r="47">
          <cell r="B47" t="str">
            <v>defaults_46</v>
          </cell>
        </row>
        <row r="48">
          <cell r="B48" t="str">
            <v>defaults_47</v>
          </cell>
        </row>
        <row r="49">
          <cell r="B49" t="str">
            <v>defaults_48</v>
          </cell>
        </row>
        <row r="50">
          <cell r="B50" t="str">
            <v>defaults_49</v>
          </cell>
        </row>
        <row r="51">
          <cell r="B51" t="str">
            <v>defaults_50</v>
          </cell>
        </row>
        <row r="52">
          <cell r="B52" t="str">
            <v>defaults_51</v>
          </cell>
        </row>
        <row r="53">
          <cell r="B53" t="str">
            <v>defaults_52</v>
          </cell>
        </row>
        <row r="54">
          <cell r="B54" t="str">
            <v>defaults_53</v>
          </cell>
        </row>
        <row r="55">
          <cell r="B55" t="str">
            <v>defaults_54</v>
          </cell>
        </row>
        <row r="56">
          <cell r="B56" t="str">
            <v>defaults_55</v>
          </cell>
        </row>
        <row r="57">
          <cell r="B57" t="str">
            <v>defaults_56</v>
          </cell>
        </row>
        <row r="58">
          <cell r="B58" t="str">
            <v>defaults_57</v>
          </cell>
        </row>
        <row r="59">
          <cell r="B59" t="str">
            <v>defaults_58</v>
          </cell>
        </row>
        <row r="60">
          <cell r="B60" t="str">
            <v>defaults_59</v>
          </cell>
        </row>
        <row r="61">
          <cell r="B61" t="str">
            <v>defaults_60</v>
          </cell>
        </row>
        <row r="62">
          <cell r="B62" t="str">
            <v>defaults_61</v>
          </cell>
        </row>
        <row r="63">
          <cell r="B63" t="str">
            <v>defaults_62</v>
          </cell>
        </row>
        <row r="64">
          <cell r="B64" t="str">
            <v>defaults_63</v>
          </cell>
        </row>
        <row r="65">
          <cell r="B65" t="str">
            <v>defaults_64</v>
          </cell>
        </row>
        <row r="66">
          <cell r="B66" t="str">
            <v>defaults_65</v>
          </cell>
        </row>
        <row r="67">
          <cell r="B67" t="str">
            <v>defaults_66</v>
          </cell>
        </row>
        <row r="68">
          <cell r="B68" t="str">
            <v>defaults_67</v>
          </cell>
        </row>
        <row r="69">
          <cell r="B69" t="str">
            <v>defaults_68</v>
          </cell>
        </row>
        <row r="70">
          <cell r="B70" t="str">
            <v>defaults_69</v>
          </cell>
        </row>
        <row r="71">
          <cell r="B71" t="str">
            <v>defaults_70</v>
          </cell>
        </row>
        <row r="72">
          <cell r="B72" t="str">
            <v>defaults_71</v>
          </cell>
        </row>
        <row r="73">
          <cell r="B73" t="str">
            <v>defaults_72</v>
          </cell>
        </row>
        <row r="74">
          <cell r="B74" t="str">
            <v>defaults_73</v>
          </cell>
        </row>
        <row r="75">
          <cell r="B75" t="str">
            <v>defaults_74</v>
          </cell>
        </row>
        <row r="76">
          <cell r="B76" t="str">
            <v>defaults_75</v>
          </cell>
        </row>
        <row r="77">
          <cell r="B77" t="str">
            <v>defaults_76</v>
          </cell>
        </row>
        <row r="78">
          <cell r="B78" t="str">
            <v>defaults_77</v>
          </cell>
        </row>
        <row r="79">
          <cell r="B79" t="str">
            <v>defaults_78</v>
          </cell>
        </row>
        <row r="80">
          <cell r="B80" t="str">
            <v>defaults_79</v>
          </cell>
        </row>
        <row r="81">
          <cell r="B81" t="str">
            <v>defaults_80</v>
          </cell>
        </row>
      </sheetData>
      <sheetData sheetId="41">
        <row r="1">
          <cell r="B1" t="str">
            <v>RANGE</v>
          </cell>
          <cell r="C1" t="str">
            <v>F2</v>
          </cell>
          <cell r="D1" t="str">
            <v>F3</v>
          </cell>
          <cell r="E1" t="str">
            <v>F4</v>
          </cell>
          <cell r="F1" t="str">
            <v>F5</v>
          </cell>
          <cell r="G1" t="str">
            <v>F6</v>
          </cell>
        </row>
        <row r="2">
          <cell r="B2" t="str">
            <v>portfolio_1</v>
          </cell>
          <cell r="C2">
            <v>799999981.55999994</v>
          </cell>
          <cell r="D2">
            <v>10261648.470000001</v>
          </cell>
          <cell r="E2">
            <v>12394844.210000001</v>
          </cell>
          <cell r="F2">
            <v>22656492.68</v>
          </cell>
          <cell r="G2">
            <v>0.17086975151042294</v>
          </cell>
        </row>
        <row r="3">
          <cell r="B3" t="str">
            <v>portfolio_2</v>
          </cell>
          <cell r="C3">
            <v>799999981.55999994</v>
          </cell>
          <cell r="D3">
            <v>10582715.699999999</v>
          </cell>
          <cell r="E3">
            <v>9485939.2200000007</v>
          </cell>
          <cell r="F3">
            <v>20068654.920000002</v>
          </cell>
          <cell r="G3">
            <v>0.13336675778769724</v>
          </cell>
        </row>
        <row r="4">
          <cell r="B4" t="str">
            <v>portfolio_3</v>
          </cell>
          <cell r="C4">
            <v>799999941.96000004</v>
          </cell>
          <cell r="D4">
            <v>10289028.23</v>
          </cell>
          <cell r="E4">
            <v>9151176.25</v>
          </cell>
          <cell r="F4">
            <v>19440204.48</v>
          </cell>
          <cell r="G4">
            <v>0.12895252131821233</v>
          </cell>
        </row>
        <row r="5">
          <cell r="B5" t="str">
            <v>portfolio_4</v>
          </cell>
          <cell r="C5">
            <v>799999971.15999997</v>
          </cell>
          <cell r="D5">
            <v>9939918.8300000001</v>
          </cell>
          <cell r="E5">
            <v>10413806.880000001</v>
          </cell>
          <cell r="F5">
            <v>20353725.710000001</v>
          </cell>
          <cell r="G5">
            <v>0.14549481889488336</v>
          </cell>
        </row>
        <row r="6">
          <cell r="B6" t="str">
            <v>portfolio_5</v>
          </cell>
          <cell r="C6">
            <v>799999965.69000006</v>
          </cell>
          <cell r="D6">
            <v>9871476.7899999991</v>
          </cell>
          <cell r="E6">
            <v>6550441.0099999998</v>
          </cell>
          <cell r="F6">
            <v>16421917.800000001</v>
          </cell>
          <cell r="G6">
            <v>9.3950278242669993E-2</v>
          </cell>
        </row>
        <row r="7">
          <cell r="B7" t="str">
            <v>portfolio_6</v>
          </cell>
        </row>
        <row r="8">
          <cell r="B8" t="str">
            <v>portfolio_7</v>
          </cell>
        </row>
        <row r="9">
          <cell r="B9" t="str">
            <v>portfolio_8</v>
          </cell>
        </row>
        <row r="10">
          <cell r="B10" t="str">
            <v>portfolio_9</v>
          </cell>
        </row>
        <row r="11">
          <cell r="B11" t="str">
            <v>portfolio_10</v>
          </cell>
        </row>
        <row r="12">
          <cell r="B12" t="str">
            <v>portfolio_11</v>
          </cell>
        </row>
        <row r="13">
          <cell r="B13" t="str">
            <v>portfolio_12</v>
          </cell>
        </row>
        <row r="14">
          <cell r="B14" t="str">
            <v>portfolio_13</v>
          </cell>
        </row>
        <row r="15">
          <cell r="B15" t="str">
            <v>portfolio_14</v>
          </cell>
        </row>
        <row r="16">
          <cell r="B16" t="str">
            <v>portfolio_15</v>
          </cell>
        </row>
        <row r="17">
          <cell r="B17" t="str">
            <v>portfolio_16</v>
          </cell>
        </row>
        <row r="18">
          <cell r="B18" t="str">
            <v>portfolio_17</v>
          </cell>
        </row>
        <row r="19">
          <cell r="B19" t="str">
            <v>portfolio_18</v>
          </cell>
        </row>
        <row r="20">
          <cell r="B20" t="str">
            <v>portfolio_19</v>
          </cell>
        </row>
        <row r="21">
          <cell r="B21" t="str">
            <v>portfolio_20</v>
          </cell>
        </row>
        <row r="22">
          <cell r="B22" t="str">
            <v>portfolio_21</v>
          </cell>
        </row>
        <row r="23">
          <cell r="B23" t="str">
            <v>portfolio_22</v>
          </cell>
        </row>
        <row r="24">
          <cell r="B24" t="str">
            <v>portfolio_23</v>
          </cell>
        </row>
        <row r="25">
          <cell r="B25" t="str">
            <v>portfolio_24</v>
          </cell>
        </row>
        <row r="26">
          <cell r="B26" t="str">
            <v>portfolio_25</v>
          </cell>
        </row>
        <row r="27">
          <cell r="B27" t="str">
            <v>portfolio_26</v>
          </cell>
        </row>
        <row r="28">
          <cell r="B28" t="str">
            <v>portfolio_27</v>
          </cell>
        </row>
        <row r="29">
          <cell r="B29" t="str">
            <v>portfolio_28</v>
          </cell>
        </row>
        <row r="30">
          <cell r="B30" t="str">
            <v>portfolio_29</v>
          </cell>
        </row>
        <row r="31">
          <cell r="B31" t="str">
            <v>portfolio_30</v>
          </cell>
        </row>
        <row r="32">
          <cell r="B32" t="str">
            <v>portfolio_31</v>
          </cell>
        </row>
        <row r="33">
          <cell r="B33" t="str">
            <v>portfolio_32</v>
          </cell>
        </row>
        <row r="34">
          <cell r="B34" t="str">
            <v>portfolio_33</v>
          </cell>
        </row>
        <row r="35">
          <cell r="B35" t="str">
            <v>portfolio_34</v>
          </cell>
        </row>
        <row r="36">
          <cell r="B36" t="str">
            <v>portfolio_35</v>
          </cell>
        </row>
        <row r="37">
          <cell r="B37" t="str">
            <v>portfolio_36</v>
          </cell>
        </row>
        <row r="38">
          <cell r="B38" t="str">
            <v>portfolio_37</v>
          </cell>
        </row>
        <row r="39">
          <cell r="B39" t="str">
            <v>portfolio_38</v>
          </cell>
        </row>
        <row r="40">
          <cell r="B40" t="str">
            <v>portfolio_39</v>
          </cell>
        </row>
        <row r="41">
          <cell r="B41" t="str">
            <v>portfolio_40</v>
          </cell>
        </row>
        <row r="42">
          <cell r="B42" t="str">
            <v>portfolio_41</v>
          </cell>
        </row>
        <row r="43">
          <cell r="B43" t="str">
            <v>portfolio_42</v>
          </cell>
        </row>
        <row r="44">
          <cell r="B44" t="str">
            <v>portfolio_43</v>
          </cell>
        </row>
        <row r="45">
          <cell r="B45" t="str">
            <v>portfolio_44</v>
          </cell>
        </row>
        <row r="46">
          <cell r="B46" t="str">
            <v>portfolio_45</v>
          </cell>
        </row>
        <row r="47">
          <cell r="B47" t="str">
            <v>portfolio_46</v>
          </cell>
        </row>
        <row r="48">
          <cell r="B48" t="str">
            <v>portfolio_47</v>
          </cell>
        </row>
        <row r="49">
          <cell r="B49" t="str">
            <v>portfolio_48</v>
          </cell>
        </row>
        <row r="50">
          <cell r="B50" t="str">
            <v>portfolio_49</v>
          </cell>
        </row>
        <row r="51">
          <cell r="B51" t="str">
            <v>portfolio_50</v>
          </cell>
        </row>
        <row r="52">
          <cell r="B52" t="str">
            <v>portfolio_51</v>
          </cell>
        </row>
        <row r="53">
          <cell r="B53" t="str">
            <v>portfolio_52</v>
          </cell>
        </row>
        <row r="54">
          <cell r="B54" t="str">
            <v>portfolio_53</v>
          </cell>
        </row>
        <row r="55">
          <cell r="B55" t="str">
            <v>portfolio_54</v>
          </cell>
        </row>
        <row r="56">
          <cell r="B56" t="str">
            <v>portfolio_55</v>
          </cell>
        </row>
        <row r="57">
          <cell r="B57" t="str">
            <v>portfolio_56</v>
          </cell>
        </row>
        <row r="58">
          <cell r="B58" t="str">
            <v>portfolio_57</v>
          </cell>
        </row>
        <row r="59">
          <cell r="B59" t="str">
            <v>portfolio_58</v>
          </cell>
        </row>
        <row r="60">
          <cell r="B60" t="str">
            <v>portfolio_59</v>
          </cell>
        </row>
        <row r="61">
          <cell r="B61" t="str">
            <v>portfolio_60</v>
          </cell>
        </row>
        <row r="62">
          <cell r="B62" t="str">
            <v>portfolio_61</v>
          </cell>
        </row>
        <row r="63">
          <cell r="B63" t="str">
            <v>portfolio_62</v>
          </cell>
        </row>
        <row r="64">
          <cell r="B64" t="str">
            <v>portfolio_63</v>
          </cell>
        </row>
        <row r="65">
          <cell r="B65" t="str">
            <v>portfolio_64</v>
          </cell>
        </row>
        <row r="66">
          <cell r="B66" t="str">
            <v>portfolio_65</v>
          </cell>
        </row>
        <row r="67">
          <cell r="B67" t="str">
            <v>portfolio_66</v>
          </cell>
        </row>
        <row r="68">
          <cell r="B68" t="str">
            <v>portfolio_67</v>
          </cell>
        </row>
        <row r="69">
          <cell r="B69" t="str">
            <v>portfolio_68</v>
          </cell>
        </row>
        <row r="70">
          <cell r="B70" t="str">
            <v>portfolio_69</v>
          </cell>
        </row>
        <row r="71">
          <cell r="B71" t="str">
            <v>portfolio_70</v>
          </cell>
        </row>
        <row r="72">
          <cell r="B72" t="str">
            <v>portfolio_71</v>
          </cell>
        </row>
        <row r="73">
          <cell r="B73" t="str">
            <v>portfolio_72</v>
          </cell>
        </row>
        <row r="74">
          <cell r="B74" t="str">
            <v>portfolio_73</v>
          </cell>
        </row>
        <row r="75">
          <cell r="B75" t="str">
            <v>portfolio_74</v>
          </cell>
        </row>
        <row r="76">
          <cell r="B76" t="str">
            <v>portfolio_75</v>
          </cell>
        </row>
        <row r="77">
          <cell r="B77" t="str">
            <v>portfolio_76</v>
          </cell>
        </row>
        <row r="78">
          <cell r="B78" t="str">
            <v>portfolio_77</v>
          </cell>
        </row>
        <row r="79">
          <cell r="B79" t="str">
            <v>portfolio_78</v>
          </cell>
        </row>
        <row r="80">
          <cell r="B80" t="str">
            <v>portfolio_79</v>
          </cell>
        </row>
        <row r="81">
          <cell r="B81" t="str">
            <v>portfolio_80</v>
          </cell>
        </row>
      </sheetData>
      <sheetData sheetId="42">
        <row r="1">
          <cell r="B1" t="str">
            <v>COUNTERPARTY</v>
          </cell>
          <cell r="C1" t="str">
            <v>RTG_MDY_LT_CRA</v>
          </cell>
          <cell r="D1" t="str">
            <v>RTG_MDY_SEN_UNSECURED_DEBT</v>
          </cell>
          <cell r="E1" t="str">
            <v>RTG_MDY_ST_CRA</v>
          </cell>
          <cell r="F1" t="str">
            <v>RTG_MDY_SHORT_TERM_DEBT</v>
          </cell>
          <cell r="G1" t="str">
            <v>RTG_MDY_OUTLOOK</v>
          </cell>
          <cell r="H1" t="str">
            <v>RTG_FITCH_SEN_UNSECURED</v>
          </cell>
          <cell r="I1" t="str">
            <v>RTG_FITCH_LT_ISSUER_DEFAULT</v>
          </cell>
          <cell r="J1" t="str">
            <v>RTG_FITCH_SHORT_TERM</v>
          </cell>
          <cell r="K1" t="str">
            <v>RTG_FITCH_ST_ISSUER_DEFAULT</v>
          </cell>
          <cell r="L1" t="str">
            <v>RTG_FITCH_OUTLOOK</v>
          </cell>
          <cell r="M1" t="str">
            <v>RTG_FITCH_DERIV_COUNTERPARTY</v>
          </cell>
          <cell r="N1" t="str">
            <v>RTG_DBRS_SENIOR_UNSECURED</v>
          </cell>
          <cell r="O1" t="str">
            <v>RTG_DBRS_LT_BANK_DEPOSITS</v>
          </cell>
          <cell r="P1" t="str">
            <v>RTG_DBRS_ST</v>
          </cell>
          <cell r="Q1" t="str">
            <v>RTG_DBRS_OUTLOOK</v>
          </cell>
          <cell r="R1" t="str">
            <v>RTG_DATE</v>
          </cell>
          <cell r="S1" t="str">
            <v>ABS_RAT</v>
          </cell>
        </row>
        <row r="2">
          <cell r="B2" t="str">
            <v>Banco Santander S.A.</v>
          </cell>
          <cell r="C2" t="str">
            <v>A3(cr)</v>
          </cell>
          <cell r="D2" t="str">
            <v>(P)A2</v>
          </cell>
          <cell r="E2" t="str">
            <v>P-2(cr)</v>
          </cell>
          <cell r="F2" t="str">
            <v>P-1</v>
          </cell>
          <cell r="G2" t="str">
            <v>STABLE</v>
          </cell>
          <cell r="H2" t="str">
            <v>A</v>
          </cell>
          <cell r="I2" t="str">
            <v>A-</v>
          </cell>
          <cell r="J2" t="str">
            <v>F1</v>
          </cell>
          <cell r="K2" t="str">
            <v>F2</v>
          </cell>
          <cell r="L2" t="str">
            <v>STABLE</v>
          </cell>
          <cell r="M2" t="str">
            <v>A(dcr)</v>
          </cell>
          <cell r="N2" t="str">
            <v>AH</v>
          </cell>
          <cell r="O2" t="str">
            <v>AH</v>
          </cell>
          <cell r="P2" t="str">
            <v>R-1M</v>
          </cell>
          <cell r="Q2" t="str">
            <v>STABLE</v>
          </cell>
          <cell r="R2" t="str">
            <v/>
          </cell>
          <cell r="S2" t="str">
            <v/>
          </cell>
        </row>
        <row r="3">
          <cell r="B3" t="str">
            <v>Bank of New York Mellon</v>
          </cell>
          <cell r="C3" t="str">
            <v>Aa1(cr)</v>
          </cell>
          <cell r="D3" t="str">
            <v>Aa2</v>
          </cell>
          <cell r="E3" t="str">
            <v>P-1(cr)</v>
          </cell>
          <cell r="F3" t="str">
            <v>P-1</v>
          </cell>
          <cell r="G3" t="str">
            <v>NEG</v>
          </cell>
          <cell r="H3" t="str">
            <v>AA</v>
          </cell>
          <cell r="I3" t="str">
            <v>AA</v>
          </cell>
          <cell r="J3" t="str">
            <v>F1+</v>
          </cell>
          <cell r="K3" t="str">
            <v>F1+</v>
          </cell>
          <cell r="L3" t="str">
            <v>STABLE</v>
          </cell>
          <cell r="M3" t="str">
            <v>AA(dcr)</v>
          </cell>
          <cell r="N3" t="str">
            <v>AAH</v>
          </cell>
          <cell r="O3" t="str">
            <v>AAH</v>
          </cell>
          <cell r="P3" t="str">
            <v>R-1H</v>
          </cell>
          <cell r="Q3" t="str">
            <v>STABLE</v>
          </cell>
          <cell r="R3" t="str">
            <v/>
          </cell>
          <cell r="S3" t="str">
            <v/>
          </cell>
        </row>
        <row r="4">
          <cell r="B4" t="str">
            <v>Bank of New York Mellon SA-NV/Luxembourg</v>
          </cell>
          <cell r="C4" t="str">
            <v>Aa1(cr)</v>
          </cell>
          <cell r="D4" t="str">
            <v>-</v>
          </cell>
          <cell r="E4" t="str">
            <v>P-1(cr)</v>
          </cell>
          <cell r="F4" t="str">
            <v>P-1</v>
          </cell>
          <cell r="G4" t="str">
            <v>NEG</v>
          </cell>
          <cell r="H4" t="str">
            <v>-</v>
          </cell>
          <cell r="I4" t="str">
            <v>AA</v>
          </cell>
          <cell r="J4" t="str">
            <v>-</v>
          </cell>
          <cell r="K4" t="str">
            <v>F1+</v>
          </cell>
          <cell r="L4" t="str">
            <v>STABLE</v>
          </cell>
          <cell r="M4" t="str">
            <v>-</v>
          </cell>
          <cell r="N4" t="str">
            <v>AA</v>
          </cell>
          <cell r="O4" t="str">
            <v>AA</v>
          </cell>
          <cell r="P4" t="str">
            <v>R-1H</v>
          </cell>
          <cell r="Q4" t="str">
            <v>STABLE</v>
          </cell>
          <cell r="R4" t="str">
            <v/>
          </cell>
          <cell r="S4" t="str">
            <v/>
          </cell>
        </row>
        <row r="5">
          <cell r="B5" t="str">
            <v>Circumference FS (Luxembourg) S.A.</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
          </cell>
          <cell r="S5" t="str">
            <v/>
          </cell>
        </row>
        <row r="6">
          <cell r="B6" t="str">
            <v>DZ Bank AG</v>
          </cell>
          <cell r="C6" t="str">
            <v>Aa2(cr)</v>
          </cell>
          <cell r="D6" t="str">
            <v>Aa2</v>
          </cell>
          <cell r="E6" t="str">
            <v>P-1(cr)</v>
          </cell>
          <cell r="F6" t="str">
            <v>P-1</v>
          </cell>
          <cell r="G6" t="str">
            <v>STABLE</v>
          </cell>
          <cell r="H6" t="str">
            <v>AA-</v>
          </cell>
          <cell r="I6" t="str">
            <v>AA-</v>
          </cell>
          <cell r="J6" t="str">
            <v>F1+</v>
          </cell>
          <cell r="K6" t="str">
            <v>F1+</v>
          </cell>
          <cell r="L6" t="str">
            <v>STABLE</v>
          </cell>
          <cell r="M6" t="str">
            <v>AA(dcr)</v>
          </cell>
          <cell r="N6" t="str">
            <v>AAL</v>
          </cell>
          <cell r="O6" t="str">
            <v>-</v>
          </cell>
          <cell r="P6" t="str">
            <v>R-1M</v>
          </cell>
          <cell r="Q6" t="str">
            <v>STABLE</v>
          </cell>
          <cell r="R6" t="str">
            <v/>
          </cell>
          <cell r="S6" t="str">
            <v/>
          </cell>
        </row>
        <row r="7">
          <cell r="B7" t="str">
            <v>Deutsche Bank AG</v>
          </cell>
          <cell r="C7" t="str">
            <v>A1(cr)</v>
          </cell>
          <cell r="D7" t="str">
            <v>A1</v>
          </cell>
          <cell r="E7" t="str">
            <v>P-1(cr)</v>
          </cell>
          <cell r="F7" t="str">
            <v>P-1</v>
          </cell>
          <cell r="G7" t="str">
            <v>STABLE</v>
          </cell>
          <cell r="H7" t="str">
            <v>A</v>
          </cell>
          <cell r="I7" t="str">
            <v>A-</v>
          </cell>
          <cell r="J7" t="str">
            <v>F1</v>
          </cell>
          <cell r="K7" t="str">
            <v>F2</v>
          </cell>
          <cell r="L7" t="str">
            <v>STABLE</v>
          </cell>
          <cell r="M7" t="str">
            <v>A(dcr)</v>
          </cell>
          <cell r="N7" t="str">
            <v>A</v>
          </cell>
          <cell r="O7" t="str">
            <v>A</v>
          </cell>
          <cell r="P7" t="str">
            <v>R-1L</v>
          </cell>
          <cell r="Q7" t="str">
            <v>STABLE</v>
          </cell>
          <cell r="R7" t="str">
            <v/>
          </cell>
          <cell r="S7" t="str">
            <v/>
          </cell>
        </row>
        <row r="8">
          <cell r="B8" t="str">
            <v>ING Bank N.V.</v>
          </cell>
          <cell r="C8" t="str">
            <v>-</v>
          </cell>
          <cell r="D8" t="str">
            <v>Baa1</v>
          </cell>
          <cell r="E8" t="str">
            <v>-</v>
          </cell>
          <cell r="F8" t="str">
            <v>-</v>
          </cell>
          <cell r="G8" t="str">
            <v>STABLE</v>
          </cell>
          <cell r="H8" t="str">
            <v>A+</v>
          </cell>
          <cell r="I8" t="str">
            <v>A+</v>
          </cell>
          <cell r="J8" t="str">
            <v>F1</v>
          </cell>
          <cell r="K8" t="str">
            <v>F1</v>
          </cell>
          <cell r="L8" t="str">
            <v>STABLE</v>
          </cell>
          <cell r="M8" t="str">
            <v>A+(dcr)</v>
          </cell>
          <cell r="N8" t="str">
            <v>AH</v>
          </cell>
          <cell r="O8" t="str">
            <v>-</v>
          </cell>
          <cell r="P8" t="str">
            <v>R-1M</v>
          </cell>
          <cell r="Q8" t="str">
            <v>STABLE</v>
          </cell>
          <cell r="R8" t="str">
            <v/>
          </cell>
          <cell r="S8" t="str">
            <v/>
          </cell>
        </row>
        <row r="9">
          <cell r="B9" t="str">
            <v>Oversea FS B.V.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
          </cell>
          <cell r="S9" t="str">
            <v/>
          </cell>
        </row>
        <row r="10">
          <cell r="B10" t="str">
            <v>RatingDate</v>
          </cell>
          <cell r="C10" t="str">
            <v>MOODY'S long term counterparty risk assessment</v>
          </cell>
          <cell r="D10" t="str">
            <v>MOODY'S Rating, vorrangig unbesicherte Schulden</v>
          </cell>
          <cell r="E10" t="str">
            <v>MOODY'S short term counterparty risk assessment</v>
          </cell>
          <cell r="F10" t="str">
            <v>MOODY'S Rating, kurzfr., Datum- Emittenten-Level</v>
          </cell>
          <cell r="G10" t="str">
            <v>MOODY'S Rating, Outlook</v>
          </cell>
          <cell r="H10" t="str">
            <v>FITCH Rating, vorrangige Schulden, unbesichert</v>
          </cell>
          <cell r="I10" t="str">
            <v>FITCH Rating, langfr., Emittent, Standard</v>
          </cell>
          <cell r="J10" t="str">
            <v>Fitch ST Rating - Issuer Level</v>
          </cell>
          <cell r="K10" t="str">
            <v>FITCH Rating, kurzfr., Emittent, Standard</v>
          </cell>
          <cell r="L10" t="str">
            <v>Fitch Rating, Outlook</v>
          </cell>
          <cell r="M10" t="str">
            <v>Derivative Counterparty Rating</v>
          </cell>
          <cell r="N10" t="str">
            <v>DBRS Rating, vorrangig unbesichert</v>
          </cell>
          <cell r="O10" t="str">
            <v>DBRS Rating, langfr. Bankeinlagen</v>
          </cell>
          <cell r="P10" t="str">
            <v>DBRS Rating, kurzfristig</v>
          </cell>
          <cell r="Q10" t="str">
            <v>DBRS Outlook</v>
          </cell>
          <cell r="R10" t="str">
            <v>Ratings as of 31.12.2023, data source: Bloomberg</v>
          </cell>
          <cell r="S10" t="str">
            <v/>
          </cell>
        </row>
        <row r="11">
          <cell r="B11" t="str">
            <v>Santander Consumer Bank AG</v>
          </cell>
          <cell r="C11" t="str">
            <v>A1(cr)</v>
          </cell>
          <cell r="D11" t="str">
            <v>-</v>
          </cell>
          <cell r="E11" t="str">
            <v>P-1(cr)</v>
          </cell>
          <cell r="F11" t="str">
            <v>-</v>
          </cell>
          <cell r="G11" t="str">
            <v>STABLE</v>
          </cell>
          <cell r="H11" t="str">
            <v>-</v>
          </cell>
          <cell r="I11" t="str">
            <v>A-</v>
          </cell>
          <cell r="J11" t="str">
            <v>-</v>
          </cell>
          <cell r="K11" t="str">
            <v>F2</v>
          </cell>
          <cell r="L11" t="str">
            <v>STABLE</v>
          </cell>
          <cell r="M11" t="str">
            <v>A(dcr)</v>
          </cell>
          <cell r="N11" t="str">
            <v>-</v>
          </cell>
          <cell r="O11" t="str">
            <v>-</v>
          </cell>
          <cell r="P11" t="str">
            <v>-</v>
          </cell>
          <cell r="Q11" t="str">
            <v>-</v>
          </cell>
          <cell r="R11" t="str">
            <v/>
          </cell>
          <cell r="S11" t="str">
            <v/>
          </cell>
        </row>
        <row r="12">
          <cell r="B12" t="str">
            <v>Santander Consumer Finance S.A.</v>
          </cell>
          <cell r="C12" t="str">
            <v>A3(cr)</v>
          </cell>
          <cell r="D12" t="str">
            <v>A2</v>
          </cell>
          <cell r="E12" t="str">
            <v>P-2(cr)</v>
          </cell>
          <cell r="F12" t="str">
            <v>P-1</v>
          </cell>
          <cell r="G12" t="str">
            <v>STABLE</v>
          </cell>
          <cell r="H12" t="str">
            <v>A</v>
          </cell>
          <cell r="I12" t="str">
            <v>A-</v>
          </cell>
          <cell r="J12" t="str">
            <v>F1</v>
          </cell>
          <cell r="K12" t="str">
            <v>F2</v>
          </cell>
          <cell r="L12" t="str">
            <v>STABLE</v>
          </cell>
          <cell r="M12" t="str">
            <v>-</v>
          </cell>
          <cell r="N12" t="str">
            <v>-</v>
          </cell>
          <cell r="O12" t="str">
            <v>-</v>
          </cell>
          <cell r="P12" t="str">
            <v>-</v>
          </cell>
          <cell r="Q12" t="str">
            <v>-</v>
          </cell>
          <cell r="R12" t="str">
            <v/>
          </cell>
          <cell r="S12" t="str">
            <v/>
          </cell>
        </row>
        <row r="13">
          <cell r="B13" t="str">
            <v>Santander Corporate &amp; Investment Banking</v>
          </cell>
          <cell r="C13" t="str">
            <v>A3(cr)</v>
          </cell>
          <cell r="D13" t="str">
            <v>(P)A2</v>
          </cell>
          <cell r="E13" t="str">
            <v>P-2(cr)</v>
          </cell>
          <cell r="F13" t="str">
            <v>P-1</v>
          </cell>
          <cell r="G13" t="str">
            <v>STABLE</v>
          </cell>
          <cell r="H13" t="str">
            <v>A</v>
          </cell>
          <cell r="I13" t="str">
            <v>A-</v>
          </cell>
          <cell r="J13" t="str">
            <v>F1</v>
          </cell>
          <cell r="K13" t="str">
            <v>F2</v>
          </cell>
          <cell r="L13" t="str">
            <v>STABLE</v>
          </cell>
          <cell r="M13" t="str">
            <v>A(dcr)</v>
          </cell>
          <cell r="N13" t="str">
            <v>AH</v>
          </cell>
          <cell r="O13" t="str">
            <v>AH</v>
          </cell>
          <cell r="P13" t="str">
            <v>R-1M</v>
          </cell>
          <cell r="Q13" t="str">
            <v>STABLE</v>
          </cell>
          <cell r="R13" t="str">
            <v/>
          </cell>
          <cell r="S13" t="str">
            <v/>
          </cell>
        </row>
        <row r="14">
          <cell r="B14" t="str">
            <v>XS2639842348</v>
          </cell>
          <cell r="C14" t="str">
            <v/>
          </cell>
          <cell r="D14" t="str">
            <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t="str">
            <v/>
          </cell>
          <cell r="S14" t="str">
            <v>AAA (sf)/AAA (sf)/Aaa (sf)</v>
          </cell>
        </row>
        <row r="15">
          <cell r="B15" t="str">
            <v>XS2639842694</v>
          </cell>
          <cell r="C15" t="str">
            <v/>
          </cell>
          <cell r="D15" t="str">
            <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AA (sf)/AA (sf)/Aa1 (sf)</v>
          </cell>
        </row>
        <row r="16">
          <cell r="B16" t="str">
            <v>XS2639843072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A (high) (sf)/A (sf)/Aa3 (sf)</v>
          </cell>
        </row>
        <row r="17">
          <cell r="B17" t="str">
            <v>XS2639843403</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A (low) (sf)/BBB (sf)/Baa1 (sf)</v>
          </cell>
        </row>
        <row r="18">
          <cell r="B18" t="str">
            <v>XS2639843742</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BBB (low) (sf)/BB (sf)/Ba1 (sf)</v>
          </cell>
        </row>
        <row r="19">
          <cell r="B19" t="str">
            <v>XS2639844047</v>
          </cell>
          <cell r="C19" t="str">
            <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BB (high) (sf)/BB (sf)/Ba3 (sf)</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50" zoomScaleNormal="55" zoomScaleSheetLayoutView="50" workbookViewId="0">
      <selection activeCell="B3" sqref="B3"/>
    </sheetView>
  </sheetViews>
  <sheetFormatPr baseColWidth="10" defaultColWidth="11.453125" defaultRowHeight="12.5"/>
  <cols>
    <col min="1" max="16384" width="11.453125" style="101"/>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37" customWidth="1"/>
    <col min="2" max="2" width="50.81640625" style="237" customWidth="1"/>
    <col min="3" max="3" width="17.54296875" style="237" customWidth="1"/>
    <col min="4" max="4" width="22.1796875" style="237" bestFit="1" customWidth="1"/>
    <col min="5" max="5" width="4.81640625" style="237" customWidth="1"/>
    <col min="6" max="6" width="18.81640625" style="237" customWidth="1"/>
    <col min="7" max="7" width="4.81640625" style="237" customWidth="1"/>
    <col min="8" max="8" width="18.81640625" style="237" customWidth="1"/>
    <col min="9" max="9" width="4.81640625" style="237" customWidth="1"/>
    <col min="10" max="10" width="21" style="237" bestFit="1" customWidth="1"/>
    <col min="11" max="11" width="4.81640625" style="237" customWidth="1"/>
    <col min="12" max="12" width="18.81640625" style="237" customWidth="1"/>
    <col min="13" max="13" width="4.81640625" style="237" customWidth="1"/>
    <col min="14" max="14" width="18.81640625" style="237" customWidth="1"/>
    <col min="15" max="15" width="4.81640625" style="237" customWidth="1"/>
    <col min="16" max="16" width="18.81640625" style="237" customWidth="1"/>
    <col min="17" max="17" width="4.81640625" style="237" customWidth="1"/>
    <col min="18" max="18" width="10.81640625" style="237" customWidth="1"/>
    <col min="19" max="19" width="1.1796875" style="237" customWidth="1"/>
    <col min="20" max="20" width="38.54296875" style="703" customWidth="1"/>
    <col min="21" max="21" width="15.81640625" style="704" customWidth="1"/>
    <col min="22" max="22" width="17.81640625" style="237" customWidth="1"/>
    <col min="23" max="16384" width="9.1796875" style="237"/>
  </cols>
  <sheetData>
    <row r="1" spans="1:21" ht="6" customHeight="1">
      <c r="A1" s="234"/>
      <c r="B1" s="235"/>
      <c r="C1" s="235"/>
      <c r="D1" s="235"/>
      <c r="E1" s="235"/>
      <c r="F1" s="235"/>
      <c r="G1" s="235"/>
      <c r="H1" s="235"/>
      <c r="I1" s="235"/>
      <c r="J1" s="235"/>
      <c r="K1" s="235"/>
      <c r="L1" s="235"/>
      <c r="M1" s="235"/>
      <c r="N1" s="235"/>
      <c r="O1" s="235"/>
      <c r="P1" s="235"/>
      <c r="Q1" s="235"/>
      <c r="R1" s="235"/>
      <c r="S1" s="236"/>
    </row>
    <row r="2" spans="1:21" ht="18">
      <c r="A2" s="283"/>
      <c r="B2" s="239" t="str">
        <f>'Cover Sheet'!B2</f>
        <v>SC Germany Consumer 2021-1</v>
      </c>
      <c r="C2" s="25"/>
      <c r="D2" s="240" t="str">
        <f>'Cover Sheet'!D2</f>
        <v>Calculation Date</v>
      </c>
      <c r="E2" s="241"/>
      <c r="F2" s="242">
        <f>'Cover Sheet'!F2</f>
        <v>45820</v>
      </c>
      <c r="G2" s="241"/>
      <c r="H2" s="241"/>
      <c r="I2" s="241"/>
      <c r="J2" s="241"/>
      <c r="K2" s="241"/>
      <c r="L2" s="241"/>
      <c r="M2" s="241"/>
      <c r="N2" s="241"/>
      <c r="O2" s="241"/>
      <c r="P2" s="241"/>
      <c r="Q2" s="241"/>
      <c r="R2" s="243"/>
      <c r="S2" s="313"/>
      <c r="T2" s="705"/>
    </row>
    <row r="3" spans="1:21" ht="18">
      <c r="A3" s="283"/>
      <c r="B3" s="239" t="str">
        <f>'Cover Sheet'!B3</f>
        <v>Monthly Investor Report</v>
      </c>
      <c r="C3" s="25"/>
      <c r="D3" s="247" t="str">
        <f>'Cover Sheet'!D3</f>
        <v>Payment Date</v>
      </c>
      <c r="E3" s="248"/>
      <c r="F3" s="249">
        <f>'Cover Sheet'!F3</f>
        <v>45824</v>
      </c>
      <c r="G3" s="248"/>
      <c r="H3" s="248"/>
      <c r="I3" s="248"/>
      <c r="J3" s="248"/>
      <c r="K3" s="248"/>
      <c r="L3" s="248"/>
      <c r="M3" s="248"/>
      <c r="N3" s="248"/>
      <c r="O3" s="248"/>
      <c r="P3" s="248"/>
      <c r="Q3" s="248"/>
      <c r="R3" s="250"/>
      <c r="S3" s="313"/>
      <c r="T3" s="705"/>
    </row>
    <row r="4" spans="1:21">
      <c r="A4" s="283"/>
      <c r="B4" s="252"/>
      <c r="C4" s="25"/>
      <c r="D4" s="247" t="str">
        <f>'Cover Sheet'!D4</f>
        <v>Period  No</v>
      </c>
      <c r="E4" s="248"/>
      <c r="F4" s="253">
        <f>'Cover Sheet'!F4</f>
        <v>43</v>
      </c>
      <c r="G4" s="248"/>
      <c r="H4" s="248"/>
      <c r="I4" s="248"/>
      <c r="J4" s="248"/>
      <c r="K4" s="248"/>
      <c r="L4" s="254"/>
      <c r="M4" s="254"/>
      <c r="N4" s="254"/>
      <c r="O4" s="248"/>
      <c r="P4" s="248"/>
      <c r="Q4" s="248"/>
      <c r="R4" s="255"/>
      <c r="S4" s="313"/>
      <c r="T4" s="705"/>
    </row>
    <row r="5" spans="1:21" ht="18">
      <c r="A5" s="283"/>
      <c r="B5" s="256" t="s">
        <v>148</v>
      </c>
      <c r="C5" s="25"/>
      <c r="D5" s="247" t="str">
        <f>'Cover Sheet'!D5</f>
        <v>Monthly Period</v>
      </c>
      <c r="E5" s="248"/>
      <c r="F5" s="120">
        <f>'Cover Sheet'!F5</f>
        <v>45824</v>
      </c>
      <c r="G5" s="248"/>
      <c r="H5" s="248"/>
      <c r="I5" s="248"/>
      <c r="J5" s="248"/>
      <c r="K5" s="248"/>
      <c r="L5" s="254"/>
      <c r="M5" s="254"/>
      <c r="N5" s="254"/>
      <c r="O5" s="248"/>
      <c r="P5" s="248"/>
      <c r="Q5" s="248"/>
      <c r="R5" s="255"/>
      <c r="S5" s="313"/>
      <c r="T5" s="705"/>
    </row>
    <row r="6" spans="1:21" s="246" customFormat="1" ht="15" customHeight="1">
      <c r="A6" s="238"/>
      <c r="B6" s="257"/>
      <c r="C6" s="329"/>
      <c r="D6" s="247" t="str">
        <f>'Cover Sheet'!D6</f>
        <v>Interest Period</v>
      </c>
      <c r="E6" s="259" t="s">
        <v>34</v>
      </c>
      <c r="F6" s="249">
        <f>'Cover Sheet'!F6</f>
        <v>45791</v>
      </c>
      <c r="G6" s="259" t="str">
        <f>'Cover Sheet'!G6</f>
        <v>to</v>
      </c>
      <c r="H6" s="249">
        <f>'Cover Sheet'!H6</f>
        <v>45824</v>
      </c>
      <c r="I6" s="259" t="str">
        <f>'Cover Sheet'!I6</f>
        <v>=</v>
      </c>
      <c r="J6" s="706" t="str">
        <f>'Cover Sheet'!J6</f>
        <v>33 days</v>
      </c>
      <c r="K6" s="259"/>
      <c r="L6" s="249"/>
      <c r="M6" s="249"/>
      <c r="N6" s="249"/>
      <c r="O6" s="259"/>
      <c r="P6" s="259"/>
      <c r="Q6" s="259"/>
      <c r="R6" s="371"/>
      <c r="S6" s="326"/>
      <c r="T6" s="707"/>
      <c r="U6" s="330"/>
    </row>
    <row r="7" spans="1:21">
      <c r="A7" s="283"/>
      <c r="B7" s="25"/>
      <c r="C7" s="25"/>
      <c r="D7" s="708" t="str">
        <f>'Cover Sheet'!D7</f>
        <v>Collection Period</v>
      </c>
      <c r="E7" s="709" t="s">
        <v>34</v>
      </c>
      <c r="F7" s="263" t="str">
        <f>'Cover Sheet'!F7</f>
        <v>01.05.2025</v>
      </c>
      <c r="G7" s="709" t="str">
        <f>'Cover Sheet'!G7</f>
        <v>to</v>
      </c>
      <c r="H7" s="263">
        <f>'Cover Sheet'!H7</f>
        <v>45808</v>
      </c>
      <c r="I7" s="709"/>
      <c r="J7" s="709"/>
      <c r="K7" s="709"/>
      <c r="L7" s="263"/>
      <c r="M7" s="263"/>
      <c r="N7" s="263"/>
      <c r="O7" s="264"/>
      <c r="P7" s="264"/>
      <c r="Q7" s="264"/>
      <c r="R7" s="265"/>
      <c r="S7" s="313"/>
      <c r="T7" s="705"/>
    </row>
    <row r="8" spans="1:21" ht="13">
      <c r="A8" s="283"/>
      <c r="B8" s="25"/>
      <c r="C8" s="25"/>
      <c r="D8" s="710"/>
      <c r="E8" s="6"/>
      <c r="F8" s="710"/>
      <c r="G8" s="25"/>
      <c r="H8" s="25"/>
      <c r="I8" s="25"/>
      <c r="J8" s="25"/>
      <c r="K8" s="25"/>
      <c r="L8" s="711"/>
      <c r="M8" s="711"/>
      <c r="N8" s="711"/>
      <c r="O8" s="25"/>
      <c r="P8" s="25"/>
      <c r="Q8" s="25"/>
      <c r="R8" s="25"/>
      <c r="S8" s="313"/>
    </row>
    <row r="9" spans="1:21" ht="13">
      <c r="A9" s="283"/>
      <c r="B9" s="712"/>
      <c r="C9" s="25"/>
      <c r="D9" s="710"/>
      <c r="E9" s="6"/>
      <c r="F9" s="710"/>
      <c r="G9" s="25"/>
      <c r="H9" s="25"/>
      <c r="I9" s="25"/>
      <c r="J9" s="25"/>
      <c r="K9" s="25"/>
      <c r="L9" s="711"/>
      <c r="M9" s="711"/>
      <c r="N9" s="711"/>
      <c r="O9" s="25"/>
      <c r="P9" s="25"/>
      <c r="Q9" s="25"/>
      <c r="R9" s="25"/>
      <c r="S9" s="313"/>
    </row>
    <row r="10" spans="1:21">
      <c r="A10" s="283"/>
      <c r="B10" s="25"/>
      <c r="C10" s="25"/>
      <c r="D10" s="25"/>
      <c r="E10" s="25"/>
      <c r="F10" s="25"/>
      <c r="G10" s="25"/>
      <c r="H10" s="25"/>
      <c r="I10" s="25"/>
      <c r="J10" s="25"/>
      <c r="K10" s="25"/>
      <c r="L10" s="713"/>
      <c r="M10" s="713"/>
      <c r="N10" s="713"/>
      <c r="O10" s="25"/>
      <c r="P10" s="25"/>
      <c r="Q10" s="25"/>
      <c r="R10" s="25"/>
      <c r="S10" s="313"/>
    </row>
    <row r="11" spans="1:21" ht="18" customHeight="1">
      <c r="A11" s="283"/>
      <c r="B11" s="25"/>
      <c r="C11" s="25"/>
      <c r="D11" s="25"/>
      <c r="E11" s="25"/>
      <c r="F11" s="25"/>
      <c r="G11" s="25"/>
      <c r="H11" s="25"/>
      <c r="I11" s="25"/>
      <c r="J11" s="25"/>
      <c r="K11" s="25"/>
      <c r="L11" s="25"/>
      <c r="M11" s="25"/>
      <c r="N11" s="25"/>
      <c r="O11" s="25"/>
      <c r="P11" s="25"/>
      <c r="Q11" s="25"/>
      <c r="R11" s="25"/>
      <c r="S11" s="313"/>
    </row>
    <row r="12" spans="1:21">
      <c r="A12" s="283"/>
      <c r="B12" s="25"/>
      <c r="C12" s="25"/>
      <c r="D12" s="25"/>
      <c r="E12" s="25"/>
      <c r="F12" s="25"/>
      <c r="G12" s="25"/>
      <c r="H12" s="25"/>
      <c r="I12" s="25"/>
      <c r="J12" s="25"/>
      <c r="K12" s="25"/>
      <c r="L12" s="25"/>
      <c r="M12" s="25"/>
      <c r="N12" s="25"/>
      <c r="O12" s="25"/>
      <c r="P12" s="25"/>
      <c r="Q12" s="25"/>
      <c r="R12" s="25"/>
      <c r="S12" s="313"/>
    </row>
    <row r="13" spans="1:21" ht="18">
      <c r="A13" s="283"/>
      <c r="B13" s="274" t="s">
        <v>25</v>
      </c>
      <c r="C13" s="714" t="s">
        <v>7</v>
      </c>
      <c r="D13" s="714" t="s">
        <v>5</v>
      </c>
      <c r="E13" s="714"/>
      <c r="F13" s="714" t="s">
        <v>6</v>
      </c>
      <c r="G13" s="714"/>
      <c r="H13" s="714" t="s">
        <v>190</v>
      </c>
      <c r="I13" s="714"/>
      <c r="J13" s="714" t="s">
        <v>191</v>
      </c>
      <c r="K13" s="714"/>
      <c r="L13" s="714" t="s">
        <v>192</v>
      </c>
      <c r="M13" s="714"/>
      <c r="N13" s="714" t="s">
        <v>240</v>
      </c>
      <c r="O13" s="714"/>
      <c r="P13" s="714" t="s">
        <v>251</v>
      </c>
      <c r="Q13" s="714"/>
      <c r="R13" s="714"/>
      <c r="S13" s="313"/>
      <c r="T13" s="715"/>
    </row>
    <row r="14" spans="1:21" ht="12.75" customHeight="1">
      <c r="A14" s="283"/>
      <c r="B14" s="716" t="s">
        <v>16</v>
      </c>
      <c r="C14" s="717"/>
      <c r="D14" s="717"/>
      <c r="E14" s="717"/>
      <c r="F14" s="717"/>
      <c r="G14" s="717"/>
      <c r="H14" s="717"/>
      <c r="I14" s="717"/>
      <c r="J14" s="717"/>
      <c r="K14" s="717"/>
      <c r="L14" s="717"/>
      <c r="M14" s="717"/>
      <c r="N14" s="717"/>
      <c r="O14" s="717"/>
      <c r="P14" s="717"/>
      <c r="Q14" s="717"/>
      <c r="R14" s="718"/>
      <c r="S14" s="313"/>
      <c r="T14" s="715"/>
    </row>
    <row r="15" spans="1:21" ht="14.25" customHeight="1">
      <c r="A15" s="283"/>
      <c r="B15" s="283" t="s">
        <v>17</v>
      </c>
      <c r="C15" s="719"/>
      <c r="D15" s="81" t="s">
        <v>460</v>
      </c>
      <c r="E15" s="704"/>
      <c r="F15" s="81" t="s">
        <v>461</v>
      </c>
      <c r="G15" s="720"/>
      <c r="H15" s="81" t="s">
        <v>462</v>
      </c>
      <c r="I15" s="720"/>
      <c r="J15" s="81" t="s">
        <v>463</v>
      </c>
      <c r="K15" s="720"/>
      <c r="L15" s="81" t="s">
        <v>464</v>
      </c>
      <c r="M15" s="721"/>
      <c r="N15" s="81" t="s">
        <v>465</v>
      </c>
      <c r="O15" s="720"/>
      <c r="P15" s="81" t="s">
        <v>466</v>
      </c>
      <c r="Q15" s="719"/>
      <c r="R15" s="722"/>
      <c r="S15" s="313"/>
      <c r="T15" s="715"/>
    </row>
    <row r="16" spans="1:21" ht="14.25" customHeight="1">
      <c r="A16" s="283"/>
      <c r="B16" s="283" t="s">
        <v>56</v>
      </c>
      <c r="C16" s="719"/>
      <c r="D16" s="720" t="s">
        <v>54</v>
      </c>
      <c r="E16" s="720"/>
      <c r="F16" s="720" t="s">
        <v>54</v>
      </c>
      <c r="G16" s="723"/>
      <c r="H16" s="720" t="s">
        <v>54</v>
      </c>
      <c r="I16" s="723"/>
      <c r="J16" s="720" t="s">
        <v>54</v>
      </c>
      <c r="K16" s="723"/>
      <c r="L16" s="720" t="s">
        <v>54</v>
      </c>
      <c r="M16" s="720"/>
      <c r="N16" s="720" t="s">
        <v>54</v>
      </c>
      <c r="O16" s="723"/>
      <c r="P16" s="720" t="s">
        <v>54</v>
      </c>
      <c r="Q16" s="719"/>
      <c r="R16" s="722"/>
      <c r="S16" s="313"/>
      <c r="T16" s="715"/>
    </row>
    <row r="17" spans="1:21" ht="13">
      <c r="A17" s="283"/>
      <c r="B17" s="283" t="s">
        <v>18</v>
      </c>
      <c r="C17" s="713" t="s">
        <v>8</v>
      </c>
      <c r="D17" s="724">
        <f>D22/$C$22</f>
        <v>0.79500000000000004</v>
      </c>
      <c r="E17" s="724"/>
      <c r="F17" s="724">
        <f>F22/$C$22</f>
        <v>0.04</v>
      </c>
      <c r="G17" s="724"/>
      <c r="H17" s="724">
        <f>H22/$C$22</f>
        <v>6.5000000000000002E-2</v>
      </c>
      <c r="I17" s="724"/>
      <c r="J17" s="724">
        <f>J22/$C$22</f>
        <v>0.05</v>
      </c>
      <c r="K17" s="724"/>
      <c r="L17" s="724">
        <f>L22/$C$22</f>
        <v>2.5000000000000001E-2</v>
      </c>
      <c r="M17" s="724"/>
      <c r="N17" s="724">
        <f>N22/$C$22</f>
        <v>2.1999999999999999E-2</v>
      </c>
      <c r="O17" s="724"/>
      <c r="P17" s="724">
        <f>P22/$C$22</f>
        <v>3.0000000000000001E-3</v>
      </c>
      <c r="Q17" s="725"/>
      <c r="R17" s="726"/>
      <c r="S17" s="313"/>
      <c r="T17" s="727"/>
    </row>
    <row r="18" spans="1:21" ht="13">
      <c r="A18" s="283"/>
      <c r="B18" s="283" t="s">
        <v>149</v>
      </c>
      <c r="C18" s="713"/>
      <c r="D18" s="721">
        <v>49627</v>
      </c>
      <c r="E18" s="704"/>
      <c r="F18" s="721">
        <v>49627</v>
      </c>
      <c r="G18" s="720"/>
      <c r="H18" s="721">
        <v>49627</v>
      </c>
      <c r="I18" s="720"/>
      <c r="J18" s="721">
        <v>49627</v>
      </c>
      <c r="K18" s="720"/>
      <c r="L18" s="721">
        <v>49627</v>
      </c>
      <c r="M18" s="721"/>
      <c r="N18" s="721">
        <v>49627</v>
      </c>
      <c r="O18" s="720"/>
      <c r="P18" s="721">
        <v>49627</v>
      </c>
      <c r="Q18" s="725"/>
      <c r="R18" s="726"/>
      <c r="S18" s="313"/>
      <c r="T18" s="727"/>
    </row>
    <row r="19" spans="1:21" ht="13">
      <c r="A19" s="283"/>
      <c r="B19" s="283" t="s">
        <v>178</v>
      </c>
      <c r="C19" s="713"/>
      <c r="D19" s="721">
        <v>46342</v>
      </c>
      <c r="E19" s="704"/>
      <c r="F19" s="721">
        <v>46342</v>
      </c>
      <c r="G19" s="720"/>
      <c r="H19" s="721">
        <v>46342</v>
      </c>
      <c r="I19" s="720"/>
      <c r="J19" s="721">
        <v>46342</v>
      </c>
      <c r="K19" s="720"/>
      <c r="L19" s="721">
        <v>46342</v>
      </c>
      <c r="M19" s="721"/>
      <c r="N19" s="721">
        <v>45274</v>
      </c>
      <c r="O19" s="720"/>
      <c r="P19" s="721">
        <v>46342</v>
      </c>
      <c r="Q19" s="725"/>
      <c r="R19" s="726"/>
      <c r="S19" s="313"/>
      <c r="T19" s="727"/>
    </row>
    <row r="20" spans="1:21" ht="13">
      <c r="A20" s="283"/>
      <c r="B20" s="283" t="s">
        <v>255</v>
      </c>
      <c r="C20" s="713"/>
      <c r="D20" s="720" t="s">
        <v>432</v>
      </c>
      <c r="E20" s="720"/>
      <c r="F20" s="720" t="s">
        <v>433</v>
      </c>
      <c r="G20" s="720"/>
      <c r="H20" s="720" t="s">
        <v>502</v>
      </c>
      <c r="I20" s="720"/>
      <c r="J20" s="720" t="s">
        <v>467</v>
      </c>
      <c r="K20" s="720"/>
      <c r="L20" s="720" t="s">
        <v>468</v>
      </c>
      <c r="M20" s="720"/>
      <c r="N20" s="720" t="s">
        <v>469</v>
      </c>
      <c r="O20" s="720"/>
      <c r="P20" s="720" t="s">
        <v>434</v>
      </c>
      <c r="Q20" s="725"/>
      <c r="R20" s="726"/>
      <c r="S20" s="313"/>
      <c r="T20" s="727"/>
    </row>
    <row r="21" spans="1:21" ht="13">
      <c r="A21" s="283"/>
      <c r="B21" s="283" t="s">
        <v>256</v>
      </c>
      <c r="C21" s="929" t="s">
        <v>445</v>
      </c>
      <c r="D21" s="987" t="str">
        <f>VLOOKUP(D15,rating_21,18,0)</f>
        <v>AAA (sf)/Aaa (sf)</v>
      </c>
      <c r="E21" s="720"/>
      <c r="F21" s="987" t="str">
        <f>VLOOKUP(F15,rating_21,18,0)</f>
        <v>AAA (sf)/Aaa (sf)</v>
      </c>
      <c r="G21" s="987"/>
      <c r="H21" s="987" t="str">
        <f>VLOOKUP(H15,rating_21,18,0)</f>
        <v>AA+ (sf)/Aa1 (sf)</v>
      </c>
      <c r="I21" s="987"/>
      <c r="J21" s="987" t="str">
        <f>VLOOKUP(J15,rating_21,18,0)</f>
        <v>A- (sf)/A2 (sf)</v>
      </c>
      <c r="K21" s="987"/>
      <c r="L21" s="987" t="str">
        <f>VLOOKUP(L15,rating_21,18,0)</f>
        <v>BBB- (sf)/Ba1 (sf)</v>
      </c>
      <c r="M21" s="987"/>
      <c r="N21" s="987" t="str">
        <f>VLOOKUP(N15,rating_21,18,0)</f>
        <v>PIF (sf)/WR (sf)</v>
      </c>
      <c r="O21" s="987"/>
      <c r="P21" s="987" t="s">
        <v>434</v>
      </c>
      <c r="Q21" s="725"/>
      <c r="R21" s="726"/>
      <c r="S21" s="313"/>
      <c r="T21" s="728"/>
    </row>
    <row r="22" spans="1:21">
      <c r="A22" s="283"/>
      <c r="B22" s="283" t="s">
        <v>45</v>
      </c>
      <c r="C22" s="729">
        <f>SUM(D22:P22)</f>
        <v>1500000000</v>
      </c>
      <c r="D22" s="730">
        <v>1192500000</v>
      </c>
      <c r="E22" s="720"/>
      <c r="F22" s="730">
        <v>60000000</v>
      </c>
      <c r="G22" s="720"/>
      <c r="H22" s="730">
        <v>97500000</v>
      </c>
      <c r="I22" s="720"/>
      <c r="J22" s="730">
        <v>75000000</v>
      </c>
      <c r="K22" s="720"/>
      <c r="L22" s="730">
        <v>37500000</v>
      </c>
      <c r="M22" s="720"/>
      <c r="N22" s="730">
        <v>33000000</v>
      </c>
      <c r="O22" s="720"/>
      <c r="P22" s="730">
        <v>4500000</v>
      </c>
      <c r="Q22" s="731"/>
      <c r="R22" s="732"/>
      <c r="S22" s="313"/>
    </row>
    <row r="23" spans="1:21">
      <c r="A23" s="283"/>
      <c r="B23" s="283" t="s">
        <v>19</v>
      </c>
      <c r="C23" s="712"/>
      <c r="D23" s="730">
        <v>100000</v>
      </c>
      <c r="E23" s="6"/>
      <c r="F23" s="730">
        <f>D23</f>
        <v>100000</v>
      </c>
      <c r="G23" s="6"/>
      <c r="H23" s="730">
        <f>D23</f>
        <v>100000</v>
      </c>
      <c r="I23" s="6"/>
      <c r="J23" s="730">
        <f>D23</f>
        <v>100000</v>
      </c>
      <c r="K23" s="6"/>
      <c r="L23" s="730">
        <f>D23</f>
        <v>100000</v>
      </c>
      <c r="M23" s="730"/>
      <c r="N23" s="730">
        <f>D23</f>
        <v>100000</v>
      </c>
      <c r="O23" s="6"/>
      <c r="P23" s="730">
        <v>100000</v>
      </c>
      <c r="Q23" s="25"/>
      <c r="R23" s="733"/>
      <c r="S23" s="313"/>
      <c r="U23" s="734"/>
    </row>
    <row r="24" spans="1:21">
      <c r="A24" s="283"/>
      <c r="B24" s="347" t="s">
        <v>20</v>
      </c>
      <c r="C24" s="735"/>
      <c r="D24" s="736">
        <f>D22/D23</f>
        <v>11925</v>
      </c>
      <c r="E24" s="737"/>
      <c r="F24" s="736">
        <f>F22/F23</f>
        <v>600</v>
      </c>
      <c r="G24" s="736"/>
      <c r="H24" s="736">
        <f>H22/H23</f>
        <v>975</v>
      </c>
      <c r="I24" s="736"/>
      <c r="J24" s="736">
        <f>J22/J23</f>
        <v>750</v>
      </c>
      <c r="K24" s="736"/>
      <c r="L24" s="736">
        <f>L22/L23</f>
        <v>375</v>
      </c>
      <c r="M24" s="736"/>
      <c r="N24" s="736">
        <f>N22/N23</f>
        <v>330</v>
      </c>
      <c r="O24" s="736"/>
      <c r="P24" s="736">
        <f>P22/P23</f>
        <v>45</v>
      </c>
      <c r="Q24" s="40"/>
      <c r="R24" s="738"/>
      <c r="S24" s="313"/>
    </row>
    <row r="25" spans="1:21" ht="12.75" customHeight="1">
      <c r="A25" s="283"/>
      <c r="B25" s="234"/>
      <c r="C25" s="235"/>
      <c r="D25" s="739"/>
      <c r="E25" s="235"/>
      <c r="F25" s="739"/>
      <c r="G25" s="235"/>
      <c r="H25" s="235"/>
      <c r="I25" s="235"/>
      <c r="J25" s="235"/>
      <c r="K25" s="235"/>
      <c r="L25" s="739"/>
      <c r="M25" s="739"/>
      <c r="N25" s="739"/>
      <c r="O25" s="235"/>
      <c r="P25" s="235"/>
      <c r="Q25" s="235"/>
      <c r="R25" s="740"/>
      <c r="S25" s="313"/>
    </row>
    <row r="26" spans="1:21" ht="13">
      <c r="A26" s="283"/>
      <c r="B26" s="741" t="s">
        <v>21</v>
      </c>
      <c r="C26" s="25"/>
      <c r="D26" s="25"/>
      <c r="E26" s="25"/>
      <c r="F26" s="25"/>
      <c r="G26" s="25"/>
      <c r="H26" s="25"/>
      <c r="I26" s="25"/>
      <c r="J26" s="25"/>
      <c r="K26" s="25"/>
      <c r="L26" s="25"/>
      <c r="M26" s="25"/>
      <c r="N26" s="25"/>
      <c r="O26" s="25"/>
      <c r="P26" s="25"/>
      <c r="Q26" s="25"/>
      <c r="R26" s="313"/>
      <c r="S26" s="313"/>
    </row>
    <row r="27" spans="1:21">
      <c r="A27" s="283"/>
      <c r="B27" s="283" t="s">
        <v>46</v>
      </c>
      <c r="C27" s="742">
        <f>SUM(D27,F27,H27,J27,L27,N27,P27)</f>
        <v>500508513</v>
      </c>
      <c r="D27" s="742">
        <f>VLOOKUP("A_Notes_bop",calcdata_21,2,0)</f>
        <v>313054623</v>
      </c>
      <c r="E27" s="742"/>
      <c r="F27" s="742">
        <f>VLOOKUP("B_Notes_bop",calcdata_21,2,0)</f>
        <v>40656420</v>
      </c>
      <c r="G27" s="742"/>
      <c r="H27" s="742">
        <f>VLOOKUP("C_Notes_bop",calcdata_21,2,0)</f>
        <v>66066682.5</v>
      </c>
      <c r="I27" s="742"/>
      <c r="J27" s="742">
        <f>VLOOKUP("D_Notes_bop",calcdata_21,2,0)</f>
        <v>50820525</v>
      </c>
      <c r="K27" s="742"/>
      <c r="L27" s="742">
        <f>VLOOKUP("E_Notes_bop",calcdata_21,2,0)</f>
        <v>25410262.5</v>
      </c>
      <c r="M27" s="742"/>
      <c r="N27" s="742">
        <f>ROUND(VLOOKUP("F_Notes_bop",calcdata_21,2,0),2)</f>
        <v>0</v>
      </c>
      <c r="O27" s="712"/>
      <c r="P27" s="712">
        <f>VLOOKUP("G_Notes_bop",calcdata_21,2,0)</f>
        <v>4500000</v>
      </c>
      <c r="Q27" s="712"/>
      <c r="R27" s="733"/>
      <c r="S27" s="313"/>
    </row>
    <row r="28" spans="1:21">
      <c r="A28" s="283"/>
      <c r="B28" s="283"/>
      <c r="C28" s="742"/>
      <c r="D28" s="742"/>
      <c r="E28" s="742"/>
      <c r="F28" s="742"/>
      <c r="G28" s="742"/>
      <c r="H28" s="742"/>
      <c r="I28" s="742"/>
      <c r="J28" s="742"/>
      <c r="K28" s="742"/>
      <c r="L28" s="742"/>
      <c r="M28" s="742"/>
      <c r="N28" s="742"/>
      <c r="O28" s="712"/>
      <c r="P28" s="712"/>
      <c r="Q28" s="712"/>
      <c r="R28" s="733"/>
      <c r="S28" s="313"/>
    </row>
    <row r="29" spans="1:21">
      <c r="A29" s="283"/>
      <c r="B29" s="283" t="s">
        <v>150</v>
      </c>
      <c r="C29" s="742">
        <f>VLOOKUP("Replenishment",calcdata_21,2,0)</f>
        <v>0</v>
      </c>
      <c r="D29" s="742"/>
      <c r="E29" s="742"/>
      <c r="F29" s="742"/>
      <c r="G29" s="742"/>
      <c r="H29" s="742"/>
      <c r="I29" s="742"/>
      <c r="J29" s="742"/>
      <c r="K29" s="742"/>
      <c r="L29" s="742"/>
      <c r="M29" s="742"/>
      <c r="N29" s="742"/>
      <c r="O29" s="25"/>
      <c r="P29" s="25"/>
      <c r="Q29" s="25"/>
      <c r="R29" s="313"/>
      <c r="S29" s="313"/>
    </row>
    <row r="30" spans="1:21">
      <c r="A30" s="283"/>
      <c r="B30" s="283" t="s">
        <v>100</v>
      </c>
      <c r="C30" s="742">
        <f>VLOOKUP("Amortisation",calcdata_21,2,0)</f>
        <v>20105192.25</v>
      </c>
      <c r="D30" s="742"/>
      <c r="E30" s="742"/>
      <c r="F30" s="742"/>
      <c r="G30" s="742"/>
      <c r="H30" s="742"/>
      <c r="I30" s="742"/>
      <c r="J30" s="742"/>
      <c r="K30" s="742"/>
      <c r="L30" s="742"/>
      <c r="M30" s="742"/>
      <c r="N30" s="742"/>
      <c r="O30" s="25"/>
      <c r="P30" s="962"/>
      <c r="Q30" s="25"/>
      <c r="R30" s="313"/>
      <c r="S30" s="313"/>
    </row>
    <row r="31" spans="1:21">
      <c r="A31" s="283"/>
      <c r="B31" s="283" t="s">
        <v>23</v>
      </c>
      <c r="C31" s="742"/>
      <c r="D31" s="742">
        <f>VLOOKUP("A_Redemption",calcdata_21,2,0)</f>
        <v>20105192.25</v>
      </c>
      <c r="E31" s="742"/>
      <c r="F31" s="742">
        <f>VLOOKUP("B_Redemption",calcdata_21,2,0)</f>
        <v>0</v>
      </c>
      <c r="G31" s="742"/>
      <c r="H31" s="742">
        <f>VLOOKUP("C_Redemption",calcdata_21,2,0)</f>
        <v>0</v>
      </c>
      <c r="I31" s="742"/>
      <c r="J31" s="742">
        <f>VLOOKUP("D_Redemption",calcdata_21,2,0)</f>
        <v>0</v>
      </c>
      <c r="K31" s="742"/>
      <c r="L31" s="742">
        <f>VLOOKUP("E_Redemption",calcdata_21,2,0)</f>
        <v>0</v>
      </c>
      <c r="M31" s="742"/>
      <c r="N31" s="742">
        <f>VLOOKUP("f_Redemption",calcdata_21,2,0)</f>
        <v>0</v>
      </c>
      <c r="O31" s="712"/>
      <c r="P31" s="962">
        <f>VLOOKUP("g_Redemption",calcdata_21,2,0)</f>
        <v>0</v>
      </c>
      <c r="Q31" s="712"/>
      <c r="R31" s="733"/>
      <c r="S31" s="313"/>
    </row>
    <row r="32" spans="1:21">
      <c r="A32" s="283"/>
      <c r="B32" s="283" t="s">
        <v>22</v>
      </c>
      <c r="C32" s="742"/>
      <c r="D32" s="742">
        <f>IF(ISNUMBER(D31),D31/D24,"")</f>
        <v>1685.97</v>
      </c>
      <c r="E32" s="742"/>
      <c r="F32" s="742">
        <f>IF(ISNUMBER(F31),F31/F24,"")</f>
        <v>0</v>
      </c>
      <c r="G32" s="742"/>
      <c r="H32" s="742">
        <f>IF(ISNUMBER(H31),H31/H24,"")</f>
        <v>0</v>
      </c>
      <c r="I32" s="742"/>
      <c r="J32" s="742">
        <f>IF(ISNUMBER(J31),J31/J24,"")</f>
        <v>0</v>
      </c>
      <c r="K32" s="742"/>
      <c r="L32" s="742">
        <f>IF(ISNUMBER(L31),L31/L24,"")</f>
        <v>0</v>
      </c>
      <c r="M32" s="742"/>
      <c r="N32" s="742">
        <f>IF(ISNUMBER(N31),N31/N24,"")</f>
        <v>0</v>
      </c>
      <c r="O32" s="712"/>
      <c r="P32" s="962">
        <f>IF(ISNUMBER(P31),P31/P24,"")</f>
        <v>0</v>
      </c>
      <c r="Q32" s="712"/>
      <c r="R32" s="733"/>
      <c r="S32" s="313"/>
    </row>
    <row r="33" spans="1:21">
      <c r="A33" s="283"/>
      <c r="B33" s="283" t="s">
        <v>47</v>
      </c>
      <c r="C33" s="742">
        <f>SUM(D33,F33,H33,J33,L33,N33,P33)</f>
        <v>480403320.75</v>
      </c>
      <c r="D33" s="742">
        <f>D27-D31</f>
        <v>292949430.75</v>
      </c>
      <c r="E33" s="742"/>
      <c r="F33" s="742">
        <f>F27-F31</f>
        <v>40656420</v>
      </c>
      <c r="G33" s="742"/>
      <c r="H33" s="742">
        <f>H27-H31</f>
        <v>66066682.5</v>
      </c>
      <c r="I33" s="742"/>
      <c r="J33" s="742">
        <f>J27-J31</f>
        <v>50820525</v>
      </c>
      <c r="K33" s="742"/>
      <c r="L33" s="742">
        <f>L27-L31</f>
        <v>25410262.5</v>
      </c>
      <c r="M33" s="742"/>
      <c r="N33" s="962">
        <f>N27-N31</f>
        <v>0</v>
      </c>
      <c r="O33" s="25"/>
      <c r="P33" s="962">
        <f>P27-P31</f>
        <v>4500000</v>
      </c>
      <c r="Q33" s="25"/>
      <c r="R33" s="733"/>
      <c r="S33" s="313"/>
    </row>
    <row r="34" spans="1:21">
      <c r="A34" s="283"/>
      <c r="B34" s="283" t="s">
        <v>24</v>
      </c>
      <c r="C34" s="25"/>
      <c r="D34" s="743">
        <f>+D33/$C$33</f>
        <v>0.60979892955912707</v>
      </c>
      <c r="E34" s="25"/>
      <c r="F34" s="743">
        <f>+F33/$C$33</f>
        <v>8.4629764707970123E-2</v>
      </c>
      <c r="G34" s="25"/>
      <c r="H34" s="743">
        <f>+H33/$C$33</f>
        <v>0.13752336765045145</v>
      </c>
      <c r="I34" s="25"/>
      <c r="J34" s="743">
        <f>+J33/$C$33</f>
        <v>0.10578720588496265</v>
      </c>
      <c r="K34" s="25"/>
      <c r="L34" s="743">
        <f>+L33/$C$33</f>
        <v>5.2893602942481327E-2</v>
      </c>
      <c r="M34" s="743"/>
      <c r="N34" s="743">
        <f>+N33/$C$33</f>
        <v>0</v>
      </c>
      <c r="O34" s="25"/>
      <c r="P34" s="743">
        <f>+P33/$C$33</f>
        <v>9.36712925500734E-3</v>
      </c>
      <c r="Q34" s="25"/>
      <c r="R34" s="744"/>
      <c r="S34" s="313"/>
    </row>
    <row r="35" spans="1:21">
      <c r="A35" s="283"/>
      <c r="B35" s="347" t="s">
        <v>27</v>
      </c>
      <c r="C35" s="745">
        <f>C33/C22</f>
        <v>0.32026888050000002</v>
      </c>
      <c r="D35" s="745">
        <f>D33/D22</f>
        <v>0.24565989999999999</v>
      </c>
      <c r="E35" s="40"/>
      <c r="F35" s="745">
        <f>F33/F22</f>
        <v>0.67760699999999996</v>
      </c>
      <c r="G35" s="40"/>
      <c r="H35" s="745">
        <f>H33/H22</f>
        <v>0.67760699999999996</v>
      </c>
      <c r="I35" s="40"/>
      <c r="J35" s="745">
        <f>J33/J22</f>
        <v>0.67760699999999996</v>
      </c>
      <c r="K35" s="40"/>
      <c r="L35" s="745">
        <f>L33/L22</f>
        <v>0.67760699999999996</v>
      </c>
      <c r="M35" s="745"/>
      <c r="N35" s="745">
        <f>N33/N22</f>
        <v>0</v>
      </c>
      <c r="O35" s="40"/>
      <c r="P35" s="745">
        <f>P33/P22</f>
        <v>1</v>
      </c>
      <c r="Q35" s="40"/>
      <c r="R35" s="746"/>
      <c r="S35" s="313"/>
    </row>
    <row r="36" spans="1:21">
      <c r="A36" s="283"/>
      <c r="B36" s="25"/>
      <c r="C36" s="25"/>
      <c r="D36" s="25"/>
      <c r="E36" s="25"/>
      <c r="F36" s="25"/>
      <c r="G36" s="25"/>
      <c r="H36" s="25"/>
      <c r="I36" s="25"/>
      <c r="J36" s="25"/>
      <c r="K36" s="25"/>
      <c r="L36" s="25"/>
      <c r="M36" s="25"/>
      <c r="N36" s="25"/>
      <c r="O36" s="25"/>
      <c r="P36" s="25"/>
      <c r="Q36" s="25"/>
      <c r="R36" s="25"/>
      <c r="S36" s="313"/>
    </row>
    <row r="37" spans="1:21" ht="18">
      <c r="A37" s="283"/>
      <c r="B37" s="274" t="s">
        <v>26</v>
      </c>
      <c r="C37" s="714" t="s">
        <v>7</v>
      </c>
      <c r="D37" s="714" t="s">
        <v>5</v>
      </c>
      <c r="E37" s="714"/>
      <c r="F37" s="714" t="s">
        <v>6</v>
      </c>
      <c r="G37" s="714"/>
      <c r="H37" s="714" t="s">
        <v>190</v>
      </c>
      <c r="I37" s="714"/>
      <c r="J37" s="714" t="s">
        <v>191</v>
      </c>
      <c r="K37" s="714"/>
      <c r="L37" s="714" t="s">
        <v>192</v>
      </c>
      <c r="M37" s="714"/>
      <c r="N37" s="714" t="s">
        <v>240</v>
      </c>
      <c r="O37" s="714"/>
      <c r="P37" s="714" t="s">
        <v>251</v>
      </c>
      <c r="Q37" s="714"/>
      <c r="R37" s="714"/>
      <c r="S37" s="313"/>
    </row>
    <row r="38" spans="1:21">
      <c r="A38" s="283"/>
      <c r="B38" s="234" t="s">
        <v>193</v>
      </c>
      <c r="C38" s="747">
        <f>VLOOKUP("1M_Euribor",calcdata_21,2,0)</f>
        <v>2.1229999999999999E-2</v>
      </c>
      <c r="D38" s="748" t="s">
        <v>527</v>
      </c>
      <c r="E38" s="749"/>
      <c r="F38" s="750" t="s">
        <v>522</v>
      </c>
      <c r="G38" s="750"/>
      <c r="H38" s="750" t="s">
        <v>523</v>
      </c>
      <c r="I38" s="750"/>
      <c r="J38" s="750" t="s">
        <v>524</v>
      </c>
      <c r="K38" s="750"/>
      <c r="L38" s="750" t="s">
        <v>525</v>
      </c>
      <c r="M38" s="750"/>
      <c r="N38" s="750" t="s">
        <v>526</v>
      </c>
      <c r="O38" s="750"/>
      <c r="P38" s="751">
        <v>5.8500000000000003E-2</v>
      </c>
      <c r="Q38" s="235"/>
      <c r="R38" s="752"/>
      <c r="S38" s="313"/>
    </row>
    <row r="39" spans="1:21">
      <c r="A39" s="283"/>
      <c r="B39" s="283" t="s">
        <v>57</v>
      </c>
      <c r="C39" s="753"/>
      <c r="D39" s="754" t="s">
        <v>55</v>
      </c>
      <c r="E39" s="6"/>
      <c r="F39" s="754" t="s">
        <v>55</v>
      </c>
      <c r="G39" s="6"/>
      <c r="H39" s="754" t="s">
        <v>55</v>
      </c>
      <c r="I39" s="6"/>
      <c r="J39" s="754" t="s">
        <v>55</v>
      </c>
      <c r="K39" s="6"/>
      <c r="L39" s="754" t="s">
        <v>55</v>
      </c>
      <c r="M39" s="754"/>
      <c r="N39" s="754" t="s">
        <v>55</v>
      </c>
      <c r="O39" s="6"/>
      <c r="P39" s="754" t="s">
        <v>55</v>
      </c>
      <c r="Q39" s="25"/>
      <c r="R39" s="755"/>
      <c r="S39" s="313"/>
    </row>
    <row r="40" spans="1:21">
      <c r="A40" s="283"/>
      <c r="B40" s="283" t="s">
        <v>98</v>
      </c>
      <c r="C40" s="753">
        <f>VLOOKUP("Interest_Days",calcdata_21,2,0)</f>
        <v>31</v>
      </c>
      <c r="D40" s="756"/>
      <c r="E40" s="25"/>
      <c r="F40" s="756"/>
      <c r="G40" s="25"/>
      <c r="H40" s="25"/>
      <c r="I40" s="25"/>
      <c r="J40" s="25"/>
      <c r="K40" s="25"/>
      <c r="L40" s="757"/>
      <c r="M40" s="757"/>
      <c r="N40" s="757"/>
      <c r="O40" s="25"/>
      <c r="P40" s="757"/>
      <c r="Q40" s="25"/>
      <c r="R40" s="755"/>
      <c r="S40" s="313"/>
    </row>
    <row r="41" spans="1:21">
      <c r="A41" s="283"/>
      <c r="B41" s="283" t="s">
        <v>28</v>
      </c>
      <c r="C41" s="712"/>
      <c r="D41" s="742">
        <f>D27/D24</f>
        <v>26251.96</v>
      </c>
      <c r="E41" s="742"/>
      <c r="F41" s="742">
        <f>F27/F24</f>
        <v>67760.7</v>
      </c>
      <c r="G41" s="742"/>
      <c r="H41" s="742">
        <f>H27/H24</f>
        <v>67760.7</v>
      </c>
      <c r="I41" s="742"/>
      <c r="J41" s="742">
        <f>J27/J24</f>
        <v>67760.7</v>
      </c>
      <c r="K41" s="742"/>
      <c r="L41" s="742">
        <f>L27/L24</f>
        <v>67760.7</v>
      </c>
      <c r="M41" s="742"/>
      <c r="N41" s="742">
        <f>N27/N24</f>
        <v>0</v>
      </c>
      <c r="O41" s="25"/>
      <c r="P41" s="742">
        <f>P27/P24</f>
        <v>100000</v>
      </c>
      <c r="Q41" s="25"/>
      <c r="R41" s="733"/>
      <c r="S41" s="313"/>
    </row>
    <row r="42" spans="1:21" s="978" customFormat="1">
      <c r="A42" s="283"/>
      <c r="B42" s="283" t="s">
        <v>516</v>
      </c>
      <c r="C42" s="712"/>
      <c r="D42" s="742"/>
      <c r="E42" s="742"/>
      <c r="F42" s="742"/>
      <c r="G42" s="742"/>
      <c r="H42" s="742"/>
      <c r="I42" s="742"/>
      <c r="J42" s="742"/>
      <c r="K42" s="742"/>
      <c r="L42" s="742"/>
      <c r="M42" s="742"/>
      <c r="N42" s="742">
        <f>VLOOKUP("F_accrued_target_amortisation",calcdata_21,2,0)/N24</f>
        <v>0</v>
      </c>
      <c r="O42" s="25"/>
      <c r="P42" s="742"/>
      <c r="Q42" s="25"/>
      <c r="R42" s="733"/>
      <c r="S42" s="313"/>
      <c r="T42" s="976"/>
      <c r="U42" s="977"/>
    </row>
    <row r="43" spans="1:21" ht="13">
      <c r="A43" s="283"/>
      <c r="B43" s="283" t="s">
        <v>30</v>
      </c>
      <c r="C43" s="758"/>
      <c r="D43" s="759">
        <f>+D32</f>
        <v>1685.97</v>
      </c>
      <c r="E43" s="759"/>
      <c r="F43" s="759">
        <f>+F32</f>
        <v>0</v>
      </c>
      <c r="G43" s="759"/>
      <c r="H43" s="759">
        <f>+H32</f>
        <v>0</v>
      </c>
      <c r="I43" s="759"/>
      <c r="J43" s="759">
        <f>+J32</f>
        <v>0</v>
      </c>
      <c r="K43" s="759"/>
      <c r="L43" s="759">
        <f>+L32</f>
        <v>0</v>
      </c>
      <c r="M43" s="759"/>
      <c r="N43" s="759">
        <f>+N32</f>
        <v>0</v>
      </c>
      <c r="O43" s="24"/>
      <c r="P43" s="759">
        <f>+P32</f>
        <v>0</v>
      </c>
      <c r="Q43" s="24"/>
      <c r="R43" s="760"/>
      <c r="S43" s="313"/>
    </row>
    <row r="44" spans="1:21">
      <c r="A44" s="283"/>
      <c r="B44" s="283" t="s">
        <v>29</v>
      </c>
      <c r="C44" s="758"/>
      <c r="D44" s="742">
        <f>D41-D43</f>
        <v>24565.989999999998</v>
      </c>
      <c r="E44" s="742"/>
      <c r="F44" s="742">
        <f>F41-F43</f>
        <v>67760.7</v>
      </c>
      <c r="G44" s="742"/>
      <c r="H44" s="742">
        <f>H41-H43</f>
        <v>67760.7</v>
      </c>
      <c r="I44" s="742"/>
      <c r="J44" s="742">
        <f>J41-J43</f>
        <v>67760.7</v>
      </c>
      <c r="K44" s="742"/>
      <c r="L44" s="742">
        <f>L41-L43</f>
        <v>67760.7</v>
      </c>
      <c r="M44" s="742"/>
      <c r="N44" s="742">
        <f>N41-N43</f>
        <v>0</v>
      </c>
      <c r="O44" s="25"/>
      <c r="P44" s="742">
        <f>P41-P43</f>
        <v>100000</v>
      </c>
      <c r="Q44" s="25"/>
      <c r="R44" s="733"/>
      <c r="S44" s="313"/>
    </row>
    <row r="45" spans="1:21" ht="13">
      <c r="A45" s="283"/>
      <c r="B45" s="283" t="s">
        <v>88</v>
      </c>
      <c r="C45" s="761"/>
      <c r="D45" s="759">
        <f>-'19. PoP + Transaction Costs'!E60</f>
        <v>-810065.25000000012</v>
      </c>
      <c r="E45" s="759"/>
      <c r="F45" s="759">
        <f>-'19. PoP + Transaction Costs'!G60</f>
        <v>-114528</v>
      </c>
      <c r="G45" s="742"/>
      <c r="H45" s="759">
        <f>-'19. PoP + Transaction Costs'!I60</f>
        <v>-210327</v>
      </c>
      <c r="I45" s="742"/>
      <c r="J45" s="759">
        <f>-'19. PoP + Transaction Costs'!K60</f>
        <v>-185085</v>
      </c>
      <c r="K45" s="742"/>
      <c r="L45" s="759">
        <f>-'19. PoP + Transaction Costs'!M60</f>
        <v>-114671.25000000001</v>
      </c>
      <c r="M45" s="759"/>
      <c r="N45" s="759">
        <f>-'19. PoP + Transaction Costs'!O60</f>
        <v>0</v>
      </c>
      <c r="O45" s="25"/>
      <c r="P45" s="759">
        <f>-'19. PoP + Transaction Costs'!Q60</f>
        <v>-24131.25</v>
      </c>
      <c r="Q45" s="25"/>
      <c r="R45" s="733"/>
      <c r="S45" s="313"/>
    </row>
    <row r="46" spans="1:21" ht="13">
      <c r="A46" s="283"/>
      <c r="B46" s="283" t="s">
        <v>97</v>
      </c>
      <c r="C46" s="761"/>
      <c r="D46" s="759">
        <f>VLOOKUP("A_Interests",calcdata_21,2,0)</f>
        <v>810065.25000000012</v>
      </c>
      <c r="E46" s="759"/>
      <c r="F46" s="759">
        <f>VLOOKUP("b_Interests",calcdata_21,2,0)</f>
        <v>114528</v>
      </c>
      <c r="G46" s="742"/>
      <c r="H46" s="759">
        <f>VLOOKUP("c_Interests",calcdata_21,2,0)</f>
        <v>210327</v>
      </c>
      <c r="I46" s="742"/>
      <c r="J46" s="759">
        <f>VLOOKUP("d_Interests",calcdata_21,2,0)</f>
        <v>185085</v>
      </c>
      <c r="K46" s="742"/>
      <c r="L46" s="759">
        <f>VLOOKUP("e_Interests",calcdata_21,2,0)</f>
        <v>114671.25000000001</v>
      </c>
      <c r="M46" s="759"/>
      <c r="N46" s="759">
        <f>VLOOKUP("f_Interests",calcdata_21,2,0)</f>
        <v>0</v>
      </c>
      <c r="O46" s="25"/>
      <c r="P46" s="759">
        <f>VLOOKUP("g_Interests",calcdata_21,2,0)</f>
        <v>24131.25</v>
      </c>
      <c r="Q46" s="25"/>
      <c r="R46" s="733"/>
      <c r="S46" s="313"/>
    </row>
    <row r="47" spans="1:21" ht="13">
      <c r="A47" s="283"/>
      <c r="B47" s="347" t="s">
        <v>89</v>
      </c>
      <c r="C47" s="40"/>
      <c r="D47" s="762">
        <f>D46/D24</f>
        <v>67.930000000000007</v>
      </c>
      <c r="E47" s="762"/>
      <c r="F47" s="762">
        <f>F46/F24</f>
        <v>190.88</v>
      </c>
      <c r="G47" s="763"/>
      <c r="H47" s="762">
        <f>H46/H24</f>
        <v>215.72</v>
      </c>
      <c r="I47" s="763"/>
      <c r="J47" s="762">
        <f>J46/J24</f>
        <v>246.78</v>
      </c>
      <c r="K47" s="763"/>
      <c r="L47" s="762">
        <f>L46/L24</f>
        <v>305.79000000000002</v>
      </c>
      <c r="M47" s="762"/>
      <c r="N47" s="762">
        <f>N46/N24</f>
        <v>0</v>
      </c>
      <c r="O47" s="40"/>
      <c r="P47" s="762">
        <f>P46/P24</f>
        <v>536.25</v>
      </c>
      <c r="Q47" s="40"/>
      <c r="R47" s="764"/>
      <c r="S47" s="313"/>
    </row>
    <row r="48" spans="1:21" ht="13">
      <c r="A48" s="283"/>
      <c r="G48" s="765"/>
      <c r="H48" s="765"/>
      <c r="I48" s="765"/>
      <c r="J48" s="765"/>
      <c r="K48" s="765"/>
      <c r="L48" s="765"/>
      <c r="M48" s="765"/>
      <c r="N48" s="765"/>
      <c r="O48" s="765"/>
      <c r="P48" s="765"/>
      <c r="Q48" s="765"/>
      <c r="R48" s="765"/>
      <c r="S48" s="313"/>
    </row>
    <row r="49" spans="1:19">
      <c r="A49" s="283"/>
      <c r="B49" s="25"/>
      <c r="C49" s="712"/>
      <c r="D49" s="712"/>
      <c r="E49" s="25"/>
      <c r="F49" s="712"/>
      <c r="G49" s="25"/>
      <c r="H49" s="25"/>
      <c r="I49" s="25"/>
      <c r="J49" s="25"/>
      <c r="K49" s="25"/>
      <c r="L49" s="712"/>
      <c r="M49" s="712"/>
      <c r="N49" s="712"/>
      <c r="O49" s="25"/>
      <c r="P49" s="25"/>
      <c r="Q49" s="25"/>
      <c r="R49" s="712"/>
      <c r="S49" s="313"/>
    </row>
    <row r="50" spans="1:19" ht="18">
      <c r="A50" s="283"/>
      <c r="B50" s="274" t="s">
        <v>31</v>
      </c>
      <c r="C50" s="25"/>
      <c r="D50" s="714" t="s">
        <v>5</v>
      </c>
      <c r="E50" s="714"/>
      <c r="F50" s="714" t="s">
        <v>6</v>
      </c>
      <c r="G50" s="25"/>
      <c r="H50" s="714" t="s">
        <v>190</v>
      </c>
      <c r="I50" s="714"/>
      <c r="J50" s="714" t="s">
        <v>191</v>
      </c>
      <c r="K50" s="714"/>
      <c r="L50" s="714" t="s">
        <v>192</v>
      </c>
      <c r="M50" s="714"/>
      <c r="N50" s="714" t="s">
        <v>240</v>
      </c>
      <c r="O50" s="25"/>
      <c r="P50" s="714" t="s">
        <v>251</v>
      </c>
      <c r="Q50" s="25"/>
      <c r="R50" s="25"/>
      <c r="S50" s="313"/>
    </row>
    <row r="51" spans="1:19">
      <c r="A51" s="283"/>
      <c r="B51" s="234" t="s">
        <v>53</v>
      </c>
      <c r="C51" s="235"/>
      <c r="D51" s="766">
        <f>F17+H17+J17+L17+N17+P17+0.005</f>
        <v>0.21000000000000002</v>
      </c>
      <c r="E51" s="766"/>
      <c r="F51" s="766">
        <f>H17+J17+L17+N17+P17+0.005</f>
        <v>0.17</v>
      </c>
      <c r="G51" s="766"/>
      <c r="H51" s="766">
        <f>J17+L17+N17+P17+0.005</f>
        <v>0.10500000000000001</v>
      </c>
      <c r="I51" s="766"/>
      <c r="J51" s="766">
        <f>L17+N17+P17+0.005</f>
        <v>5.5E-2</v>
      </c>
      <c r="K51" s="766"/>
      <c r="L51" s="766">
        <f>N17+P17+0.005</f>
        <v>0.03</v>
      </c>
      <c r="M51" s="766"/>
      <c r="N51" s="766">
        <f>P17+0.005</f>
        <v>8.0000000000000002E-3</v>
      </c>
      <c r="O51" s="766"/>
      <c r="P51" s="766">
        <v>5.0000000000000001E-3</v>
      </c>
      <c r="Q51" s="766"/>
      <c r="R51" s="767"/>
      <c r="S51" s="313"/>
    </row>
    <row r="52" spans="1:19">
      <c r="A52" s="283"/>
      <c r="B52" s="347" t="s">
        <v>241</v>
      </c>
      <c r="C52" s="40"/>
      <c r="D52" s="768">
        <f>1-'5. Outstanding Notes'!D33/'1. Portfolio Information'!$F$32+0.005</f>
        <v>0.43439708624781015</v>
      </c>
      <c r="E52" s="769"/>
      <c r="F52" s="768">
        <f>1-SUM('5. Outstanding Notes'!F33,D33)/'1. Portfolio Information'!$F$32+0.005</f>
        <v>0.35520706476410113</v>
      </c>
      <c r="G52" s="769"/>
      <c r="H52" s="768">
        <f>1-SUM('5. Outstanding Notes'!H33,F33,D33)/'1. Portfolio Information'!$F$32+0.005</f>
        <v>0.22652327985307408</v>
      </c>
      <c r="I52" s="769"/>
      <c r="J52" s="768">
        <f>1-SUM('5. Outstanding Notes'!J33,H33,F33,D33)/'1. Portfolio Information'!$F$32+0.005</f>
        <v>0.12753575299843789</v>
      </c>
      <c r="K52" s="769"/>
      <c r="L52" s="768">
        <f>1-SUM('5. Outstanding Notes'!L33,J33,H33,F33,D33)/'1. Portfolio Information'!$F$32+0.005</f>
        <v>7.8041989571119852E-2</v>
      </c>
      <c r="M52" s="769"/>
      <c r="N52" s="768">
        <f>1-SUM(L33,J33,H33,F33,D33,'5. Outstanding Notes'!N33)/'1. Portfolio Information'!$F$32+0.005</f>
        <v>7.8041989571119852E-2</v>
      </c>
      <c r="O52" s="768"/>
      <c r="P52" s="768">
        <f>1-SUM('5. Outstanding Notes'!P33,N33,L33,J33,H33,F33,D33)/'1. Portfolio Information'!$F$32+0.005</f>
        <v>6.9276950822585337E-2</v>
      </c>
      <c r="Q52" s="768"/>
      <c r="R52" s="770"/>
      <c r="S52" s="313"/>
    </row>
    <row r="53" spans="1:19">
      <c r="A53" s="283"/>
      <c r="B53" s="25"/>
      <c r="C53" s="25"/>
      <c r="D53" s="758"/>
      <c r="E53" s="758"/>
      <c r="F53" s="758"/>
      <c r="G53" s="758"/>
      <c r="H53" s="758"/>
      <c r="I53" s="758"/>
      <c r="J53" s="758"/>
      <c r="K53" s="758"/>
      <c r="L53" s="758"/>
      <c r="M53" s="758"/>
      <c r="N53" s="758"/>
      <c r="O53" s="758"/>
      <c r="P53" s="758"/>
      <c r="Q53" s="758"/>
      <c r="R53" s="758"/>
      <c r="S53" s="313"/>
    </row>
    <row r="54" spans="1:19">
      <c r="A54" s="283"/>
      <c r="B54" s="64"/>
      <c r="C54" s="25"/>
      <c r="D54" s="758"/>
      <c r="E54" s="758"/>
      <c r="F54" s="758"/>
      <c r="G54" s="758"/>
      <c r="H54" s="758"/>
      <c r="I54" s="758"/>
      <c r="J54" s="758"/>
      <c r="K54" s="758"/>
      <c r="L54" s="758"/>
      <c r="M54" s="758"/>
      <c r="N54" s="758"/>
      <c r="O54" s="758"/>
      <c r="P54" s="758"/>
      <c r="Q54" s="758"/>
      <c r="R54" s="758"/>
      <c r="S54" s="313"/>
    </row>
    <row r="55" spans="1:19" ht="13.5" customHeight="1">
      <c r="A55" s="347"/>
      <c r="B55" s="40" t="s">
        <v>916</v>
      </c>
      <c r="C55" s="40"/>
      <c r="D55" s="40"/>
      <c r="E55" s="40"/>
      <c r="F55" s="40"/>
      <c r="G55" s="40"/>
      <c r="H55" s="40"/>
      <c r="I55" s="40"/>
      <c r="J55" s="40"/>
      <c r="K55" s="40"/>
      <c r="L55" s="40"/>
      <c r="M55" s="40"/>
      <c r="N55" s="40"/>
      <c r="O55" s="40"/>
      <c r="P55" s="40"/>
      <c r="Q55" s="40"/>
      <c r="R55" s="40"/>
      <c r="S55" s="351"/>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4" width="22" style="143" customWidth="1"/>
    <col min="5" max="5" width="18.54296875" style="143" customWidth="1"/>
    <col min="6" max="6" width="17.1796875" style="143" customWidth="1"/>
    <col min="7" max="8" width="19" style="143" customWidth="1"/>
    <col min="9" max="9" width="9.1796875" style="143" customWidth="1"/>
    <col min="10" max="10" width="15.453125" style="143" customWidth="1"/>
    <col min="11" max="11" width="1.1796875" style="143" customWidth="1"/>
    <col min="12" max="12" width="4.1796875" style="143" customWidth="1"/>
    <col min="13" max="13" width="22" style="143" customWidth="1"/>
    <col min="14" max="14" width="18.54296875" style="143" customWidth="1"/>
    <col min="15" max="15" width="17.1796875" style="143" customWidth="1"/>
    <col min="16" max="17" width="19" style="143" customWidth="1"/>
    <col min="18" max="16384" width="9.1796875" style="143"/>
  </cols>
  <sheetData>
    <row r="1" spans="1:18" ht="6" customHeight="1">
      <c r="A1" s="152"/>
      <c r="B1" s="49"/>
      <c r="C1" s="49"/>
      <c r="D1" s="49"/>
      <c r="E1" s="49"/>
      <c r="F1" s="49"/>
      <c r="G1" s="49"/>
      <c r="H1" s="49"/>
      <c r="I1" s="49"/>
      <c r="J1" s="49"/>
      <c r="K1" s="153"/>
      <c r="M1" s="21"/>
      <c r="N1" s="21"/>
      <c r="O1" s="21"/>
      <c r="P1" s="21"/>
      <c r="Q1" s="21"/>
      <c r="R1" s="21"/>
    </row>
    <row r="2" spans="1:18" s="101" customFormat="1" ht="18">
      <c r="A2" s="102"/>
      <c r="B2" s="103" t="str">
        <f>'Cover Sheet'!B2</f>
        <v>SC Germany Consumer 2021-1</v>
      </c>
      <c r="C2" s="103"/>
      <c r="D2" s="105" t="str">
        <f>'Cover Sheet'!D2</f>
        <v>Calculation Date</v>
      </c>
      <c r="E2" s="106"/>
      <c r="F2" s="107">
        <f>'Cover Sheet'!F2</f>
        <v>45820</v>
      </c>
      <c r="G2" s="106"/>
      <c r="H2" s="106"/>
      <c r="I2" s="106"/>
      <c r="J2" s="108"/>
      <c r="K2" s="358"/>
      <c r="M2" s="163"/>
      <c r="N2" s="21"/>
      <c r="O2" s="472"/>
      <c r="P2" s="21"/>
      <c r="Q2" s="21"/>
      <c r="R2" s="21"/>
    </row>
    <row r="3" spans="1:18" s="101" customFormat="1" ht="18">
      <c r="A3" s="102"/>
      <c r="B3" s="103" t="str">
        <f>'Cover Sheet'!B3</f>
        <v>Monthly Investor Report</v>
      </c>
      <c r="C3" s="103"/>
      <c r="D3" s="111" t="str">
        <f>'Cover Sheet'!D3</f>
        <v>Payment Date</v>
      </c>
      <c r="E3" s="112"/>
      <c r="F3" s="113">
        <f>'Cover Sheet'!F3</f>
        <v>45824</v>
      </c>
      <c r="G3" s="112"/>
      <c r="H3" s="112"/>
      <c r="I3" s="112"/>
      <c r="J3" s="114"/>
      <c r="K3" s="124"/>
      <c r="M3" s="163"/>
      <c r="N3" s="21"/>
      <c r="O3" s="472"/>
      <c r="P3" s="21"/>
      <c r="Q3" s="21"/>
      <c r="R3" s="21"/>
    </row>
    <row r="4" spans="1:18" s="101" customFormat="1" ht="13">
      <c r="A4" s="102"/>
      <c r="B4" s="156"/>
      <c r="C4" s="157"/>
      <c r="D4" s="111" t="str">
        <f>'Cover Sheet'!D4</f>
        <v>Period  No</v>
      </c>
      <c r="E4" s="112"/>
      <c r="F4" s="116">
        <f>'Cover Sheet'!F4</f>
        <v>43</v>
      </c>
      <c r="G4" s="112"/>
      <c r="H4" s="117"/>
      <c r="I4" s="112"/>
      <c r="J4" s="118"/>
      <c r="K4" s="358"/>
      <c r="M4" s="163"/>
      <c r="N4" s="21"/>
      <c r="O4" s="228"/>
      <c r="P4" s="21"/>
      <c r="Q4" s="163"/>
      <c r="R4" s="21"/>
    </row>
    <row r="5" spans="1:18" s="101" customFormat="1" ht="18">
      <c r="A5" s="102"/>
      <c r="B5" s="159" t="s">
        <v>173</v>
      </c>
      <c r="C5" s="119"/>
      <c r="D5" s="111" t="str">
        <f>'Cover Sheet'!D5</f>
        <v>Monthly Period</v>
      </c>
      <c r="E5" s="112"/>
      <c r="F5" s="120">
        <f>'Cover Sheet'!F5</f>
        <v>45824</v>
      </c>
      <c r="G5" s="112"/>
      <c r="H5" s="117"/>
      <c r="I5" s="112"/>
      <c r="J5" s="118"/>
      <c r="K5" s="124"/>
      <c r="M5" s="163"/>
      <c r="N5" s="21"/>
      <c r="O5" s="497"/>
      <c r="P5" s="21"/>
      <c r="Q5" s="163"/>
      <c r="R5" s="21"/>
    </row>
    <row r="6" spans="1:18"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63"/>
      <c r="N6" s="228"/>
      <c r="O6" s="472"/>
      <c r="P6" s="228"/>
      <c r="Q6" s="472"/>
      <c r="R6" s="21"/>
    </row>
    <row r="7" spans="1:18"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c r="M7" s="163"/>
      <c r="N7" s="21"/>
      <c r="O7" s="475"/>
      <c r="P7" s="228"/>
      <c r="Q7" s="472"/>
      <c r="R7" s="21"/>
    </row>
    <row r="8" spans="1:18" s="101" customFormat="1" ht="13">
      <c r="A8" s="102"/>
      <c r="B8" s="104"/>
      <c r="C8" s="104"/>
      <c r="D8" s="104"/>
      <c r="E8" s="133"/>
      <c r="F8" s="132"/>
      <c r="G8" s="133"/>
      <c r="H8" s="104"/>
      <c r="I8" s="166"/>
      <c r="J8" s="104"/>
      <c r="K8" s="124"/>
      <c r="M8" s="21"/>
      <c r="N8" s="476"/>
      <c r="O8" s="228"/>
      <c r="P8" s="476"/>
      <c r="Q8" s="21"/>
      <c r="R8" s="21"/>
    </row>
    <row r="9" spans="1:18" s="101" customFormat="1">
      <c r="A9" s="102"/>
      <c r="K9" s="109"/>
      <c r="M9" s="21"/>
      <c r="N9" s="21"/>
      <c r="O9" s="21"/>
      <c r="P9" s="21"/>
      <c r="Q9" s="21"/>
      <c r="R9" s="21"/>
    </row>
    <row r="10" spans="1:18" s="101" customFormat="1">
      <c r="A10" s="102"/>
      <c r="B10" s="104"/>
      <c r="C10" s="104"/>
      <c r="D10" s="104"/>
      <c r="E10" s="104"/>
      <c r="F10" s="144"/>
      <c r="G10" s="104"/>
      <c r="H10" s="104"/>
      <c r="I10" s="21"/>
      <c r="J10" s="21"/>
      <c r="K10" s="109"/>
      <c r="M10" s="21"/>
      <c r="N10" s="21"/>
      <c r="O10" s="172"/>
      <c r="P10" s="21"/>
      <c r="Q10" s="21"/>
      <c r="R10" s="21"/>
    </row>
    <row r="11" spans="1:18" s="101" customFormat="1" ht="18">
      <c r="A11" s="102"/>
      <c r="B11" s="168"/>
      <c r="C11" s="104"/>
      <c r="D11" s="104"/>
      <c r="E11" s="104"/>
      <c r="F11" s="21"/>
      <c r="G11" s="360"/>
      <c r="H11" s="360"/>
      <c r="I11" s="21"/>
      <c r="K11" s="109"/>
      <c r="M11" s="47"/>
      <c r="N11" s="21"/>
      <c r="O11" s="21"/>
      <c r="P11" s="361"/>
      <c r="Q11" s="361"/>
      <c r="R11" s="21"/>
    </row>
    <row r="12" spans="1:18" s="101" customFormat="1" ht="13" thickBot="1">
      <c r="A12" s="102"/>
      <c r="B12" s="104"/>
      <c r="C12" s="104"/>
      <c r="D12" s="104"/>
      <c r="E12" s="104"/>
      <c r="F12" s="21"/>
      <c r="G12" s="360"/>
      <c r="H12" s="360"/>
      <c r="I12" s="21"/>
      <c r="K12" s="109"/>
      <c r="M12" s="21"/>
      <c r="N12" s="21"/>
      <c r="O12" s="21"/>
      <c r="P12" s="361"/>
      <c r="Q12" s="361"/>
      <c r="R12" s="21"/>
    </row>
    <row r="13" spans="1:18" s="101" customFormat="1" ht="45" customHeight="1" thickBot="1">
      <c r="A13" s="102"/>
      <c r="B13" s="494"/>
      <c r="C13" s="21"/>
      <c r="D13" s="693" t="s">
        <v>67</v>
      </c>
      <c r="E13" s="685" t="s">
        <v>68</v>
      </c>
      <c r="F13" s="478" t="s">
        <v>118</v>
      </c>
      <c r="G13" s="685" t="s">
        <v>61</v>
      </c>
      <c r="H13" s="659" t="s">
        <v>119</v>
      </c>
      <c r="I13" s="172"/>
      <c r="K13" s="109"/>
      <c r="M13" s="215"/>
      <c r="N13" s="495"/>
      <c r="O13" s="214"/>
      <c r="P13" s="495"/>
      <c r="Q13" s="495"/>
      <c r="R13" s="21"/>
    </row>
    <row r="14" spans="1:18" s="101" customFormat="1">
      <c r="A14" s="102"/>
      <c r="B14" s="171"/>
      <c r="C14" s="171"/>
      <c r="D14" s="686" t="s">
        <v>556</v>
      </c>
      <c r="E14" s="687">
        <f t="shared" ref="E14:E45" si="0">VLOOKUP(CONCATENATE("OPB_",D14),Assets_21,3,0)</f>
        <v>1678030.6300000015</v>
      </c>
      <c r="F14" s="688">
        <f>E14/$E$65</f>
        <v>1.6651327486110453E-3</v>
      </c>
      <c r="G14" s="689">
        <f t="shared" ref="G14:G45" si="1">VLOOKUP(CONCATENATE("OPB_",D14),Assets_21,2,0)</f>
        <v>1256</v>
      </c>
      <c r="H14" s="690">
        <f>G14/$G$65</f>
        <v>2.4256938140945171E-2</v>
      </c>
      <c r="I14" s="172"/>
      <c r="K14" s="109"/>
      <c r="M14" s="196"/>
      <c r="N14" s="13"/>
      <c r="O14" s="197"/>
      <c r="P14" s="198"/>
      <c r="Q14" s="197"/>
      <c r="R14" s="21"/>
    </row>
    <row r="15" spans="1:18">
      <c r="A15" s="179"/>
      <c r="B15" s="14"/>
      <c r="C15" s="13"/>
      <c r="D15" s="686" t="s">
        <v>557</v>
      </c>
      <c r="E15" s="687">
        <f t="shared" si="0"/>
        <v>13046341.189999968</v>
      </c>
      <c r="F15" s="688">
        <f t="shared" ref="F15:F64" si="2">E15/$E$65</f>
        <v>1.2946062829033177E-2</v>
      </c>
      <c r="G15" s="689">
        <f t="shared" si="1"/>
        <v>4519</v>
      </c>
      <c r="H15" s="690">
        <f t="shared" ref="H15:H64" si="3">G15/$G$65</f>
        <v>8.727476390042295E-2</v>
      </c>
      <c r="I15" s="172"/>
      <c r="K15" s="173"/>
      <c r="M15" s="196"/>
      <c r="N15" s="13"/>
      <c r="O15" s="197"/>
      <c r="P15" s="198"/>
      <c r="Q15" s="197"/>
      <c r="R15" s="21"/>
    </row>
    <row r="16" spans="1:18">
      <c r="A16" s="179"/>
      <c r="B16" s="14"/>
      <c r="C16" s="13"/>
      <c r="D16" s="686" t="s">
        <v>558</v>
      </c>
      <c r="E16" s="687">
        <f t="shared" si="0"/>
        <v>26329777.470000226</v>
      </c>
      <c r="F16" s="688">
        <f t="shared" si="2"/>
        <v>2.6127398359193605E-2</v>
      </c>
      <c r="G16" s="689">
        <f t="shared" si="1"/>
        <v>5369</v>
      </c>
      <c r="H16" s="690">
        <f t="shared" si="3"/>
        <v>0.10369068541300527</v>
      </c>
      <c r="I16" s="172"/>
      <c r="K16" s="173"/>
      <c r="M16" s="196"/>
      <c r="N16" s="13"/>
      <c r="O16" s="197"/>
      <c r="P16" s="198"/>
      <c r="Q16" s="197"/>
      <c r="R16" s="21"/>
    </row>
    <row r="17" spans="1:18">
      <c r="A17" s="179"/>
      <c r="B17" s="14"/>
      <c r="C17" s="13"/>
      <c r="D17" s="686" t="s">
        <v>559</v>
      </c>
      <c r="E17" s="687">
        <f t="shared" si="0"/>
        <v>27932813.670000009</v>
      </c>
      <c r="F17" s="688">
        <f t="shared" si="2"/>
        <v>2.7718113109036189E-2</v>
      </c>
      <c r="G17" s="689">
        <f t="shared" si="1"/>
        <v>4096</v>
      </c>
      <c r="H17" s="690">
        <f t="shared" si="3"/>
        <v>7.9105428841808462E-2</v>
      </c>
      <c r="I17" s="172"/>
      <c r="K17" s="173"/>
      <c r="M17" s="196"/>
      <c r="N17" s="13"/>
      <c r="O17" s="197"/>
      <c r="P17" s="198"/>
      <c r="Q17" s="197"/>
      <c r="R17" s="21"/>
    </row>
    <row r="18" spans="1:18">
      <c r="A18" s="179"/>
      <c r="B18" s="14"/>
      <c r="C18" s="13"/>
      <c r="D18" s="686" t="s">
        <v>560</v>
      </c>
      <c r="E18" s="687">
        <f t="shared" si="0"/>
        <v>27553696.520000029</v>
      </c>
      <c r="F18" s="688">
        <f t="shared" si="2"/>
        <v>2.7341909974993844E-2</v>
      </c>
      <c r="G18" s="689">
        <f t="shared" si="1"/>
        <v>3140</v>
      </c>
      <c r="H18" s="690">
        <f t="shared" si="3"/>
        <v>6.0642345352362924E-2</v>
      </c>
      <c r="I18" s="172"/>
      <c r="K18" s="173"/>
      <c r="M18" s="196"/>
      <c r="N18" s="13"/>
      <c r="O18" s="197"/>
      <c r="P18" s="198"/>
      <c r="Q18" s="197"/>
      <c r="R18" s="21"/>
    </row>
    <row r="19" spans="1:18">
      <c r="A19" s="179"/>
      <c r="B19" s="14"/>
      <c r="C19" s="13"/>
      <c r="D19" s="686" t="s">
        <v>561</v>
      </c>
      <c r="E19" s="687">
        <f t="shared" si="0"/>
        <v>44744847.80999995</v>
      </c>
      <c r="F19" s="688">
        <f t="shared" si="2"/>
        <v>4.4400924564796572E-2</v>
      </c>
      <c r="G19" s="689">
        <f t="shared" si="1"/>
        <v>4210</v>
      </c>
      <c r="H19" s="690">
        <f t="shared" si="3"/>
        <v>8.1307093609378323E-2</v>
      </c>
      <c r="I19" s="172"/>
      <c r="K19" s="173"/>
      <c r="M19" s="196"/>
      <c r="N19" s="13"/>
      <c r="O19" s="197"/>
      <c r="P19" s="198"/>
      <c r="Q19" s="197"/>
      <c r="R19" s="21"/>
    </row>
    <row r="20" spans="1:18">
      <c r="A20" s="179"/>
      <c r="B20" s="14"/>
      <c r="C20" s="13"/>
      <c r="D20" s="686" t="s">
        <v>562</v>
      </c>
      <c r="E20" s="687">
        <f t="shared" si="0"/>
        <v>33434631.989999976</v>
      </c>
      <c r="F20" s="688">
        <f t="shared" si="2"/>
        <v>3.3177642689577957E-2</v>
      </c>
      <c r="G20" s="689">
        <f t="shared" si="1"/>
        <v>2613</v>
      </c>
      <c r="H20" s="690">
        <f t="shared" si="3"/>
        <v>5.0464474014561889E-2</v>
      </c>
      <c r="I20" s="172"/>
      <c r="K20" s="173"/>
      <c r="M20" s="196"/>
      <c r="N20" s="13"/>
      <c r="O20" s="197"/>
      <c r="P20" s="198"/>
      <c r="Q20" s="197"/>
      <c r="R20" s="21"/>
    </row>
    <row r="21" spans="1:18">
      <c r="A21" s="179"/>
      <c r="B21" s="14"/>
      <c r="C21" s="13"/>
      <c r="D21" s="686" t="s">
        <v>563</v>
      </c>
      <c r="E21" s="687">
        <f t="shared" si="0"/>
        <v>41634231.28999994</v>
      </c>
      <c r="F21" s="688">
        <f t="shared" si="2"/>
        <v>4.1314217240614688E-2</v>
      </c>
      <c r="G21" s="689">
        <f t="shared" si="1"/>
        <v>2786</v>
      </c>
      <c r="H21" s="690">
        <f t="shared" si="3"/>
        <v>5.3805596863593347E-2</v>
      </c>
      <c r="I21" s="172"/>
      <c r="K21" s="173"/>
      <c r="M21" s="196"/>
      <c r="N21" s="13"/>
      <c r="O21" s="197"/>
      <c r="P21" s="198"/>
      <c r="Q21" s="197"/>
      <c r="R21" s="21"/>
    </row>
    <row r="22" spans="1:18">
      <c r="A22" s="179"/>
      <c r="B22" s="14"/>
      <c r="C22" s="13"/>
      <c r="D22" s="686" t="s">
        <v>564</v>
      </c>
      <c r="E22" s="687">
        <f t="shared" si="0"/>
        <v>34724106.250000045</v>
      </c>
      <c r="F22" s="688">
        <f t="shared" si="2"/>
        <v>3.4457205637017783E-2</v>
      </c>
      <c r="G22" s="689">
        <f t="shared" si="1"/>
        <v>2053</v>
      </c>
      <c r="H22" s="690">
        <f t="shared" si="3"/>
        <v>3.9649278665095891E-2</v>
      </c>
      <c r="I22" s="172"/>
      <c r="K22" s="173"/>
      <c r="M22" s="196"/>
      <c r="N22" s="13"/>
      <c r="O22" s="197"/>
      <c r="P22" s="198"/>
      <c r="Q22" s="197"/>
      <c r="R22" s="21"/>
    </row>
    <row r="23" spans="1:18">
      <c r="A23" s="179"/>
      <c r="B23" s="14"/>
      <c r="C23" s="13"/>
      <c r="D23" s="686" t="s">
        <v>565</v>
      </c>
      <c r="E23" s="687">
        <f t="shared" si="0"/>
        <v>34143250.159999989</v>
      </c>
      <c r="F23" s="688">
        <f t="shared" si="2"/>
        <v>3.3880814193144523E-2</v>
      </c>
      <c r="G23" s="689">
        <f t="shared" si="1"/>
        <v>1812</v>
      </c>
      <c r="H23" s="690">
        <f t="shared" si="3"/>
        <v>3.4994882095057842E-2</v>
      </c>
      <c r="I23" s="172"/>
      <c r="K23" s="173"/>
      <c r="M23" s="196"/>
      <c r="N23" s="13"/>
      <c r="O23" s="197"/>
      <c r="P23" s="198"/>
      <c r="Q23" s="197"/>
      <c r="R23" s="21"/>
    </row>
    <row r="24" spans="1:18">
      <c r="A24" s="179"/>
      <c r="B24" s="14"/>
      <c r="C24" s="13"/>
      <c r="D24" s="686" t="s">
        <v>566</v>
      </c>
      <c r="E24" s="687">
        <f t="shared" si="0"/>
        <v>54342974.209999941</v>
      </c>
      <c r="F24" s="688">
        <f t="shared" si="2"/>
        <v>5.3925276688183144E-2</v>
      </c>
      <c r="G24" s="689">
        <f t="shared" si="1"/>
        <v>2641</v>
      </c>
      <c r="H24" s="690">
        <f t="shared" si="3"/>
        <v>5.1005233782035191E-2</v>
      </c>
      <c r="I24" s="172"/>
      <c r="K24" s="173"/>
      <c r="M24" s="196"/>
      <c r="N24" s="13"/>
      <c r="O24" s="197"/>
      <c r="P24" s="198"/>
      <c r="Q24" s="197"/>
      <c r="R24" s="21"/>
    </row>
    <row r="25" spans="1:18">
      <c r="A25" s="179"/>
      <c r="B25" s="14"/>
      <c r="C25" s="13"/>
      <c r="D25" s="686" t="s">
        <v>567</v>
      </c>
      <c r="E25" s="687">
        <f t="shared" si="0"/>
        <v>36715935.759999961</v>
      </c>
      <c r="F25" s="688">
        <f t="shared" si="2"/>
        <v>3.6433725306834981E-2</v>
      </c>
      <c r="G25" s="689">
        <f t="shared" si="1"/>
        <v>1604</v>
      </c>
      <c r="H25" s="690">
        <f t="shared" si="3"/>
        <v>3.0977809536684758E-2</v>
      </c>
      <c r="I25" s="172"/>
      <c r="K25" s="173"/>
      <c r="M25" s="196"/>
      <c r="N25" s="13"/>
      <c r="O25" s="197"/>
      <c r="P25" s="198"/>
      <c r="Q25" s="197"/>
      <c r="R25" s="21"/>
    </row>
    <row r="26" spans="1:18">
      <c r="A26" s="179"/>
      <c r="B26" s="14"/>
      <c r="C26" s="13"/>
      <c r="D26" s="686" t="s">
        <v>568</v>
      </c>
      <c r="E26" s="687">
        <f t="shared" si="0"/>
        <v>49022743.590000011</v>
      </c>
      <c r="F26" s="688">
        <f t="shared" si="2"/>
        <v>4.8645939066363261E-2</v>
      </c>
      <c r="G26" s="689">
        <f t="shared" si="1"/>
        <v>1968</v>
      </c>
      <c r="H26" s="690">
        <f t="shared" si="3"/>
        <v>3.8007686513837659E-2</v>
      </c>
      <c r="I26" s="172"/>
      <c r="K26" s="173"/>
      <c r="M26" s="196"/>
      <c r="N26" s="13"/>
      <c r="O26" s="197"/>
      <c r="P26" s="198"/>
      <c r="Q26" s="197"/>
      <c r="R26" s="21"/>
    </row>
    <row r="27" spans="1:18">
      <c r="A27" s="179"/>
      <c r="B27" s="14"/>
      <c r="C27" s="13"/>
      <c r="D27" s="686" t="s">
        <v>569</v>
      </c>
      <c r="E27" s="687">
        <f t="shared" si="0"/>
        <v>34492289.259999931</v>
      </c>
      <c r="F27" s="688">
        <f t="shared" si="2"/>
        <v>3.4227170466721975E-2</v>
      </c>
      <c r="G27" s="689">
        <f t="shared" si="1"/>
        <v>1282</v>
      </c>
      <c r="H27" s="690">
        <f t="shared" si="3"/>
        <v>2.4759072210741806E-2</v>
      </c>
      <c r="I27" s="172"/>
      <c r="K27" s="173"/>
      <c r="M27" s="196"/>
      <c r="N27" s="13"/>
      <c r="O27" s="197"/>
      <c r="P27" s="198"/>
      <c r="Q27" s="197"/>
      <c r="R27" s="21"/>
    </row>
    <row r="28" spans="1:18">
      <c r="A28" s="179"/>
      <c r="B28" s="14"/>
      <c r="C28" s="13"/>
      <c r="D28" s="686" t="s">
        <v>570</v>
      </c>
      <c r="E28" s="687">
        <f t="shared" si="0"/>
        <v>34399104.790000044</v>
      </c>
      <c r="F28" s="688">
        <f t="shared" si="2"/>
        <v>3.4134702242432903E-2</v>
      </c>
      <c r="G28" s="689">
        <f t="shared" si="1"/>
        <v>1189</v>
      </c>
      <c r="H28" s="690">
        <f t="shared" si="3"/>
        <v>2.2962977268776916E-2</v>
      </c>
      <c r="I28" s="172"/>
      <c r="K28" s="173"/>
      <c r="M28" s="196"/>
      <c r="N28" s="13"/>
      <c r="O28" s="197"/>
      <c r="P28" s="198"/>
      <c r="Q28" s="197"/>
      <c r="R28" s="21"/>
    </row>
    <row r="29" spans="1:18">
      <c r="A29" s="179"/>
      <c r="B29" s="14"/>
      <c r="C29" s="13"/>
      <c r="D29" s="686" t="s">
        <v>571</v>
      </c>
      <c r="E29" s="687">
        <f t="shared" si="0"/>
        <v>48003956.649999991</v>
      </c>
      <c r="F29" s="688">
        <f t="shared" si="2"/>
        <v>4.7634982849401195E-2</v>
      </c>
      <c r="G29" s="689">
        <f t="shared" si="1"/>
        <v>1571</v>
      </c>
      <c r="H29" s="690">
        <f t="shared" si="3"/>
        <v>3.0340485525019795E-2</v>
      </c>
      <c r="I29" s="172"/>
      <c r="K29" s="173"/>
      <c r="M29" s="196"/>
      <c r="N29" s="13"/>
      <c r="O29" s="197"/>
      <c r="P29" s="198"/>
      <c r="Q29" s="197"/>
      <c r="R29" s="21"/>
    </row>
    <row r="30" spans="1:18">
      <c r="A30" s="179"/>
      <c r="B30" s="14"/>
      <c r="C30" s="13"/>
      <c r="D30" s="686" t="s">
        <v>572</v>
      </c>
      <c r="E30" s="687">
        <f t="shared" si="0"/>
        <v>28392718.490000032</v>
      </c>
      <c r="F30" s="688">
        <f t="shared" si="2"/>
        <v>2.8174482953146902E-2</v>
      </c>
      <c r="G30" s="689">
        <f t="shared" si="1"/>
        <v>865</v>
      </c>
      <c r="H30" s="690">
        <f t="shared" si="3"/>
        <v>1.6705614245157305E-2</v>
      </c>
      <c r="I30" s="172"/>
      <c r="J30" s="172"/>
      <c r="K30" s="173"/>
      <c r="M30" s="196"/>
      <c r="N30" s="13"/>
      <c r="O30" s="197"/>
      <c r="P30" s="198"/>
      <c r="Q30" s="197"/>
      <c r="R30" s="21"/>
    </row>
    <row r="31" spans="1:18">
      <c r="A31" s="179"/>
      <c r="B31" s="14"/>
      <c r="C31" s="13"/>
      <c r="D31" s="686" t="s">
        <v>573</v>
      </c>
      <c r="E31" s="687">
        <f t="shared" si="0"/>
        <v>34885926.180000015</v>
      </c>
      <c r="F31" s="688">
        <f t="shared" si="2"/>
        <v>3.4617781767157255E-2</v>
      </c>
      <c r="G31" s="689">
        <f t="shared" si="1"/>
        <v>999</v>
      </c>
      <c r="H31" s="690">
        <f t="shared" si="3"/>
        <v>1.929353598949381E-2</v>
      </c>
      <c r="I31" s="172"/>
      <c r="J31" s="172"/>
      <c r="K31" s="173"/>
      <c r="M31" s="196"/>
      <c r="N31" s="13"/>
      <c r="O31" s="197"/>
      <c r="P31" s="198"/>
      <c r="Q31" s="197"/>
      <c r="R31" s="21"/>
    </row>
    <row r="32" spans="1:18">
      <c r="A32" s="179"/>
      <c r="B32" s="14"/>
      <c r="C32" s="13"/>
      <c r="D32" s="686" t="s">
        <v>574</v>
      </c>
      <c r="E32" s="687">
        <f t="shared" si="0"/>
        <v>26398562.949999984</v>
      </c>
      <c r="F32" s="688">
        <f t="shared" si="2"/>
        <v>2.6195655131941865E-2</v>
      </c>
      <c r="G32" s="689">
        <f t="shared" si="1"/>
        <v>715</v>
      </c>
      <c r="H32" s="690">
        <f t="shared" si="3"/>
        <v>1.3808686919407481E-2</v>
      </c>
      <c r="I32" s="172"/>
      <c r="J32" s="172"/>
      <c r="K32" s="173"/>
      <c r="M32" s="196"/>
      <c r="N32" s="13"/>
      <c r="O32" s="197"/>
      <c r="P32" s="198"/>
      <c r="Q32" s="197"/>
      <c r="R32" s="21"/>
    </row>
    <row r="33" spans="1:18">
      <c r="A33" s="179"/>
      <c r="B33" s="14"/>
      <c r="C33" s="13"/>
      <c r="D33" s="686" t="s">
        <v>575</v>
      </c>
      <c r="E33" s="687">
        <f t="shared" si="0"/>
        <v>23188124.129999992</v>
      </c>
      <c r="F33" s="688">
        <f t="shared" si="2"/>
        <v>2.3009892773960244E-2</v>
      </c>
      <c r="G33" s="689">
        <f t="shared" si="1"/>
        <v>597</v>
      </c>
      <c r="H33" s="690">
        <f t="shared" si="3"/>
        <v>1.1529770756484288E-2</v>
      </c>
      <c r="I33" s="172"/>
      <c r="J33" s="172"/>
      <c r="K33" s="173"/>
      <c r="M33" s="196"/>
      <c r="N33" s="13"/>
      <c r="O33" s="197"/>
      <c r="P33" s="198"/>
      <c r="Q33" s="197"/>
      <c r="R33" s="21"/>
    </row>
    <row r="34" spans="1:18">
      <c r="A34" s="179"/>
      <c r="B34" s="14"/>
      <c r="C34" s="13"/>
      <c r="D34" s="686" t="s">
        <v>576</v>
      </c>
      <c r="E34" s="687">
        <f t="shared" si="0"/>
        <v>35450655.120000005</v>
      </c>
      <c r="F34" s="688">
        <f t="shared" si="2"/>
        <v>3.5178170019475617E-2</v>
      </c>
      <c r="G34" s="689">
        <f t="shared" si="1"/>
        <v>874</v>
      </c>
      <c r="H34" s="690">
        <f t="shared" si="3"/>
        <v>1.6879429884702292E-2</v>
      </c>
      <c r="I34" s="172"/>
      <c r="J34" s="172"/>
      <c r="K34" s="173"/>
      <c r="M34" s="196"/>
      <c r="N34" s="13"/>
      <c r="O34" s="197"/>
      <c r="P34" s="198"/>
      <c r="Q34" s="197"/>
      <c r="R34" s="21"/>
    </row>
    <row r="35" spans="1:18">
      <c r="A35" s="179"/>
      <c r="B35" s="14"/>
      <c r="C35" s="13"/>
      <c r="D35" s="686" t="s">
        <v>577</v>
      </c>
      <c r="E35" s="687">
        <f t="shared" si="0"/>
        <v>22628931.830000021</v>
      </c>
      <c r="F35" s="688">
        <f t="shared" si="2"/>
        <v>2.2454998605251845E-2</v>
      </c>
      <c r="G35" s="689">
        <f t="shared" si="1"/>
        <v>528</v>
      </c>
      <c r="H35" s="690">
        <f t="shared" si="3"/>
        <v>1.019718418663937E-2</v>
      </c>
      <c r="I35" s="172"/>
      <c r="J35" s="172"/>
      <c r="K35" s="173"/>
      <c r="M35" s="196"/>
      <c r="N35" s="13"/>
      <c r="O35" s="197"/>
      <c r="P35" s="198"/>
      <c r="Q35" s="197"/>
      <c r="R35" s="21"/>
    </row>
    <row r="36" spans="1:18">
      <c r="A36" s="179"/>
      <c r="B36" s="14"/>
      <c r="C36" s="13"/>
      <c r="D36" s="686" t="s">
        <v>578</v>
      </c>
      <c r="E36" s="687">
        <f t="shared" si="0"/>
        <v>24034152.900000002</v>
      </c>
      <c r="F36" s="688">
        <f t="shared" si="2"/>
        <v>2.3849418695602174E-2</v>
      </c>
      <c r="G36" s="689">
        <f t="shared" si="1"/>
        <v>535</v>
      </c>
      <c r="H36" s="690">
        <f t="shared" si="3"/>
        <v>1.0332374128507696E-2</v>
      </c>
      <c r="I36" s="172"/>
      <c r="J36" s="172"/>
      <c r="K36" s="173"/>
      <c r="M36" s="196"/>
      <c r="N36" s="13"/>
      <c r="O36" s="197"/>
      <c r="P36" s="198"/>
      <c r="Q36" s="197"/>
      <c r="R36" s="21"/>
    </row>
    <row r="37" spans="1:18">
      <c r="A37" s="179"/>
      <c r="B37" s="14"/>
      <c r="C37" s="13"/>
      <c r="D37" s="686" t="s">
        <v>579</v>
      </c>
      <c r="E37" s="687">
        <f t="shared" si="0"/>
        <v>17226597.930000007</v>
      </c>
      <c r="F37" s="688">
        <f t="shared" si="2"/>
        <v>1.7094188775563787E-2</v>
      </c>
      <c r="G37" s="689">
        <f t="shared" si="1"/>
        <v>367</v>
      </c>
      <c r="H37" s="690">
        <f t="shared" si="3"/>
        <v>7.0878155236678963E-3</v>
      </c>
      <c r="I37" s="172"/>
      <c r="J37" s="172"/>
      <c r="K37" s="173"/>
      <c r="M37" s="196"/>
      <c r="N37" s="13"/>
      <c r="O37" s="197"/>
      <c r="P37" s="198"/>
      <c r="Q37" s="197"/>
      <c r="R37" s="21"/>
    </row>
    <row r="38" spans="1:18">
      <c r="A38" s="179"/>
      <c r="B38" s="14"/>
      <c r="C38" s="13"/>
      <c r="D38" s="686" t="s">
        <v>580</v>
      </c>
      <c r="E38" s="687">
        <f t="shared" si="0"/>
        <v>17984922.900000002</v>
      </c>
      <c r="F38" s="688">
        <f t="shared" si="2"/>
        <v>1.7846685016729827E-2</v>
      </c>
      <c r="G38" s="689">
        <f t="shared" si="1"/>
        <v>368</v>
      </c>
      <c r="H38" s="690">
        <f t="shared" si="3"/>
        <v>7.107128372506228E-3</v>
      </c>
      <c r="I38" s="172"/>
      <c r="J38" s="172"/>
      <c r="K38" s="173"/>
      <c r="M38" s="196"/>
      <c r="N38" s="13"/>
      <c r="O38" s="197"/>
      <c r="P38" s="198"/>
      <c r="Q38" s="197"/>
      <c r="R38" s="21"/>
    </row>
    <row r="39" spans="1:18">
      <c r="A39" s="179"/>
      <c r="B39" s="14"/>
      <c r="C39" s="13"/>
      <c r="D39" s="686" t="s">
        <v>581</v>
      </c>
      <c r="E39" s="687">
        <f t="shared" si="0"/>
        <v>39690727.569999993</v>
      </c>
      <c r="F39" s="688">
        <f t="shared" si="2"/>
        <v>3.9385651913282554E-2</v>
      </c>
      <c r="G39" s="689">
        <f t="shared" si="1"/>
        <v>788</v>
      </c>
      <c r="H39" s="690">
        <f t="shared" si="3"/>
        <v>1.5218524884605728E-2</v>
      </c>
      <c r="I39" s="172"/>
      <c r="J39" s="172"/>
      <c r="K39" s="173"/>
      <c r="M39" s="196"/>
      <c r="N39" s="13"/>
      <c r="O39" s="197"/>
      <c r="P39" s="198"/>
      <c r="Q39" s="197"/>
      <c r="R39" s="21"/>
    </row>
    <row r="40" spans="1:18">
      <c r="A40" s="179"/>
      <c r="B40" s="14"/>
      <c r="C40" s="13"/>
      <c r="D40" s="686" t="s">
        <v>582</v>
      </c>
      <c r="E40" s="687">
        <f t="shared" si="0"/>
        <v>17641150.400000002</v>
      </c>
      <c r="F40" s="688">
        <f t="shared" si="2"/>
        <v>1.7505554862376271E-2</v>
      </c>
      <c r="G40" s="689">
        <f t="shared" si="1"/>
        <v>333</v>
      </c>
      <c r="H40" s="690">
        <f t="shared" si="3"/>
        <v>6.4311786631646032E-3</v>
      </c>
      <c r="I40" s="172"/>
      <c r="J40" s="21"/>
      <c r="K40" s="173"/>
      <c r="M40" s="196"/>
      <c r="N40" s="13"/>
      <c r="O40" s="197"/>
      <c r="P40" s="198"/>
      <c r="Q40" s="197"/>
      <c r="R40" s="21"/>
    </row>
    <row r="41" spans="1:18">
      <c r="A41" s="179"/>
      <c r="B41" s="14"/>
      <c r="C41" s="13"/>
      <c r="D41" s="686" t="s">
        <v>583</v>
      </c>
      <c r="E41" s="687">
        <f t="shared" si="0"/>
        <v>18792686.630000018</v>
      </c>
      <c r="F41" s="688">
        <f t="shared" si="2"/>
        <v>1.8648240015736749E-2</v>
      </c>
      <c r="G41" s="689">
        <f t="shared" si="1"/>
        <v>342</v>
      </c>
      <c r="H41" s="690">
        <f t="shared" si="3"/>
        <v>6.604994302709593E-3</v>
      </c>
      <c r="I41" s="172"/>
      <c r="J41" s="21"/>
      <c r="K41" s="173"/>
      <c r="M41" s="196"/>
      <c r="N41" s="13"/>
      <c r="O41" s="197"/>
      <c r="P41" s="198"/>
      <c r="Q41" s="197"/>
      <c r="R41" s="21"/>
    </row>
    <row r="42" spans="1:18">
      <c r="A42" s="179"/>
      <c r="B42" s="14"/>
      <c r="C42" s="13"/>
      <c r="D42" s="686" t="s">
        <v>584</v>
      </c>
      <c r="E42" s="687">
        <f t="shared" si="0"/>
        <v>13894972.129999995</v>
      </c>
      <c r="F42" s="688">
        <f t="shared" si="2"/>
        <v>1.3788170919562262E-2</v>
      </c>
      <c r="G42" s="689">
        <f t="shared" si="1"/>
        <v>244</v>
      </c>
      <c r="H42" s="690">
        <f t="shared" si="3"/>
        <v>4.712335116553043E-3</v>
      </c>
      <c r="I42" s="172"/>
      <c r="J42" s="21"/>
      <c r="K42" s="173"/>
      <c r="M42" s="196"/>
      <c r="N42" s="13"/>
      <c r="O42" s="197"/>
      <c r="P42" s="198"/>
      <c r="Q42" s="197"/>
      <c r="R42" s="21"/>
    </row>
    <row r="43" spans="1:18">
      <c r="A43" s="179"/>
      <c r="B43" s="14"/>
      <c r="C43" s="13"/>
      <c r="D43" s="686" t="s">
        <v>585</v>
      </c>
      <c r="E43" s="687">
        <f t="shared" si="0"/>
        <v>14070054.230000006</v>
      </c>
      <c r="F43" s="688">
        <f t="shared" si="2"/>
        <v>1.396190728241138E-2</v>
      </c>
      <c r="G43" s="689">
        <f t="shared" si="1"/>
        <v>239</v>
      </c>
      <c r="H43" s="690">
        <f t="shared" si="3"/>
        <v>4.6157708723613819E-3</v>
      </c>
      <c r="I43" s="172"/>
      <c r="J43" s="21"/>
      <c r="K43" s="173"/>
      <c r="M43" s="196"/>
      <c r="N43" s="13"/>
      <c r="O43" s="197"/>
      <c r="P43" s="198"/>
      <c r="Q43" s="197"/>
      <c r="R43" s="21"/>
    </row>
    <row r="44" spans="1:18">
      <c r="A44" s="179"/>
      <c r="B44" s="14"/>
      <c r="C44" s="13"/>
      <c r="D44" s="686" t="s">
        <v>586</v>
      </c>
      <c r="E44" s="687">
        <f t="shared" si="0"/>
        <v>22815349.309999995</v>
      </c>
      <c r="F44" s="688">
        <f t="shared" si="2"/>
        <v>2.2639983220736189E-2</v>
      </c>
      <c r="G44" s="689">
        <f t="shared" si="1"/>
        <v>378</v>
      </c>
      <c r="H44" s="690">
        <f t="shared" si="3"/>
        <v>7.3002568608895495E-3</v>
      </c>
      <c r="I44" s="172"/>
      <c r="J44" s="21"/>
      <c r="K44" s="173"/>
      <c r="M44" s="196"/>
      <c r="N44" s="13"/>
      <c r="O44" s="197"/>
      <c r="P44" s="198"/>
      <c r="Q44" s="197"/>
      <c r="R44" s="21"/>
    </row>
    <row r="45" spans="1:18" s="101" customFormat="1" ht="12.75" customHeight="1">
      <c r="A45" s="102"/>
      <c r="B45" s="14"/>
      <c r="C45" s="13"/>
      <c r="D45" s="686" t="s">
        <v>587</v>
      </c>
      <c r="E45" s="687">
        <f t="shared" si="0"/>
        <v>11465333.349999998</v>
      </c>
      <c r="F45" s="688">
        <f t="shared" si="2"/>
        <v>1.1377207122153284E-2</v>
      </c>
      <c r="G45" s="689">
        <f t="shared" si="1"/>
        <v>182</v>
      </c>
      <c r="H45" s="690">
        <f t="shared" si="3"/>
        <v>3.5149384885764497E-3</v>
      </c>
      <c r="I45" s="144"/>
      <c r="J45" s="104"/>
      <c r="K45" s="109"/>
      <c r="M45" s="196"/>
      <c r="N45" s="13"/>
      <c r="O45" s="197"/>
      <c r="P45" s="198"/>
      <c r="Q45" s="197"/>
      <c r="R45" s="21"/>
    </row>
    <row r="46" spans="1:18" s="101" customFormat="1">
      <c r="A46" s="102"/>
      <c r="B46" s="14"/>
      <c r="C46" s="13"/>
      <c r="D46" s="686" t="s">
        <v>588</v>
      </c>
      <c r="E46" s="687">
        <f t="shared" ref="E46:E64" si="4">VLOOKUP(CONCATENATE("OPB_",D46),Assets_21,3,0)</f>
        <v>15954326.040000003</v>
      </c>
      <c r="F46" s="688">
        <f t="shared" si="2"/>
        <v>1.5831695975193228E-2</v>
      </c>
      <c r="G46" s="689">
        <f t="shared" ref="G46:G64" si="5">VLOOKUP(CONCATENATE("OPB_",D46),Assets_21,2,0)</f>
        <v>246</v>
      </c>
      <c r="H46" s="690">
        <f t="shared" si="3"/>
        <v>4.7509608142297073E-3</v>
      </c>
      <c r="I46" s="144"/>
      <c r="J46" s="104"/>
      <c r="K46" s="109"/>
      <c r="M46" s="196"/>
      <c r="N46" s="13"/>
      <c r="O46" s="197"/>
      <c r="P46" s="198"/>
      <c r="Q46" s="197"/>
      <c r="R46" s="21"/>
    </row>
    <row r="47" spans="1:18">
      <c r="A47" s="179"/>
      <c r="B47" s="14"/>
      <c r="C47" s="13"/>
      <c r="D47" s="686" t="s">
        <v>589</v>
      </c>
      <c r="E47" s="687">
        <f t="shared" si="4"/>
        <v>8633493.1699999999</v>
      </c>
      <c r="F47" s="688">
        <f t="shared" si="2"/>
        <v>8.567133373648117E-3</v>
      </c>
      <c r="G47" s="689">
        <f t="shared" si="5"/>
        <v>129</v>
      </c>
      <c r="H47" s="690">
        <f t="shared" si="3"/>
        <v>2.4913575001448466E-3</v>
      </c>
      <c r="I47" s="172"/>
      <c r="J47" s="21"/>
      <c r="K47" s="173"/>
      <c r="M47" s="196"/>
      <c r="N47" s="13"/>
      <c r="O47" s="197"/>
      <c r="P47" s="198"/>
      <c r="Q47" s="197"/>
      <c r="R47" s="21"/>
    </row>
    <row r="48" spans="1:18">
      <c r="A48" s="179"/>
      <c r="B48" s="14"/>
      <c r="C48" s="13"/>
      <c r="D48" s="686" t="s">
        <v>590</v>
      </c>
      <c r="E48" s="687">
        <f t="shared" si="4"/>
        <v>7182363.5100000016</v>
      </c>
      <c r="F48" s="688">
        <f t="shared" si="2"/>
        <v>7.127157561438534E-3</v>
      </c>
      <c r="G48" s="689">
        <f t="shared" si="5"/>
        <v>104</v>
      </c>
      <c r="H48" s="690">
        <f t="shared" si="3"/>
        <v>2.0085362791865428E-3</v>
      </c>
      <c r="I48" s="172"/>
      <c r="J48" s="21"/>
      <c r="K48" s="173"/>
      <c r="M48" s="196"/>
      <c r="N48" s="13"/>
      <c r="O48" s="197"/>
      <c r="P48" s="198"/>
      <c r="Q48" s="197"/>
      <c r="R48" s="21"/>
    </row>
    <row r="49" spans="1:18">
      <c r="A49" s="179"/>
      <c r="B49" s="14"/>
      <c r="C49" s="13"/>
      <c r="D49" s="686" t="s">
        <v>591</v>
      </c>
      <c r="E49" s="687">
        <f t="shared" si="4"/>
        <v>10594499.929999994</v>
      </c>
      <c r="F49" s="688">
        <f t="shared" si="2"/>
        <v>1.0513067207003486E-2</v>
      </c>
      <c r="G49" s="689">
        <f t="shared" si="5"/>
        <v>150</v>
      </c>
      <c r="H49" s="690">
        <f t="shared" si="3"/>
        <v>2.8969273257498213E-3</v>
      </c>
      <c r="I49" s="172"/>
      <c r="J49" s="21"/>
      <c r="K49" s="173"/>
      <c r="M49" s="196"/>
      <c r="N49" s="13"/>
      <c r="O49" s="197"/>
      <c r="P49" s="198"/>
      <c r="Q49" s="197"/>
      <c r="R49" s="21"/>
    </row>
    <row r="50" spans="1:18">
      <c r="A50" s="179"/>
      <c r="B50" s="14"/>
      <c r="C50" s="13"/>
      <c r="D50" s="686" t="s">
        <v>592</v>
      </c>
      <c r="E50" s="687">
        <f t="shared" si="4"/>
        <v>6854372.080000001</v>
      </c>
      <c r="F50" s="688">
        <f t="shared" si="2"/>
        <v>6.8016871787216424E-3</v>
      </c>
      <c r="G50" s="689">
        <f t="shared" si="5"/>
        <v>94</v>
      </c>
      <c r="H50" s="690">
        <f t="shared" si="3"/>
        <v>1.8154077908032213E-3</v>
      </c>
      <c r="I50" s="172"/>
      <c r="J50" s="21"/>
      <c r="K50" s="173"/>
      <c r="M50" s="196"/>
      <c r="N50" s="13"/>
      <c r="O50" s="197"/>
      <c r="P50" s="198"/>
      <c r="Q50" s="197"/>
      <c r="R50" s="21"/>
    </row>
    <row r="51" spans="1:18">
      <c r="A51" s="179"/>
      <c r="B51" s="14"/>
      <c r="C51" s="13"/>
      <c r="D51" s="686" t="s">
        <v>593</v>
      </c>
      <c r="E51" s="687">
        <f t="shared" si="4"/>
        <v>16407513.019999996</v>
      </c>
      <c r="F51" s="688">
        <f t="shared" si="2"/>
        <v>1.6281399614775854E-2</v>
      </c>
      <c r="G51" s="689">
        <f t="shared" si="5"/>
        <v>219</v>
      </c>
      <c r="H51" s="690">
        <f t="shared" si="3"/>
        <v>4.2295138955947388E-3</v>
      </c>
      <c r="I51" s="172"/>
      <c r="J51" s="21"/>
      <c r="K51" s="173"/>
      <c r="M51" s="196"/>
      <c r="N51" s="13"/>
      <c r="O51" s="197"/>
      <c r="P51" s="198"/>
      <c r="Q51" s="197"/>
      <c r="R51" s="21"/>
    </row>
    <row r="52" spans="1:18">
      <c r="A52" s="179"/>
      <c r="B52" s="14"/>
      <c r="C52" s="13"/>
      <c r="D52" s="686" t="s">
        <v>594</v>
      </c>
      <c r="E52" s="687">
        <f t="shared" si="4"/>
        <v>4618303.6399999987</v>
      </c>
      <c r="F52" s="688">
        <f t="shared" si="2"/>
        <v>4.5828058776219045E-3</v>
      </c>
      <c r="G52" s="689">
        <f t="shared" si="5"/>
        <v>60</v>
      </c>
      <c r="H52" s="690">
        <f t="shared" si="3"/>
        <v>1.1587709302999286E-3</v>
      </c>
      <c r="I52" s="172"/>
      <c r="J52" s="21"/>
      <c r="K52" s="173"/>
      <c r="M52" s="196"/>
      <c r="N52" s="13"/>
      <c r="O52" s="197"/>
      <c r="P52" s="198"/>
      <c r="Q52" s="197"/>
      <c r="R52" s="21"/>
    </row>
    <row r="53" spans="1:18">
      <c r="A53" s="179"/>
      <c r="B53" s="14"/>
      <c r="C53" s="13"/>
      <c r="D53" s="686" t="s">
        <v>595</v>
      </c>
      <c r="E53" s="687">
        <f t="shared" si="4"/>
        <v>4985553.8099999996</v>
      </c>
      <c r="F53" s="688">
        <f t="shared" si="2"/>
        <v>4.9472332450770347E-3</v>
      </c>
      <c r="G53" s="689">
        <f t="shared" si="5"/>
        <v>63</v>
      </c>
      <c r="H53" s="690">
        <f t="shared" si="3"/>
        <v>1.2167094768149251E-3</v>
      </c>
      <c r="I53" s="172"/>
      <c r="J53" s="21"/>
      <c r="K53" s="173"/>
      <c r="M53" s="196"/>
      <c r="N53" s="13"/>
      <c r="O53" s="197"/>
      <c r="P53" s="198"/>
      <c r="Q53" s="197"/>
      <c r="R53" s="21"/>
    </row>
    <row r="54" spans="1:18">
      <c r="A54" s="179"/>
      <c r="B54" s="14"/>
      <c r="C54" s="13"/>
      <c r="D54" s="686" t="s">
        <v>596</v>
      </c>
      <c r="E54" s="687">
        <f t="shared" si="4"/>
        <v>4365665.459999999</v>
      </c>
      <c r="F54" s="688">
        <f t="shared" si="2"/>
        <v>4.3321095556677026E-3</v>
      </c>
      <c r="G54" s="689">
        <f t="shared" si="5"/>
        <v>54</v>
      </c>
      <c r="H54" s="690">
        <f t="shared" si="3"/>
        <v>1.0428938372699357E-3</v>
      </c>
      <c r="I54" s="172"/>
      <c r="J54" s="21"/>
      <c r="K54" s="173"/>
      <c r="M54" s="196"/>
      <c r="N54" s="13"/>
      <c r="O54" s="197"/>
      <c r="P54" s="198"/>
      <c r="Q54" s="197"/>
      <c r="R54" s="21"/>
    </row>
    <row r="55" spans="1:18">
      <c r="A55" s="179"/>
      <c r="B55" s="14"/>
      <c r="C55" s="13"/>
      <c r="D55" s="686" t="s">
        <v>597</v>
      </c>
      <c r="E55" s="687">
        <f t="shared" si="4"/>
        <v>3402555.3</v>
      </c>
      <c r="F55" s="688">
        <f t="shared" si="2"/>
        <v>3.3764021691249312E-3</v>
      </c>
      <c r="G55" s="689">
        <f t="shared" si="5"/>
        <v>41</v>
      </c>
      <c r="H55" s="690">
        <f t="shared" si="3"/>
        <v>7.9182680237161786E-4</v>
      </c>
      <c r="I55" s="172"/>
      <c r="J55" s="21"/>
      <c r="K55" s="173"/>
      <c r="M55" s="196"/>
      <c r="N55" s="13"/>
      <c r="O55" s="197"/>
      <c r="P55" s="198"/>
      <c r="Q55" s="197"/>
      <c r="R55" s="21"/>
    </row>
    <row r="56" spans="1:18">
      <c r="A56" s="179"/>
      <c r="B56" s="14"/>
      <c r="C56" s="13"/>
      <c r="D56" s="686" t="s">
        <v>598</v>
      </c>
      <c r="E56" s="687">
        <f t="shared" si="4"/>
        <v>3994854.2800000003</v>
      </c>
      <c r="F56" s="688">
        <f t="shared" si="2"/>
        <v>3.9641485492770733E-3</v>
      </c>
      <c r="G56" s="689">
        <f t="shared" si="5"/>
        <v>47</v>
      </c>
      <c r="H56" s="690">
        <f t="shared" si="3"/>
        <v>9.0770389540161065E-4</v>
      </c>
      <c r="I56" s="172"/>
      <c r="J56" s="21"/>
      <c r="K56" s="173"/>
      <c r="M56" s="196"/>
      <c r="N56" s="13"/>
      <c r="O56" s="197"/>
      <c r="P56" s="198"/>
      <c r="Q56" s="197"/>
      <c r="R56" s="21"/>
    </row>
    <row r="57" spans="1:18">
      <c r="A57" s="179"/>
      <c r="B57" s="14"/>
      <c r="C57" s="13"/>
      <c r="D57" s="686" t="s">
        <v>599</v>
      </c>
      <c r="E57" s="687">
        <f t="shared" si="4"/>
        <v>3219301.5700000003</v>
      </c>
      <c r="F57" s="688">
        <f t="shared" si="2"/>
        <v>3.1945569860437825E-3</v>
      </c>
      <c r="G57" s="689">
        <f t="shared" si="5"/>
        <v>37</v>
      </c>
      <c r="H57" s="690">
        <f t="shared" si="3"/>
        <v>7.1457540701828925E-4</v>
      </c>
      <c r="I57" s="172"/>
      <c r="J57" s="21"/>
      <c r="K57" s="173"/>
      <c r="M57" s="196"/>
      <c r="N57" s="13"/>
      <c r="O57" s="197"/>
      <c r="P57" s="198"/>
      <c r="Q57" s="197"/>
      <c r="R57" s="21"/>
    </row>
    <row r="58" spans="1:18">
      <c r="A58" s="179"/>
      <c r="B58" s="14"/>
      <c r="C58" s="13"/>
      <c r="D58" s="686" t="s">
        <v>600</v>
      </c>
      <c r="E58" s="687">
        <f t="shared" si="4"/>
        <v>3024336.9699999997</v>
      </c>
      <c r="F58" s="688">
        <f t="shared" si="2"/>
        <v>3.0010909464638887E-3</v>
      </c>
      <c r="G58" s="689">
        <f t="shared" si="5"/>
        <v>34</v>
      </c>
      <c r="H58" s="690">
        <f t="shared" si="3"/>
        <v>6.566368605032928E-4</v>
      </c>
      <c r="I58" s="172"/>
      <c r="J58" s="21"/>
      <c r="K58" s="173"/>
      <c r="M58" s="196"/>
      <c r="N58" s="13"/>
      <c r="O58" s="197"/>
      <c r="P58" s="198"/>
      <c r="Q58" s="197"/>
      <c r="R58" s="21"/>
    </row>
    <row r="59" spans="1:18">
      <c r="A59" s="179"/>
      <c r="B59" s="14"/>
      <c r="C59" s="13"/>
      <c r="D59" s="686" t="s">
        <v>601</v>
      </c>
      <c r="E59" s="687">
        <f t="shared" si="4"/>
        <v>727199.87</v>
      </c>
      <c r="F59" s="688">
        <f t="shared" si="2"/>
        <v>7.2161037866316769E-4</v>
      </c>
      <c r="G59" s="689">
        <f t="shared" si="5"/>
        <v>8</v>
      </c>
      <c r="H59" s="690">
        <f t="shared" si="3"/>
        <v>1.5450279070665715E-4</v>
      </c>
      <c r="I59" s="172"/>
      <c r="J59" s="21"/>
      <c r="K59" s="173"/>
      <c r="M59" s="196"/>
      <c r="N59" s="13"/>
      <c r="O59" s="197"/>
      <c r="P59" s="198"/>
      <c r="Q59" s="197"/>
      <c r="R59" s="21"/>
    </row>
    <row r="60" spans="1:18">
      <c r="A60" s="179"/>
      <c r="B60" s="14"/>
      <c r="C60" s="13"/>
      <c r="D60" s="686" t="s">
        <v>602</v>
      </c>
      <c r="E60" s="687">
        <f t="shared" si="4"/>
        <v>747272.21</v>
      </c>
      <c r="F60" s="688">
        <f t="shared" si="2"/>
        <v>7.4152843622285317E-4</v>
      </c>
      <c r="G60" s="689">
        <f t="shared" si="5"/>
        <v>8</v>
      </c>
      <c r="H60" s="690">
        <f t="shared" si="3"/>
        <v>1.5450279070665715E-4</v>
      </c>
      <c r="I60" s="172"/>
      <c r="J60" s="21"/>
      <c r="K60" s="173"/>
      <c r="M60" s="196"/>
      <c r="N60" s="13"/>
      <c r="O60" s="197"/>
      <c r="P60" s="198"/>
      <c r="Q60" s="197"/>
      <c r="R60" s="21"/>
    </row>
    <row r="61" spans="1:18">
      <c r="A61" s="179"/>
      <c r="B61" s="14"/>
      <c r="C61" s="13"/>
      <c r="D61" s="686" t="s">
        <v>603</v>
      </c>
      <c r="E61" s="687">
        <f t="shared" si="4"/>
        <v>378108.69999999995</v>
      </c>
      <c r="F61" s="688">
        <f t="shared" si="2"/>
        <v>3.7520243531236882E-4</v>
      </c>
      <c r="G61" s="689">
        <f t="shared" si="5"/>
        <v>4</v>
      </c>
      <c r="H61" s="690">
        <f t="shared" si="3"/>
        <v>7.7251395353328576E-5</v>
      </c>
      <c r="I61" s="172"/>
      <c r="J61" s="21"/>
      <c r="K61" s="173"/>
      <c r="M61" s="196"/>
      <c r="N61" s="13"/>
      <c r="O61" s="197"/>
      <c r="P61" s="198"/>
      <c r="Q61" s="197"/>
      <c r="R61" s="21"/>
    </row>
    <row r="62" spans="1:18">
      <c r="A62" s="179"/>
      <c r="B62" s="14"/>
      <c r="C62" s="13"/>
      <c r="D62" s="686" t="s">
        <v>604</v>
      </c>
      <c r="E62" s="687">
        <f t="shared" si="4"/>
        <v>484922.52</v>
      </c>
      <c r="F62" s="688">
        <f t="shared" si="2"/>
        <v>4.8119525004796483E-4</v>
      </c>
      <c r="G62" s="689">
        <f t="shared" si="5"/>
        <v>5</v>
      </c>
      <c r="H62" s="690">
        <f t="shared" si="3"/>
        <v>9.6564244191660713E-5</v>
      </c>
      <c r="I62" s="172"/>
      <c r="J62" s="21"/>
      <c r="K62" s="173"/>
      <c r="M62" s="196"/>
      <c r="N62" s="13"/>
      <c r="O62" s="197"/>
      <c r="P62" s="198"/>
      <c r="Q62" s="197"/>
      <c r="R62" s="21"/>
    </row>
    <row r="63" spans="1:18">
      <c r="A63" s="179"/>
      <c r="B63" s="14"/>
      <c r="C63" s="13"/>
      <c r="D63" s="686" t="s">
        <v>605</v>
      </c>
      <c r="E63" s="687">
        <f t="shared" si="4"/>
        <v>398552.41000000003</v>
      </c>
      <c r="F63" s="688">
        <f t="shared" si="2"/>
        <v>3.9548900840317541E-4</v>
      </c>
      <c r="G63" s="689">
        <f t="shared" si="5"/>
        <v>4</v>
      </c>
      <c r="H63" s="690">
        <f t="shared" si="3"/>
        <v>7.7251395353328576E-5</v>
      </c>
      <c r="I63" s="172"/>
      <c r="J63" s="21"/>
      <c r="K63" s="173"/>
      <c r="M63" s="196"/>
      <c r="N63" s="13"/>
      <c r="O63" s="197"/>
      <c r="P63" s="198"/>
      <c r="Q63" s="197"/>
      <c r="R63" s="21"/>
    </row>
    <row r="64" spans="1:18" ht="13" thickBot="1">
      <c r="A64" s="179"/>
      <c r="B64" s="14"/>
      <c r="C64" s="13"/>
      <c r="D64" s="686" t="s">
        <v>606</v>
      </c>
      <c r="E64" s="687">
        <f t="shared" si="4"/>
        <v>1013065.96</v>
      </c>
      <c r="F64" s="688">
        <f t="shared" si="2"/>
        <v>1.005279210248436E-3</v>
      </c>
      <c r="G64" s="689">
        <f t="shared" si="5"/>
        <v>9</v>
      </c>
      <c r="H64" s="690">
        <f t="shared" si="3"/>
        <v>1.7381563954498928E-4</v>
      </c>
      <c r="I64" s="172"/>
      <c r="J64" s="21"/>
      <c r="K64" s="173"/>
      <c r="M64" s="196"/>
      <c r="N64" s="13"/>
      <c r="O64" s="197"/>
      <c r="P64" s="198"/>
      <c r="Q64" s="197"/>
      <c r="R64" s="21"/>
    </row>
    <row r="65" spans="1:18" ht="14" thickTop="1" thickBot="1">
      <c r="A65" s="179"/>
      <c r="B65" s="203"/>
      <c r="C65" s="232"/>
      <c r="D65" s="694" t="s">
        <v>36</v>
      </c>
      <c r="E65" s="695">
        <f>SUM(E14:E64)</f>
        <v>1007745857.7399999</v>
      </c>
      <c r="F65" s="696">
        <f>SUM(F14:F64)</f>
        <v>1.0000000000000004</v>
      </c>
      <c r="G65" s="697">
        <f>SUM(G14:G64)</f>
        <v>51779</v>
      </c>
      <c r="H65" s="698">
        <f>SUM(H14:H64)</f>
        <v>1</v>
      </c>
      <c r="I65" s="172"/>
      <c r="J65" s="21"/>
      <c r="K65" s="173"/>
      <c r="M65" s="699"/>
      <c r="N65" s="700"/>
      <c r="O65" s="701"/>
      <c r="P65" s="702"/>
      <c r="Q65" s="701"/>
      <c r="R65" s="21"/>
    </row>
    <row r="66" spans="1:18" ht="13">
      <c r="A66" s="179"/>
      <c r="B66" s="203"/>
      <c r="C66" s="232"/>
      <c r="D66" s="699"/>
      <c r="E66" s="700"/>
      <c r="F66" s="701"/>
      <c r="G66" s="702"/>
      <c r="H66" s="701"/>
      <c r="I66" s="172"/>
      <c r="J66" s="21"/>
      <c r="K66" s="173"/>
      <c r="M66" s="699"/>
      <c r="N66" s="700"/>
      <c r="O66" s="701"/>
      <c r="P66" s="702"/>
      <c r="Q66" s="701"/>
      <c r="R66" s="21"/>
    </row>
    <row r="67" spans="1:18" ht="13">
      <c r="A67" s="179"/>
      <c r="B67" s="203"/>
      <c r="C67" s="232"/>
      <c r="D67" s="699"/>
      <c r="E67" s="700"/>
      <c r="F67" s="701"/>
      <c r="G67" s="702"/>
      <c r="H67" s="701"/>
      <c r="I67" s="172"/>
      <c r="J67" s="21"/>
      <c r="K67" s="173"/>
      <c r="M67" s="699"/>
      <c r="N67" s="700"/>
      <c r="O67" s="701"/>
      <c r="P67" s="702"/>
      <c r="Q67" s="701"/>
      <c r="R67" s="21"/>
    </row>
    <row r="68" spans="1:18" ht="13.5" thickBot="1">
      <c r="A68" s="179"/>
      <c r="B68" s="209"/>
      <c r="C68" s="232"/>
      <c r="D68" s="575" t="s">
        <v>69</v>
      </c>
      <c r="E68" s="575" t="s">
        <v>59</v>
      </c>
      <c r="F68" s="101"/>
      <c r="G68" s="101"/>
      <c r="H68" s="101"/>
      <c r="I68" s="172"/>
      <c r="J68" s="21"/>
      <c r="K68" s="173"/>
      <c r="M68" s="508"/>
      <c r="N68" s="508"/>
      <c r="O68" s="21"/>
      <c r="P68" s="21"/>
      <c r="Q68" s="21"/>
      <c r="R68" s="21"/>
    </row>
    <row r="69" spans="1:18" ht="13" thickBot="1">
      <c r="A69" s="179"/>
      <c r="B69" s="209"/>
      <c r="C69" s="232"/>
      <c r="D69" s="515" t="s">
        <v>60</v>
      </c>
      <c r="E69" s="516">
        <f>E65/G65</f>
        <v>19462.443417987986</v>
      </c>
      <c r="F69" s="101"/>
      <c r="G69" s="101"/>
      <c r="H69" s="101"/>
      <c r="I69" s="172"/>
      <c r="J69" s="21"/>
      <c r="K69" s="173"/>
      <c r="M69" s="203"/>
      <c r="N69" s="232"/>
      <c r="O69" s="21"/>
      <c r="P69" s="21"/>
      <c r="Q69" s="21"/>
      <c r="R69" s="21"/>
    </row>
    <row r="70" spans="1:18">
      <c r="A70" s="179"/>
      <c r="B70" s="21"/>
      <c r="I70" s="496"/>
      <c r="J70" s="21"/>
      <c r="K70" s="173"/>
      <c r="M70" s="21"/>
      <c r="N70" s="21"/>
      <c r="O70" s="21"/>
      <c r="P70" s="21"/>
      <c r="Q70" s="21"/>
      <c r="R70" s="21"/>
    </row>
    <row r="71" spans="1:18">
      <c r="A71" s="194"/>
      <c r="B71" s="50"/>
      <c r="C71" s="50"/>
      <c r="D71" s="50"/>
      <c r="E71" s="50"/>
      <c r="F71" s="50"/>
      <c r="G71" s="50"/>
      <c r="H71" s="50"/>
      <c r="I71" s="389"/>
      <c r="J71" s="50"/>
      <c r="K71" s="195"/>
      <c r="M71" s="21"/>
      <c r="N71" s="21"/>
      <c r="O71" s="21"/>
      <c r="P71" s="21"/>
      <c r="Q71" s="21"/>
      <c r="R71" s="21"/>
    </row>
    <row r="72" spans="1:18">
      <c r="I72" s="496"/>
      <c r="M72" s="21"/>
      <c r="N72" s="21"/>
      <c r="O72" s="21"/>
      <c r="P72" s="21"/>
      <c r="Q72" s="21"/>
      <c r="R72" s="21"/>
    </row>
    <row r="73" spans="1:18">
      <c r="I73" s="496"/>
      <c r="M73" s="21"/>
      <c r="N73" s="21"/>
      <c r="O73" s="21"/>
      <c r="P73" s="21"/>
      <c r="Q73" s="21"/>
      <c r="R73" s="21"/>
    </row>
    <row r="74" spans="1:18">
      <c r="I74" s="496"/>
      <c r="M74" s="21"/>
      <c r="N74" s="21"/>
      <c r="O74" s="21"/>
      <c r="P74" s="21"/>
      <c r="Q74" s="21"/>
      <c r="R74" s="21"/>
    </row>
    <row r="75" spans="1:18">
      <c r="I75" s="496"/>
      <c r="M75" s="21"/>
      <c r="N75" s="21"/>
      <c r="O75" s="21"/>
      <c r="P75" s="21"/>
      <c r="Q75" s="21"/>
      <c r="R75" s="21"/>
    </row>
    <row r="76" spans="1:18">
      <c r="I76" s="496"/>
      <c r="M76" s="21"/>
      <c r="N76" s="21"/>
      <c r="O76" s="21"/>
      <c r="P76" s="21"/>
      <c r="Q76" s="21"/>
      <c r="R76" s="21"/>
    </row>
    <row r="77" spans="1:18">
      <c r="I77" s="496"/>
      <c r="M77" s="21"/>
      <c r="N77" s="21"/>
      <c r="O77" s="21"/>
      <c r="P77" s="21"/>
      <c r="Q77" s="21"/>
      <c r="R77" s="21"/>
    </row>
    <row r="78" spans="1:18">
      <c r="I78" s="496"/>
      <c r="M78" s="21"/>
      <c r="N78" s="21"/>
      <c r="O78" s="21"/>
      <c r="P78" s="21"/>
      <c r="Q78" s="21"/>
      <c r="R78" s="21"/>
    </row>
    <row r="79" spans="1:18">
      <c r="I79" s="496"/>
      <c r="M79" s="21"/>
      <c r="N79" s="21"/>
      <c r="O79" s="21"/>
      <c r="P79" s="21"/>
      <c r="Q79" s="21"/>
      <c r="R79" s="21"/>
    </row>
    <row r="80" spans="1:18">
      <c r="I80" s="496"/>
      <c r="M80" s="21"/>
      <c r="N80" s="21"/>
      <c r="O80" s="21"/>
      <c r="P80" s="21"/>
      <c r="Q80" s="21"/>
      <c r="R80" s="21"/>
    </row>
    <row r="81" spans="9:18">
      <c r="I81" s="496"/>
      <c r="M81" s="21"/>
      <c r="N81" s="21"/>
      <c r="O81" s="21"/>
      <c r="P81" s="21"/>
      <c r="Q81" s="21"/>
      <c r="R81" s="21"/>
    </row>
    <row r="82" spans="9:18">
      <c r="I82" s="496"/>
      <c r="M82" s="21"/>
      <c r="N82" s="21"/>
      <c r="O82" s="21"/>
      <c r="P82" s="21"/>
      <c r="Q82" s="21"/>
      <c r="R82" s="21"/>
    </row>
    <row r="83" spans="9:18">
      <c r="I83" s="496"/>
      <c r="M83" s="21"/>
      <c r="N83" s="21"/>
      <c r="O83" s="21"/>
      <c r="P83" s="21"/>
      <c r="Q83" s="21"/>
      <c r="R83" s="21"/>
    </row>
    <row r="84" spans="9:18">
      <c r="I84" s="496"/>
      <c r="M84" s="21"/>
      <c r="N84" s="21"/>
      <c r="O84" s="21"/>
      <c r="P84" s="21"/>
      <c r="Q84" s="21"/>
      <c r="R84" s="21"/>
    </row>
    <row r="85" spans="9:18">
      <c r="I85" s="496"/>
      <c r="M85" s="21"/>
      <c r="N85" s="21"/>
      <c r="O85" s="21"/>
      <c r="P85" s="21"/>
      <c r="Q85" s="21"/>
      <c r="R85" s="21"/>
    </row>
    <row r="86" spans="9:18">
      <c r="I86" s="496"/>
      <c r="M86" s="21"/>
      <c r="N86" s="21"/>
      <c r="O86" s="21"/>
      <c r="P86" s="21"/>
      <c r="Q86" s="21"/>
      <c r="R86" s="21"/>
    </row>
    <row r="87" spans="9:18">
      <c r="I87" s="496"/>
      <c r="M87" s="21"/>
      <c r="N87" s="21"/>
      <c r="O87" s="21"/>
      <c r="P87" s="21"/>
      <c r="Q87" s="21"/>
      <c r="R87" s="21"/>
    </row>
    <row r="88" spans="9:18">
      <c r="I88" s="496"/>
      <c r="M88" s="21"/>
      <c r="N88" s="21"/>
      <c r="O88" s="21"/>
      <c r="P88" s="21"/>
      <c r="Q88" s="21"/>
      <c r="R88" s="21"/>
    </row>
    <row r="89" spans="9:18">
      <c r="I89" s="496"/>
      <c r="M89" s="21"/>
      <c r="N89" s="21"/>
      <c r="O89" s="21"/>
      <c r="P89" s="21"/>
      <c r="Q89" s="21"/>
      <c r="R89" s="21"/>
    </row>
    <row r="90" spans="9:18">
      <c r="I90" s="496"/>
      <c r="M90" s="21"/>
      <c r="N90" s="21"/>
      <c r="O90" s="21"/>
      <c r="P90" s="21"/>
      <c r="Q90" s="21"/>
      <c r="R90" s="21"/>
    </row>
    <row r="91" spans="9:18">
      <c r="I91" s="496"/>
      <c r="M91" s="21"/>
      <c r="N91" s="21"/>
      <c r="O91" s="21"/>
      <c r="P91" s="21"/>
      <c r="Q91" s="21"/>
      <c r="R91" s="21"/>
    </row>
    <row r="92" spans="9:18">
      <c r="I92" s="496"/>
      <c r="M92" s="21"/>
      <c r="N92" s="21"/>
      <c r="O92" s="21"/>
      <c r="P92" s="21"/>
      <c r="Q92" s="21"/>
      <c r="R92" s="21"/>
    </row>
    <row r="93" spans="9:18">
      <c r="I93" s="496"/>
      <c r="M93" s="21"/>
      <c r="N93" s="21"/>
      <c r="O93" s="21"/>
      <c r="P93" s="21"/>
      <c r="Q93" s="21"/>
      <c r="R93" s="21"/>
    </row>
    <row r="94" spans="9:18">
      <c r="I94" s="496"/>
      <c r="M94" s="21"/>
      <c r="N94" s="21"/>
      <c r="O94" s="21"/>
      <c r="P94" s="21"/>
      <c r="Q94" s="21"/>
      <c r="R94" s="21"/>
    </row>
    <row r="95" spans="9:18">
      <c r="I95" s="496"/>
      <c r="M95" s="21"/>
      <c r="N95" s="21"/>
      <c r="O95" s="21"/>
      <c r="P95" s="21"/>
      <c r="Q95" s="21"/>
      <c r="R95" s="21"/>
    </row>
    <row r="96" spans="9:18">
      <c r="I96" s="496"/>
      <c r="M96" s="21"/>
      <c r="N96" s="21"/>
      <c r="O96" s="21"/>
      <c r="P96" s="21"/>
      <c r="Q96" s="21"/>
      <c r="R96" s="21"/>
    </row>
    <row r="97" spans="9:18">
      <c r="I97" s="496"/>
      <c r="M97" s="21"/>
      <c r="N97" s="21"/>
      <c r="O97" s="21"/>
      <c r="P97" s="21"/>
      <c r="Q97" s="21"/>
      <c r="R97" s="21"/>
    </row>
    <row r="98" spans="9:18">
      <c r="I98" s="496"/>
      <c r="M98" s="21"/>
      <c r="N98" s="21"/>
      <c r="O98" s="21"/>
      <c r="P98" s="21"/>
      <c r="Q98" s="21"/>
      <c r="R98" s="21"/>
    </row>
    <row r="99" spans="9:18">
      <c r="I99" s="496"/>
      <c r="M99" s="21"/>
      <c r="N99" s="21"/>
      <c r="O99" s="21"/>
      <c r="P99" s="21"/>
      <c r="Q99" s="21"/>
      <c r="R99" s="21"/>
    </row>
    <row r="100" spans="9:18">
      <c r="I100" s="496"/>
      <c r="M100" s="21"/>
      <c r="N100" s="21"/>
      <c r="O100" s="21"/>
      <c r="P100" s="21"/>
      <c r="Q100" s="21"/>
      <c r="R100" s="21"/>
    </row>
    <row r="101" spans="9:18">
      <c r="I101" s="496"/>
      <c r="M101" s="21"/>
      <c r="N101" s="21"/>
      <c r="O101" s="21"/>
      <c r="P101" s="21"/>
      <c r="Q101" s="21"/>
      <c r="R101" s="21"/>
    </row>
    <row r="102" spans="9:18">
      <c r="I102" s="496"/>
      <c r="M102" s="21"/>
      <c r="N102" s="21"/>
      <c r="O102" s="21"/>
      <c r="P102" s="21"/>
      <c r="Q102" s="21"/>
      <c r="R102" s="21"/>
    </row>
    <row r="103" spans="9:18">
      <c r="I103" s="496"/>
      <c r="M103" s="21"/>
      <c r="N103" s="21"/>
      <c r="O103" s="21"/>
      <c r="P103" s="21"/>
      <c r="Q103" s="21"/>
      <c r="R103" s="21"/>
    </row>
    <row r="104" spans="9:18">
      <c r="I104" s="496"/>
      <c r="M104" s="21"/>
      <c r="N104" s="21"/>
      <c r="O104" s="21"/>
      <c r="P104" s="21"/>
      <c r="Q104" s="21"/>
      <c r="R104" s="21"/>
    </row>
    <row r="105" spans="9:18">
      <c r="I105" s="496"/>
      <c r="M105" s="21"/>
      <c r="N105" s="21"/>
      <c r="O105" s="21"/>
      <c r="P105" s="21"/>
      <c r="Q105" s="21"/>
      <c r="R105" s="21"/>
    </row>
    <row r="106" spans="9:18">
      <c r="I106" s="496"/>
      <c r="M106" s="21"/>
      <c r="N106" s="21"/>
      <c r="O106" s="21"/>
      <c r="P106" s="21"/>
      <c r="Q106" s="21"/>
      <c r="R106" s="21"/>
    </row>
    <row r="107" spans="9:18">
      <c r="I107" s="496"/>
      <c r="M107" s="21"/>
      <c r="N107" s="21"/>
      <c r="O107" s="21"/>
      <c r="P107" s="21"/>
      <c r="Q107" s="21"/>
      <c r="R107" s="21"/>
    </row>
    <row r="108" spans="9:18">
      <c r="I108" s="496"/>
      <c r="M108" s="21"/>
      <c r="N108" s="21"/>
      <c r="O108" s="21"/>
      <c r="P108" s="21"/>
      <c r="Q108" s="21"/>
      <c r="R108" s="21"/>
    </row>
    <row r="109" spans="9:18">
      <c r="I109" s="496"/>
      <c r="M109" s="21"/>
      <c r="N109" s="21"/>
      <c r="O109" s="21"/>
      <c r="P109" s="21"/>
      <c r="Q109" s="21"/>
      <c r="R109" s="21"/>
    </row>
    <row r="110" spans="9:18">
      <c r="I110" s="496"/>
      <c r="M110" s="21"/>
      <c r="N110" s="21"/>
      <c r="O110" s="21"/>
      <c r="P110" s="21"/>
      <c r="Q110" s="21"/>
      <c r="R110" s="21"/>
    </row>
    <row r="111" spans="9:18">
      <c r="I111" s="496"/>
      <c r="M111" s="21"/>
      <c r="N111" s="21"/>
      <c r="O111" s="21"/>
      <c r="P111" s="21"/>
      <c r="Q111" s="21"/>
      <c r="R111" s="21"/>
    </row>
    <row r="112" spans="9:18">
      <c r="I112" s="496"/>
      <c r="M112" s="21"/>
      <c r="N112" s="21"/>
      <c r="O112" s="21"/>
      <c r="P112" s="21"/>
      <c r="Q112" s="21"/>
      <c r="R112" s="21"/>
    </row>
    <row r="113" spans="9:18">
      <c r="I113" s="496"/>
      <c r="M113" s="21"/>
      <c r="N113" s="21"/>
      <c r="O113" s="21"/>
      <c r="P113" s="21"/>
      <c r="Q113" s="21"/>
      <c r="R113" s="21"/>
    </row>
    <row r="114" spans="9:18">
      <c r="I114" s="496"/>
      <c r="M114" s="21"/>
      <c r="N114" s="21"/>
      <c r="O114" s="21"/>
      <c r="P114" s="21"/>
      <c r="Q114" s="21"/>
      <c r="R114" s="21"/>
    </row>
    <row r="115" spans="9:18">
      <c r="I115" s="496"/>
      <c r="M115" s="21"/>
      <c r="N115" s="21"/>
      <c r="O115" s="21"/>
      <c r="P115" s="21"/>
      <c r="Q115" s="21"/>
      <c r="R115" s="21"/>
    </row>
    <row r="116" spans="9:18">
      <c r="I116" s="496"/>
      <c r="M116" s="21"/>
      <c r="N116" s="21"/>
      <c r="O116" s="21"/>
      <c r="P116" s="21"/>
      <c r="Q116" s="21"/>
      <c r="R116" s="21"/>
    </row>
    <row r="117" spans="9:18">
      <c r="I117" s="496"/>
      <c r="M117" s="21"/>
      <c r="N117" s="21"/>
      <c r="O117" s="21"/>
      <c r="P117" s="21"/>
      <c r="Q117" s="21"/>
      <c r="R117" s="21"/>
    </row>
    <row r="118" spans="9:18">
      <c r="I118" s="496"/>
      <c r="M118" s="21"/>
      <c r="N118" s="21"/>
      <c r="O118" s="21"/>
      <c r="P118" s="21"/>
      <c r="Q118" s="21"/>
      <c r="R118" s="21"/>
    </row>
    <row r="119" spans="9:18">
      <c r="I119" s="496"/>
      <c r="M119" s="21"/>
      <c r="N119" s="21"/>
      <c r="O119" s="21"/>
      <c r="P119" s="21"/>
      <c r="Q119" s="21"/>
      <c r="R119" s="21"/>
    </row>
    <row r="120" spans="9:18">
      <c r="I120" s="496"/>
      <c r="M120" s="21"/>
      <c r="N120" s="21"/>
      <c r="O120" s="21"/>
      <c r="P120" s="21"/>
      <c r="Q120" s="21"/>
      <c r="R120" s="21"/>
    </row>
    <row r="121" spans="9:18">
      <c r="I121" s="496"/>
      <c r="M121" s="21"/>
      <c r="N121" s="21"/>
      <c r="O121" s="21"/>
      <c r="P121" s="21"/>
      <c r="Q121" s="21"/>
      <c r="R121" s="21"/>
    </row>
    <row r="122" spans="9:18">
      <c r="I122" s="496"/>
      <c r="M122" s="21"/>
      <c r="N122" s="21"/>
      <c r="O122" s="21"/>
      <c r="P122" s="21"/>
      <c r="Q122" s="21"/>
      <c r="R122" s="21"/>
    </row>
    <row r="123" spans="9:18">
      <c r="I123" s="496"/>
      <c r="M123" s="21"/>
      <c r="N123" s="21"/>
      <c r="O123" s="21"/>
      <c r="P123" s="21"/>
      <c r="Q123" s="21"/>
      <c r="R123" s="21"/>
    </row>
    <row r="124" spans="9:18">
      <c r="I124" s="496"/>
      <c r="M124" s="21"/>
      <c r="N124" s="21"/>
      <c r="O124" s="21"/>
      <c r="P124" s="21"/>
      <c r="Q124" s="21"/>
      <c r="R124" s="21"/>
    </row>
    <row r="125" spans="9:18">
      <c r="I125" s="496"/>
      <c r="M125" s="21"/>
      <c r="N125" s="21"/>
      <c r="O125" s="21"/>
      <c r="P125" s="21"/>
      <c r="Q125" s="21"/>
      <c r="R125" s="21"/>
    </row>
    <row r="126" spans="9:18">
      <c r="I126" s="496"/>
      <c r="M126" s="21"/>
      <c r="N126" s="21"/>
      <c r="O126" s="21"/>
      <c r="P126" s="21"/>
      <c r="Q126" s="21"/>
      <c r="R126" s="21"/>
    </row>
    <row r="127" spans="9:18">
      <c r="I127" s="496"/>
      <c r="M127" s="21"/>
      <c r="N127" s="21"/>
      <c r="O127" s="21"/>
      <c r="P127" s="21"/>
      <c r="Q127" s="21"/>
      <c r="R127" s="21"/>
    </row>
    <row r="128" spans="9:18">
      <c r="I128" s="496"/>
      <c r="M128" s="21"/>
      <c r="N128" s="21"/>
      <c r="O128" s="21"/>
      <c r="P128" s="21"/>
      <c r="Q128" s="21"/>
      <c r="R128" s="21"/>
    </row>
    <row r="129" spans="9:18">
      <c r="I129" s="496"/>
      <c r="M129" s="21"/>
      <c r="N129" s="21"/>
      <c r="O129" s="21"/>
      <c r="P129" s="21"/>
      <c r="Q129" s="21"/>
      <c r="R129" s="21"/>
    </row>
    <row r="130" spans="9:18">
      <c r="I130" s="496"/>
      <c r="M130" s="21"/>
      <c r="N130" s="21"/>
      <c r="O130" s="21"/>
      <c r="P130" s="21"/>
      <c r="Q130" s="21"/>
      <c r="R130" s="21"/>
    </row>
    <row r="131" spans="9:18">
      <c r="I131" s="496"/>
      <c r="M131" s="21"/>
      <c r="N131" s="21"/>
      <c r="O131" s="21"/>
      <c r="P131" s="21"/>
      <c r="Q131" s="21"/>
      <c r="R131" s="21"/>
    </row>
    <row r="132" spans="9:18">
      <c r="I132" s="496"/>
      <c r="M132" s="21"/>
      <c r="N132" s="21"/>
      <c r="O132" s="21"/>
      <c r="P132" s="21"/>
      <c r="Q132" s="21"/>
      <c r="R132" s="21"/>
    </row>
    <row r="133" spans="9:18">
      <c r="I133" s="496"/>
      <c r="M133" s="21"/>
      <c r="N133" s="21"/>
      <c r="O133" s="21"/>
      <c r="P133" s="21"/>
      <c r="Q133" s="21"/>
      <c r="R133" s="21"/>
    </row>
    <row r="134" spans="9:18">
      <c r="I134" s="496"/>
      <c r="M134" s="21"/>
      <c r="N134" s="21"/>
      <c r="O134" s="21"/>
      <c r="P134" s="21"/>
      <c r="Q134" s="21"/>
      <c r="R134" s="21"/>
    </row>
    <row r="135" spans="9:18">
      <c r="I135" s="496"/>
      <c r="M135" s="21"/>
      <c r="N135" s="21"/>
      <c r="O135" s="21"/>
      <c r="P135" s="21"/>
      <c r="Q135" s="21"/>
      <c r="R135" s="21"/>
    </row>
    <row r="136" spans="9:18">
      <c r="I136" s="496"/>
      <c r="M136" s="21"/>
      <c r="N136" s="21"/>
      <c r="O136" s="21"/>
      <c r="P136" s="21"/>
      <c r="Q136" s="21"/>
      <c r="R136" s="21"/>
    </row>
    <row r="137" spans="9:18">
      <c r="I137" s="496"/>
      <c r="M137" s="21"/>
      <c r="N137" s="21"/>
      <c r="O137" s="21"/>
      <c r="P137" s="21"/>
      <c r="Q137" s="21"/>
      <c r="R137" s="21"/>
    </row>
    <row r="138" spans="9:18">
      <c r="I138" s="496"/>
      <c r="M138" s="21"/>
      <c r="N138" s="21"/>
      <c r="O138" s="21"/>
      <c r="P138" s="21"/>
      <c r="Q138" s="21"/>
      <c r="R138" s="21"/>
    </row>
    <row r="139" spans="9:18">
      <c r="I139" s="496"/>
      <c r="M139" s="21"/>
      <c r="N139" s="21"/>
      <c r="O139" s="21"/>
      <c r="P139" s="21"/>
      <c r="Q139" s="21"/>
      <c r="R139" s="21"/>
    </row>
    <row r="140" spans="9:18">
      <c r="I140" s="496"/>
      <c r="M140" s="21"/>
      <c r="N140" s="21"/>
      <c r="O140" s="21"/>
      <c r="P140" s="21"/>
      <c r="Q140" s="21"/>
      <c r="R140" s="21"/>
    </row>
    <row r="141" spans="9:18">
      <c r="I141" s="496"/>
      <c r="M141" s="21"/>
      <c r="N141" s="21"/>
      <c r="O141" s="21"/>
      <c r="P141" s="21"/>
      <c r="Q141" s="21"/>
      <c r="R141" s="21"/>
    </row>
    <row r="142" spans="9:18">
      <c r="I142" s="496"/>
      <c r="M142" s="21"/>
      <c r="N142" s="21"/>
      <c r="O142" s="21"/>
      <c r="P142" s="21"/>
      <c r="Q142" s="21"/>
      <c r="R142" s="21"/>
    </row>
    <row r="143" spans="9:18">
      <c r="I143" s="496"/>
      <c r="M143" s="21"/>
      <c r="N143" s="21"/>
      <c r="O143" s="21"/>
      <c r="P143" s="21"/>
      <c r="Q143" s="21"/>
      <c r="R143" s="21"/>
    </row>
    <row r="144" spans="9:18">
      <c r="I144" s="496"/>
      <c r="M144" s="21"/>
      <c r="N144" s="21"/>
      <c r="O144" s="21"/>
      <c r="P144" s="21"/>
      <c r="Q144" s="21"/>
      <c r="R144" s="21"/>
    </row>
    <row r="145" spans="9:18">
      <c r="I145" s="496"/>
      <c r="M145" s="21"/>
      <c r="N145" s="21"/>
      <c r="O145" s="21"/>
      <c r="P145" s="21"/>
      <c r="Q145" s="21"/>
      <c r="R145" s="21"/>
    </row>
    <row r="146" spans="9:18">
      <c r="I146" s="496"/>
      <c r="M146" s="21"/>
      <c r="N146" s="21"/>
      <c r="O146" s="21"/>
      <c r="P146" s="21"/>
      <c r="Q146" s="21"/>
      <c r="R146" s="21"/>
    </row>
    <row r="147" spans="9:18">
      <c r="I147" s="496"/>
      <c r="M147" s="21"/>
      <c r="N147" s="21"/>
      <c r="O147" s="21"/>
      <c r="P147" s="21"/>
      <c r="Q147" s="21"/>
      <c r="R147" s="21"/>
    </row>
    <row r="148" spans="9:18">
      <c r="I148" s="496"/>
      <c r="M148" s="21"/>
      <c r="N148" s="21"/>
      <c r="O148" s="21"/>
      <c r="P148" s="21"/>
      <c r="Q148" s="21"/>
      <c r="R148" s="21"/>
    </row>
    <row r="149" spans="9:18">
      <c r="I149" s="496"/>
      <c r="M149" s="21"/>
      <c r="N149" s="21"/>
      <c r="O149" s="21"/>
      <c r="P149" s="21"/>
      <c r="Q149" s="21"/>
      <c r="R149" s="21"/>
    </row>
    <row r="150" spans="9:18">
      <c r="I150" s="496"/>
      <c r="M150" s="21"/>
      <c r="N150" s="21"/>
      <c r="O150" s="21"/>
      <c r="P150" s="21"/>
      <c r="Q150" s="21"/>
      <c r="R150" s="21"/>
    </row>
    <row r="151" spans="9:18">
      <c r="I151" s="496"/>
      <c r="M151" s="21"/>
      <c r="N151" s="21"/>
      <c r="O151" s="21"/>
      <c r="P151" s="21"/>
      <c r="Q151" s="21"/>
      <c r="R151" s="21"/>
    </row>
    <row r="152" spans="9:18">
      <c r="I152" s="496"/>
      <c r="M152" s="21"/>
      <c r="N152" s="21"/>
      <c r="O152" s="21"/>
      <c r="P152" s="21"/>
      <c r="Q152" s="21"/>
      <c r="R152" s="21"/>
    </row>
    <row r="153" spans="9:18">
      <c r="I153" s="496"/>
      <c r="M153" s="21"/>
      <c r="N153" s="21"/>
      <c r="O153" s="21"/>
      <c r="P153" s="21"/>
      <c r="Q153" s="21"/>
      <c r="R153" s="21"/>
    </row>
    <row r="154" spans="9:18">
      <c r="I154" s="496"/>
      <c r="M154" s="21"/>
      <c r="N154" s="21"/>
      <c r="O154" s="21"/>
      <c r="P154" s="21"/>
      <c r="Q154" s="21"/>
      <c r="R154" s="21"/>
    </row>
    <row r="155" spans="9:18">
      <c r="I155" s="496"/>
      <c r="M155" s="21"/>
      <c r="N155" s="21"/>
      <c r="O155" s="21"/>
      <c r="P155" s="21"/>
      <c r="Q155" s="21"/>
      <c r="R155" s="21"/>
    </row>
    <row r="156" spans="9:18">
      <c r="I156" s="496"/>
      <c r="M156" s="21"/>
      <c r="N156" s="21"/>
      <c r="O156" s="21"/>
      <c r="P156" s="21"/>
      <c r="Q156" s="21"/>
      <c r="R156" s="21"/>
    </row>
    <row r="157" spans="9:18">
      <c r="I157" s="496"/>
      <c r="M157" s="21"/>
      <c r="N157" s="21"/>
      <c r="O157" s="21"/>
      <c r="P157" s="21"/>
      <c r="Q157" s="21"/>
      <c r="R157" s="21"/>
    </row>
    <row r="158" spans="9:18">
      <c r="I158" s="496"/>
      <c r="M158" s="21"/>
      <c r="N158" s="21"/>
      <c r="O158" s="21"/>
      <c r="P158" s="21"/>
      <c r="Q158" s="21"/>
      <c r="R158" s="21"/>
    </row>
    <row r="159" spans="9:18">
      <c r="I159" s="496"/>
      <c r="M159" s="21"/>
      <c r="N159" s="21"/>
      <c r="O159" s="21"/>
      <c r="P159" s="21"/>
      <c r="Q159" s="21"/>
      <c r="R159" s="21"/>
    </row>
    <row r="160" spans="9:18">
      <c r="I160" s="496"/>
      <c r="M160" s="21"/>
      <c r="N160" s="21"/>
      <c r="O160" s="21"/>
      <c r="P160" s="21"/>
      <c r="Q160" s="21"/>
      <c r="R160" s="21"/>
    </row>
    <row r="161" spans="9:18">
      <c r="I161" s="496"/>
      <c r="M161" s="21"/>
      <c r="N161" s="21"/>
      <c r="O161" s="21"/>
      <c r="P161" s="21"/>
      <c r="Q161" s="21"/>
      <c r="R161" s="21"/>
    </row>
    <row r="162" spans="9:18">
      <c r="I162" s="496"/>
      <c r="M162" s="21"/>
      <c r="N162" s="21"/>
      <c r="O162" s="21"/>
      <c r="P162" s="21"/>
      <c r="Q162" s="21"/>
      <c r="R162" s="21"/>
    </row>
    <row r="163" spans="9:18">
      <c r="I163" s="496"/>
      <c r="M163" s="21"/>
      <c r="N163" s="21"/>
      <c r="O163" s="21"/>
      <c r="P163" s="21"/>
      <c r="Q163" s="21"/>
      <c r="R163" s="21"/>
    </row>
    <row r="164" spans="9:18">
      <c r="I164" s="496"/>
      <c r="M164" s="21"/>
      <c r="N164" s="21"/>
      <c r="O164" s="21"/>
      <c r="P164" s="21"/>
      <c r="Q164" s="21"/>
      <c r="R164" s="21"/>
    </row>
    <row r="165" spans="9:18">
      <c r="I165" s="496"/>
      <c r="M165" s="21"/>
      <c r="N165" s="21"/>
      <c r="O165" s="21"/>
      <c r="P165" s="21"/>
      <c r="Q165" s="21"/>
      <c r="R165" s="21"/>
    </row>
    <row r="166" spans="9:18">
      <c r="I166" s="496"/>
      <c r="M166" s="21"/>
      <c r="N166" s="21"/>
      <c r="O166" s="21"/>
      <c r="P166" s="21"/>
      <c r="Q166" s="21"/>
      <c r="R166" s="21"/>
    </row>
    <row r="167" spans="9:18">
      <c r="I167" s="496"/>
      <c r="M167" s="21"/>
      <c r="N167" s="21"/>
      <c r="O167" s="21"/>
      <c r="P167" s="21"/>
      <c r="Q167" s="21"/>
      <c r="R167" s="21"/>
    </row>
    <row r="168" spans="9:18">
      <c r="I168" s="496"/>
      <c r="M168" s="21"/>
      <c r="N168" s="21"/>
      <c r="O168" s="21"/>
      <c r="P168" s="21"/>
      <c r="Q168" s="21"/>
      <c r="R168" s="21"/>
    </row>
    <row r="169" spans="9:18">
      <c r="I169" s="496"/>
      <c r="M169" s="21"/>
      <c r="N169" s="21"/>
      <c r="O169" s="21"/>
      <c r="P169" s="21"/>
      <c r="Q169" s="21"/>
      <c r="R169" s="21"/>
    </row>
    <row r="170" spans="9:18">
      <c r="I170" s="496"/>
      <c r="M170" s="21"/>
      <c r="N170" s="21"/>
      <c r="O170" s="21"/>
      <c r="P170" s="21"/>
      <c r="Q170" s="21"/>
      <c r="R170" s="21"/>
    </row>
    <row r="171" spans="9:18">
      <c r="I171" s="496"/>
      <c r="M171" s="21"/>
      <c r="N171" s="21"/>
      <c r="O171" s="21"/>
      <c r="P171" s="21"/>
      <c r="Q171" s="21"/>
      <c r="R171" s="21"/>
    </row>
    <row r="172" spans="9:18">
      <c r="I172" s="496"/>
      <c r="M172" s="21"/>
      <c r="N172" s="21"/>
      <c r="O172" s="21"/>
      <c r="P172" s="21"/>
      <c r="Q172" s="21"/>
      <c r="R172" s="21"/>
    </row>
    <row r="173" spans="9:18">
      <c r="I173" s="496"/>
      <c r="M173" s="21"/>
      <c r="N173" s="21"/>
      <c r="O173" s="21"/>
      <c r="P173" s="21"/>
      <c r="Q173" s="21"/>
      <c r="R173" s="21"/>
    </row>
    <row r="174" spans="9:18">
      <c r="I174" s="496"/>
      <c r="M174" s="21"/>
      <c r="N174" s="21"/>
      <c r="O174" s="21"/>
      <c r="P174" s="21"/>
      <c r="Q174" s="21"/>
      <c r="R174" s="21"/>
    </row>
    <row r="175" spans="9:18">
      <c r="I175" s="496"/>
      <c r="M175" s="21"/>
      <c r="N175" s="21"/>
      <c r="O175" s="21"/>
      <c r="P175" s="21"/>
      <c r="Q175" s="21"/>
      <c r="R175" s="21"/>
    </row>
    <row r="176" spans="9:18">
      <c r="I176" s="496"/>
      <c r="M176" s="21"/>
      <c r="N176" s="21"/>
      <c r="O176" s="21"/>
      <c r="P176" s="21"/>
      <c r="Q176" s="21"/>
      <c r="R176" s="21"/>
    </row>
    <row r="177" spans="9:18">
      <c r="I177" s="496"/>
      <c r="M177" s="21"/>
      <c r="N177" s="21"/>
      <c r="O177" s="21"/>
      <c r="P177" s="21"/>
      <c r="Q177" s="21"/>
      <c r="R177" s="21"/>
    </row>
    <row r="178" spans="9:18">
      <c r="I178" s="496"/>
      <c r="M178" s="21"/>
      <c r="N178" s="21"/>
      <c r="O178" s="21"/>
      <c r="P178" s="21"/>
      <c r="Q178" s="21"/>
      <c r="R178" s="21"/>
    </row>
    <row r="179" spans="9:18">
      <c r="I179" s="496"/>
      <c r="M179" s="21"/>
      <c r="N179" s="21"/>
      <c r="O179" s="21"/>
      <c r="P179" s="21"/>
      <c r="Q179" s="21"/>
      <c r="R179" s="21"/>
    </row>
    <row r="180" spans="9:18">
      <c r="I180" s="496"/>
      <c r="M180" s="21"/>
      <c r="N180" s="21"/>
      <c r="O180" s="21"/>
      <c r="P180" s="21"/>
      <c r="Q180" s="21"/>
      <c r="R180" s="21"/>
    </row>
    <row r="181" spans="9:18">
      <c r="I181" s="496"/>
      <c r="M181" s="21"/>
      <c r="N181" s="21"/>
      <c r="O181" s="21"/>
      <c r="P181" s="21"/>
      <c r="Q181" s="21"/>
      <c r="R181" s="21"/>
    </row>
    <row r="182" spans="9:18">
      <c r="I182" s="496"/>
      <c r="M182" s="21"/>
      <c r="N182" s="21"/>
      <c r="O182" s="21"/>
      <c r="P182" s="21"/>
      <c r="Q182" s="21"/>
      <c r="R182" s="21"/>
    </row>
    <row r="183" spans="9:18">
      <c r="I183" s="496"/>
      <c r="M183" s="21"/>
      <c r="N183" s="21"/>
      <c r="O183" s="21"/>
      <c r="P183" s="21"/>
      <c r="Q183" s="21"/>
      <c r="R183" s="21"/>
    </row>
    <row r="184" spans="9:18">
      <c r="I184" s="496"/>
      <c r="M184" s="21"/>
      <c r="N184" s="21"/>
      <c r="O184" s="21"/>
      <c r="P184" s="21"/>
      <c r="Q184" s="21"/>
      <c r="R184" s="21"/>
    </row>
    <row r="185" spans="9:18">
      <c r="I185" s="496"/>
      <c r="M185" s="21"/>
      <c r="N185" s="21"/>
      <c r="O185" s="21"/>
      <c r="P185" s="21"/>
      <c r="Q185" s="21"/>
      <c r="R185" s="21"/>
    </row>
    <row r="186" spans="9:18">
      <c r="I186" s="496"/>
      <c r="M186" s="21"/>
      <c r="N186" s="21"/>
      <c r="O186" s="21"/>
      <c r="P186" s="21"/>
      <c r="Q186" s="21"/>
      <c r="R186" s="21"/>
    </row>
    <row r="187" spans="9:18">
      <c r="I187" s="496"/>
      <c r="M187" s="21"/>
      <c r="N187" s="21"/>
      <c r="O187" s="21"/>
      <c r="P187" s="21"/>
      <c r="Q187" s="21"/>
      <c r="R187" s="21"/>
    </row>
    <row r="188" spans="9:18">
      <c r="I188" s="496"/>
      <c r="M188" s="21"/>
      <c r="N188" s="21"/>
      <c r="O188" s="21"/>
      <c r="P188" s="21"/>
      <c r="Q188" s="21"/>
      <c r="R188" s="21"/>
    </row>
    <row r="189" spans="9:18">
      <c r="I189" s="496"/>
      <c r="M189" s="21"/>
      <c r="N189" s="21"/>
      <c r="O189" s="21"/>
      <c r="P189" s="21"/>
      <c r="Q189" s="21"/>
      <c r="R189" s="21"/>
    </row>
    <row r="190" spans="9:18">
      <c r="I190" s="496"/>
      <c r="M190" s="21"/>
      <c r="N190" s="21"/>
      <c r="O190" s="21"/>
      <c r="P190" s="21"/>
      <c r="Q190" s="21"/>
      <c r="R190" s="21"/>
    </row>
    <row r="191" spans="9:18">
      <c r="I191" s="496"/>
      <c r="M191" s="21"/>
      <c r="N191" s="21"/>
      <c r="O191" s="21"/>
      <c r="P191" s="21"/>
      <c r="Q191" s="21"/>
      <c r="R191" s="21"/>
    </row>
    <row r="192" spans="9:18">
      <c r="I192" s="496"/>
      <c r="M192" s="21"/>
      <c r="N192" s="21"/>
      <c r="O192" s="21"/>
      <c r="P192" s="21"/>
      <c r="Q192" s="21"/>
      <c r="R192" s="21"/>
    </row>
    <row r="193" spans="9:18">
      <c r="I193" s="496"/>
      <c r="M193" s="21"/>
      <c r="N193" s="21"/>
      <c r="O193" s="21"/>
      <c r="P193" s="21"/>
      <c r="Q193" s="21"/>
      <c r="R193" s="21"/>
    </row>
    <row r="194" spans="9:18">
      <c r="I194" s="496"/>
      <c r="M194" s="21"/>
      <c r="N194" s="21"/>
      <c r="O194" s="21"/>
      <c r="P194" s="21"/>
      <c r="Q194" s="21"/>
      <c r="R194" s="21"/>
    </row>
    <row r="195" spans="9:18">
      <c r="I195" s="496"/>
      <c r="M195" s="21"/>
      <c r="N195" s="21"/>
      <c r="O195" s="21"/>
      <c r="P195" s="21"/>
      <c r="Q195" s="21"/>
      <c r="R195" s="21"/>
    </row>
    <row r="196" spans="9:18">
      <c r="I196" s="496"/>
      <c r="M196" s="21"/>
      <c r="N196" s="21"/>
      <c r="O196" s="21"/>
      <c r="P196" s="21"/>
      <c r="Q196" s="21"/>
      <c r="R196" s="21"/>
    </row>
    <row r="197" spans="9:18">
      <c r="I197" s="496"/>
      <c r="M197" s="21"/>
      <c r="N197" s="21"/>
      <c r="O197" s="21"/>
      <c r="P197" s="21"/>
      <c r="Q197" s="21"/>
      <c r="R197" s="21"/>
    </row>
    <row r="198" spans="9:18">
      <c r="I198" s="496"/>
      <c r="M198" s="21"/>
      <c r="N198" s="21"/>
      <c r="O198" s="21"/>
      <c r="P198" s="21"/>
      <c r="Q198" s="21"/>
      <c r="R198" s="21"/>
    </row>
    <row r="199" spans="9:18">
      <c r="I199" s="496"/>
      <c r="M199" s="21"/>
      <c r="N199" s="21"/>
      <c r="O199" s="21"/>
      <c r="P199" s="21"/>
      <c r="Q199" s="21"/>
      <c r="R199" s="21"/>
    </row>
    <row r="200" spans="9:18">
      <c r="I200" s="496"/>
      <c r="M200" s="21"/>
      <c r="N200" s="21"/>
      <c r="O200" s="21"/>
      <c r="P200" s="21"/>
      <c r="Q200" s="21"/>
      <c r="R200" s="21"/>
    </row>
    <row r="201" spans="9:18">
      <c r="I201" s="496"/>
      <c r="M201" s="21"/>
      <c r="N201" s="21"/>
      <c r="O201" s="21"/>
      <c r="P201" s="21"/>
      <c r="Q201" s="21"/>
      <c r="R201" s="21"/>
    </row>
    <row r="202" spans="9:18">
      <c r="I202" s="496"/>
      <c r="M202" s="21"/>
      <c r="N202" s="21"/>
      <c r="O202" s="21"/>
      <c r="P202" s="21"/>
      <c r="Q202" s="21"/>
      <c r="R202" s="21"/>
    </row>
    <row r="203" spans="9:18">
      <c r="I203" s="496"/>
      <c r="M203" s="21"/>
      <c r="N203" s="21"/>
      <c r="O203" s="21"/>
      <c r="P203" s="21"/>
      <c r="Q203" s="21"/>
      <c r="R203" s="21"/>
    </row>
    <row r="204" spans="9:18">
      <c r="I204" s="496"/>
      <c r="M204" s="21"/>
      <c r="N204" s="21"/>
      <c r="O204" s="21"/>
      <c r="P204" s="21"/>
      <c r="Q204" s="21"/>
      <c r="R204" s="21"/>
    </row>
    <row r="205" spans="9:18">
      <c r="I205" s="496"/>
      <c r="M205" s="21"/>
      <c r="N205" s="21"/>
      <c r="O205" s="21"/>
      <c r="P205" s="21"/>
      <c r="Q205" s="21"/>
      <c r="R205" s="21"/>
    </row>
    <row r="206" spans="9:18">
      <c r="I206" s="496"/>
      <c r="M206" s="21"/>
      <c r="N206" s="21"/>
      <c r="O206" s="21"/>
      <c r="P206" s="21"/>
      <c r="Q206" s="21"/>
      <c r="R206" s="21"/>
    </row>
    <row r="207" spans="9:18">
      <c r="I207" s="496"/>
      <c r="M207" s="21"/>
      <c r="N207" s="21"/>
      <c r="O207" s="21"/>
      <c r="P207" s="21"/>
      <c r="Q207" s="21"/>
      <c r="R207" s="21"/>
    </row>
    <row r="208" spans="9:18">
      <c r="I208" s="496"/>
      <c r="M208" s="21"/>
      <c r="N208" s="21"/>
      <c r="O208" s="21"/>
      <c r="P208" s="21"/>
      <c r="Q208" s="21"/>
      <c r="R208" s="21"/>
    </row>
    <row r="209" spans="9:18">
      <c r="I209" s="496"/>
      <c r="M209" s="21"/>
      <c r="N209" s="21"/>
      <c r="O209" s="21"/>
      <c r="P209" s="21"/>
      <c r="Q209" s="21"/>
      <c r="R209" s="21"/>
    </row>
    <row r="210" spans="9:18">
      <c r="I210" s="496"/>
      <c r="M210" s="21"/>
      <c r="N210" s="21"/>
      <c r="O210" s="21"/>
      <c r="P210" s="21"/>
      <c r="Q210" s="21"/>
      <c r="R210" s="21"/>
    </row>
    <row r="211" spans="9:18">
      <c r="I211" s="496"/>
      <c r="M211" s="21"/>
      <c r="N211" s="21"/>
      <c r="O211" s="21"/>
      <c r="P211" s="21"/>
      <c r="Q211" s="21"/>
      <c r="R211" s="21"/>
    </row>
    <row r="212" spans="9:18">
      <c r="I212" s="496"/>
      <c r="M212" s="21"/>
      <c r="N212" s="21"/>
      <c r="O212" s="21"/>
      <c r="P212" s="21"/>
      <c r="Q212" s="21"/>
      <c r="R212" s="21"/>
    </row>
    <row r="213" spans="9:18">
      <c r="I213" s="496"/>
      <c r="M213" s="21"/>
      <c r="N213" s="21"/>
      <c r="O213" s="21"/>
      <c r="P213" s="21"/>
      <c r="Q213" s="21"/>
      <c r="R213" s="21"/>
    </row>
    <row r="214" spans="9:18">
      <c r="I214" s="496"/>
      <c r="M214" s="21"/>
      <c r="N214" s="21"/>
      <c r="O214" s="21"/>
      <c r="P214" s="21"/>
      <c r="Q214" s="21"/>
      <c r="R214" s="21"/>
    </row>
    <row r="215" spans="9:18">
      <c r="I215" s="496"/>
      <c r="M215" s="21"/>
      <c r="N215" s="21"/>
      <c r="O215" s="21"/>
      <c r="P215" s="21"/>
      <c r="Q215" s="21"/>
      <c r="R215" s="21"/>
    </row>
    <row r="216" spans="9:18">
      <c r="I216" s="496"/>
      <c r="M216" s="21"/>
      <c r="N216" s="21"/>
      <c r="O216" s="21"/>
      <c r="P216" s="21"/>
      <c r="Q216" s="21"/>
      <c r="R216" s="21"/>
    </row>
    <row r="217" spans="9:18">
      <c r="I217" s="496"/>
      <c r="M217" s="21"/>
      <c r="N217" s="21"/>
      <c r="O217" s="21"/>
      <c r="P217" s="21"/>
      <c r="Q217" s="21"/>
      <c r="R217" s="21"/>
    </row>
    <row r="218" spans="9:18">
      <c r="I218" s="496"/>
      <c r="M218" s="21"/>
      <c r="N218" s="21"/>
      <c r="O218" s="21"/>
      <c r="P218" s="21"/>
      <c r="Q218" s="21"/>
      <c r="R218" s="21"/>
    </row>
    <row r="219" spans="9:18">
      <c r="I219" s="496"/>
      <c r="M219" s="21"/>
      <c r="N219" s="21"/>
      <c r="O219" s="21"/>
      <c r="P219" s="21"/>
      <c r="Q219" s="21"/>
      <c r="R219" s="21"/>
    </row>
    <row r="220" spans="9:18">
      <c r="I220" s="496"/>
      <c r="M220" s="21"/>
      <c r="N220" s="21"/>
      <c r="O220" s="21"/>
      <c r="P220" s="21"/>
      <c r="Q220" s="21"/>
      <c r="R220" s="21"/>
    </row>
    <row r="221" spans="9:18">
      <c r="I221" s="496"/>
      <c r="M221" s="21"/>
      <c r="N221" s="21"/>
      <c r="O221" s="21"/>
      <c r="P221" s="21"/>
      <c r="Q221" s="21"/>
      <c r="R221" s="21"/>
    </row>
    <row r="222" spans="9:18">
      <c r="I222" s="496"/>
      <c r="M222" s="21"/>
      <c r="N222" s="21"/>
      <c r="O222" s="21"/>
      <c r="P222" s="21"/>
      <c r="Q222" s="21"/>
      <c r="R222" s="21"/>
    </row>
    <row r="223" spans="9:18">
      <c r="I223" s="496"/>
      <c r="M223" s="21"/>
      <c r="N223" s="21"/>
      <c r="O223" s="21"/>
      <c r="P223" s="21"/>
      <c r="Q223" s="21"/>
      <c r="R223" s="21"/>
    </row>
    <row r="224" spans="9:18">
      <c r="I224" s="496"/>
      <c r="M224" s="21"/>
      <c r="N224" s="21"/>
      <c r="O224" s="21"/>
      <c r="P224" s="21"/>
      <c r="Q224" s="21"/>
      <c r="R224" s="21"/>
    </row>
    <row r="225" spans="9:18">
      <c r="I225" s="496"/>
      <c r="M225" s="21"/>
      <c r="N225" s="21"/>
      <c r="O225" s="21"/>
      <c r="P225" s="21"/>
      <c r="Q225" s="21"/>
      <c r="R225" s="21"/>
    </row>
    <row r="226" spans="9:18">
      <c r="I226" s="496"/>
      <c r="M226" s="21"/>
      <c r="N226" s="21"/>
      <c r="O226" s="21"/>
      <c r="P226" s="21"/>
      <c r="Q226" s="21"/>
      <c r="R226" s="21"/>
    </row>
    <row r="227" spans="9:18">
      <c r="I227" s="496"/>
      <c r="M227" s="21"/>
      <c r="N227" s="21"/>
      <c r="O227" s="21"/>
      <c r="P227" s="21"/>
      <c r="Q227" s="21"/>
      <c r="R227" s="21"/>
    </row>
    <row r="228" spans="9:18">
      <c r="I228" s="496"/>
      <c r="M228" s="21"/>
      <c r="N228" s="21"/>
      <c r="O228" s="21"/>
      <c r="P228" s="21"/>
      <c r="Q228" s="21"/>
      <c r="R228" s="21"/>
    </row>
    <row r="229" spans="9:18">
      <c r="I229" s="496"/>
      <c r="M229" s="21"/>
      <c r="N229" s="21"/>
      <c r="O229" s="21"/>
      <c r="P229" s="21"/>
      <c r="Q229" s="21"/>
      <c r="R229" s="21"/>
    </row>
    <row r="230" spans="9:18">
      <c r="I230" s="496"/>
      <c r="M230" s="21"/>
      <c r="N230" s="21"/>
      <c r="O230" s="21"/>
      <c r="P230" s="21"/>
      <c r="Q230" s="21"/>
      <c r="R230" s="21"/>
    </row>
    <row r="231" spans="9:18">
      <c r="I231" s="496"/>
      <c r="M231" s="21"/>
      <c r="N231" s="21"/>
      <c r="O231" s="21"/>
      <c r="P231" s="21"/>
      <c r="Q231" s="21"/>
      <c r="R231" s="21"/>
    </row>
    <row r="232" spans="9:18">
      <c r="I232" s="496"/>
      <c r="M232" s="21"/>
      <c r="N232" s="21"/>
      <c r="O232" s="21"/>
      <c r="P232" s="21"/>
      <c r="Q232" s="21"/>
      <c r="R232" s="21"/>
    </row>
    <row r="233" spans="9:18">
      <c r="I233" s="496"/>
      <c r="M233" s="21"/>
      <c r="N233" s="21"/>
      <c r="O233" s="21"/>
      <c r="P233" s="21"/>
      <c r="Q233" s="21"/>
      <c r="R233" s="21"/>
    </row>
    <row r="234" spans="9:18">
      <c r="I234" s="496"/>
      <c r="M234" s="21"/>
      <c r="N234" s="21"/>
      <c r="O234" s="21"/>
      <c r="P234" s="21"/>
      <c r="Q234" s="21"/>
      <c r="R234" s="21"/>
    </row>
    <row r="235" spans="9:18">
      <c r="I235" s="496"/>
      <c r="M235" s="21"/>
      <c r="N235" s="21"/>
      <c r="O235" s="21"/>
      <c r="P235" s="21"/>
      <c r="Q235" s="21"/>
      <c r="R235" s="21"/>
    </row>
    <row r="236" spans="9:18">
      <c r="I236" s="496"/>
      <c r="M236" s="21"/>
      <c r="N236" s="21"/>
      <c r="O236" s="21"/>
      <c r="P236" s="21"/>
      <c r="Q236" s="21"/>
      <c r="R236" s="21"/>
    </row>
    <row r="237" spans="9:18">
      <c r="I237" s="496"/>
      <c r="M237" s="21"/>
      <c r="N237" s="21"/>
      <c r="O237" s="21"/>
      <c r="P237" s="21"/>
      <c r="Q237" s="21"/>
      <c r="R237" s="21"/>
    </row>
    <row r="238" spans="9:18">
      <c r="I238" s="496"/>
      <c r="M238" s="21"/>
      <c r="N238" s="21"/>
      <c r="O238" s="21"/>
      <c r="P238" s="21"/>
      <c r="Q238" s="21"/>
      <c r="R238" s="21"/>
    </row>
    <row r="239" spans="9:18">
      <c r="I239" s="496"/>
      <c r="M239" s="21"/>
      <c r="N239" s="21"/>
      <c r="O239" s="21"/>
      <c r="P239" s="21"/>
      <c r="Q239" s="21"/>
      <c r="R239" s="21"/>
    </row>
    <row r="240" spans="9:18">
      <c r="I240" s="496"/>
      <c r="M240" s="21"/>
      <c r="N240" s="21"/>
      <c r="O240" s="21"/>
      <c r="P240" s="21"/>
      <c r="Q240" s="21"/>
      <c r="R240" s="21"/>
    </row>
    <row r="241" spans="9:18">
      <c r="I241" s="496"/>
      <c r="M241" s="21"/>
      <c r="N241" s="21"/>
      <c r="O241" s="21"/>
      <c r="P241" s="21"/>
      <c r="Q241" s="21"/>
      <c r="R241" s="21"/>
    </row>
    <row r="242" spans="9:18">
      <c r="I242" s="496"/>
      <c r="M242" s="21"/>
      <c r="N242" s="21"/>
      <c r="O242" s="21"/>
      <c r="P242" s="21"/>
      <c r="Q242" s="21"/>
      <c r="R242" s="21"/>
    </row>
    <row r="243" spans="9:18">
      <c r="I243" s="496"/>
      <c r="M243" s="21"/>
      <c r="N243" s="21"/>
      <c r="O243" s="21"/>
      <c r="P243" s="21"/>
      <c r="Q243" s="21"/>
      <c r="R243" s="21"/>
    </row>
    <row r="244" spans="9:18">
      <c r="I244" s="496"/>
      <c r="M244" s="21"/>
      <c r="N244" s="21"/>
      <c r="O244" s="21"/>
      <c r="P244" s="21"/>
      <c r="Q244" s="21"/>
      <c r="R244" s="21"/>
    </row>
    <row r="245" spans="9:18">
      <c r="I245" s="496"/>
      <c r="M245" s="21"/>
      <c r="N245" s="21"/>
      <c r="O245" s="21"/>
      <c r="P245" s="21"/>
      <c r="Q245" s="21"/>
      <c r="R245" s="21"/>
    </row>
    <row r="246" spans="9:18">
      <c r="I246" s="496"/>
      <c r="M246" s="21"/>
      <c r="N246" s="21"/>
      <c r="O246" s="21"/>
      <c r="P246" s="21"/>
      <c r="Q246" s="21"/>
      <c r="R246" s="21"/>
    </row>
    <row r="247" spans="9:18">
      <c r="I247" s="496"/>
      <c r="M247" s="21"/>
      <c r="N247" s="21"/>
      <c r="O247" s="21"/>
      <c r="P247" s="21"/>
      <c r="Q247" s="21"/>
      <c r="R247" s="21"/>
    </row>
    <row r="248" spans="9:18">
      <c r="I248" s="496"/>
      <c r="M248" s="21"/>
      <c r="N248" s="21"/>
      <c r="O248" s="21"/>
      <c r="P248" s="21"/>
      <c r="Q248" s="21"/>
      <c r="R248" s="21"/>
    </row>
    <row r="249" spans="9:18">
      <c r="I249" s="496"/>
      <c r="M249" s="21"/>
      <c r="N249" s="21"/>
      <c r="O249" s="21"/>
      <c r="P249" s="21"/>
      <c r="Q249" s="21"/>
      <c r="R249" s="21"/>
    </row>
    <row r="250" spans="9:18">
      <c r="I250" s="496"/>
      <c r="M250" s="21"/>
      <c r="N250" s="21"/>
      <c r="O250" s="21"/>
      <c r="P250" s="21"/>
      <c r="Q250" s="21"/>
      <c r="R250" s="21"/>
    </row>
    <row r="251" spans="9:18">
      <c r="I251" s="496"/>
      <c r="M251" s="21"/>
      <c r="N251" s="21"/>
      <c r="O251" s="21"/>
      <c r="P251" s="21"/>
      <c r="Q251" s="21"/>
      <c r="R251" s="21"/>
    </row>
    <row r="252" spans="9:18">
      <c r="I252" s="496"/>
      <c r="M252" s="21"/>
      <c r="N252" s="21"/>
      <c r="O252" s="21"/>
      <c r="P252" s="21"/>
      <c r="Q252" s="21"/>
      <c r="R252" s="21"/>
    </row>
    <row r="253" spans="9:18">
      <c r="I253" s="496"/>
      <c r="M253" s="21"/>
      <c r="N253" s="21"/>
      <c r="O253" s="21"/>
      <c r="P253" s="21"/>
      <c r="Q253" s="21"/>
      <c r="R253" s="21"/>
    </row>
    <row r="254" spans="9:18">
      <c r="I254" s="496"/>
      <c r="M254" s="21"/>
      <c r="N254" s="21"/>
      <c r="O254" s="21"/>
      <c r="P254" s="21"/>
      <c r="Q254" s="21"/>
      <c r="R254" s="21"/>
    </row>
    <row r="255" spans="9:18">
      <c r="I255" s="496"/>
      <c r="M255" s="21"/>
      <c r="N255" s="21"/>
      <c r="O255" s="21"/>
      <c r="P255" s="21"/>
      <c r="Q255" s="21"/>
      <c r="R255" s="21"/>
    </row>
    <row r="256" spans="9:18">
      <c r="I256" s="496"/>
      <c r="M256" s="21"/>
      <c r="N256" s="21"/>
      <c r="O256" s="21"/>
      <c r="P256" s="21"/>
      <c r="Q256" s="21"/>
      <c r="R256" s="21"/>
    </row>
    <row r="257" spans="9:18">
      <c r="I257" s="496"/>
      <c r="M257" s="21"/>
      <c r="N257" s="21"/>
      <c r="O257" s="21"/>
      <c r="P257" s="21"/>
      <c r="Q257" s="21"/>
      <c r="R257" s="21"/>
    </row>
    <row r="258" spans="9:18">
      <c r="I258" s="496"/>
      <c r="M258" s="21"/>
      <c r="N258" s="21"/>
      <c r="O258" s="21"/>
      <c r="P258" s="21"/>
      <c r="Q258" s="21"/>
      <c r="R258" s="21"/>
    </row>
    <row r="259" spans="9:18">
      <c r="I259" s="496"/>
      <c r="M259" s="21"/>
      <c r="N259" s="21"/>
      <c r="O259" s="21"/>
      <c r="P259" s="21"/>
      <c r="Q259" s="21"/>
      <c r="R259" s="21"/>
    </row>
    <row r="260" spans="9:18">
      <c r="I260" s="496"/>
      <c r="M260" s="21"/>
      <c r="N260" s="21"/>
      <c r="O260" s="21"/>
      <c r="P260" s="21"/>
      <c r="Q260" s="21"/>
      <c r="R260" s="21"/>
    </row>
    <row r="261" spans="9:18">
      <c r="I261" s="496"/>
      <c r="M261" s="21"/>
      <c r="N261" s="21"/>
      <c r="O261" s="21"/>
      <c r="P261" s="21"/>
      <c r="Q261" s="21"/>
      <c r="R261" s="21"/>
    </row>
    <row r="262" spans="9:18">
      <c r="I262" s="496"/>
      <c r="M262" s="21"/>
      <c r="N262" s="21"/>
      <c r="O262" s="21"/>
      <c r="P262" s="21"/>
      <c r="Q262" s="21"/>
      <c r="R262" s="21"/>
    </row>
    <row r="263" spans="9:18">
      <c r="I263" s="496"/>
      <c r="M263" s="21"/>
      <c r="N263" s="21"/>
      <c r="O263" s="21"/>
      <c r="P263" s="21"/>
      <c r="Q263" s="21"/>
      <c r="R263" s="21"/>
    </row>
    <row r="264" spans="9:18">
      <c r="I264" s="496"/>
      <c r="M264" s="21"/>
      <c r="N264" s="21"/>
      <c r="O264" s="21"/>
      <c r="P264" s="21"/>
      <c r="Q264" s="21"/>
      <c r="R264" s="21"/>
    </row>
    <row r="265" spans="9:18">
      <c r="I265" s="496"/>
      <c r="M265" s="21"/>
      <c r="N265" s="21"/>
      <c r="O265" s="21"/>
      <c r="P265" s="21"/>
      <c r="Q265" s="21"/>
      <c r="R265" s="21"/>
    </row>
    <row r="266" spans="9:18">
      <c r="I266" s="496"/>
      <c r="M266" s="21"/>
      <c r="N266" s="21"/>
      <c r="O266" s="21"/>
      <c r="P266" s="21"/>
      <c r="Q266" s="21"/>
      <c r="R266" s="21"/>
    </row>
    <row r="267" spans="9:18">
      <c r="I267" s="496"/>
      <c r="M267" s="21"/>
      <c r="N267" s="21"/>
      <c r="O267" s="21"/>
      <c r="P267" s="21"/>
      <c r="Q267" s="21"/>
      <c r="R267" s="21"/>
    </row>
    <row r="268" spans="9:18">
      <c r="I268" s="496"/>
      <c r="M268" s="21"/>
      <c r="N268" s="21"/>
      <c r="O268" s="21"/>
      <c r="P268" s="21"/>
      <c r="Q268" s="21"/>
      <c r="R268" s="21"/>
    </row>
    <row r="269" spans="9:18">
      <c r="I269" s="496"/>
      <c r="M269" s="21"/>
      <c r="N269" s="21"/>
      <c r="O269" s="21"/>
      <c r="P269" s="21"/>
      <c r="Q269" s="21"/>
      <c r="R269" s="21"/>
    </row>
    <row r="270" spans="9:18">
      <c r="I270" s="496"/>
      <c r="M270" s="21"/>
      <c r="N270" s="21"/>
      <c r="O270" s="21"/>
      <c r="P270" s="21"/>
      <c r="Q270" s="21"/>
      <c r="R270" s="21"/>
    </row>
    <row r="271" spans="9:18">
      <c r="I271" s="496"/>
      <c r="M271" s="21"/>
      <c r="N271" s="21"/>
      <c r="O271" s="21"/>
      <c r="P271" s="21"/>
      <c r="Q271" s="21"/>
      <c r="R271" s="21"/>
    </row>
    <row r="272" spans="9:18">
      <c r="I272" s="496"/>
      <c r="M272" s="21"/>
      <c r="N272" s="21"/>
      <c r="O272" s="21"/>
      <c r="P272" s="21"/>
      <c r="Q272" s="21"/>
      <c r="R272" s="21"/>
    </row>
    <row r="273" spans="9:18">
      <c r="I273" s="496"/>
      <c r="M273" s="21"/>
      <c r="N273" s="21"/>
      <c r="O273" s="21"/>
      <c r="P273" s="21"/>
      <c r="Q273" s="21"/>
      <c r="R273" s="21"/>
    </row>
    <row r="274" spans="9:18">
      <c r="I274" s="496"/>
      <c r="M274" s="21"/>
      <c r="N274" s="21"/>
      <c r="O274" s="21"/>
      <c r="P274" s="21"/>
      <c r="Q274" s="21"/>
      <c r="R274" s="21"/>
    </row>
    <row r="275" spans="9:18">
      <c r="I275" s="496"/>
      <c r="M275" s="21"/>
      <c r="N275" s="21"/>
      <c r="O275" s="21"/>
      <c r="P275" s="21"/>
      <c r="Q275" s="21"/>
      <c r="R275" s="21"/>
    </row>
    <row r="276" spans="9:18">
      <c r="I276" s="496"/>
      <c r="M276" s="21"/>
      <c r="N276" s="21"/>
      <c r="O276" s="21"/>
      <c r="P276" s="21"/>
      <c r="Q276" s="21"/>
      <c r="R276" s="21"/>
    </row>
    <row r="277" spans="9:18">
      <c r="I277" s="496"/>
      <c r="M277" s="21"/>
      <c r="N277" s="21"/>
      <c r="O277" s="21"/>
      <c r="P277" s="21"/>
      <c r="Q277" s="21"/>
      <c r="R277" s="21"/>
    </row>
    <row r="278" spans="9:18">
      <c r="I278" s="496"/>
      <c r="M278" s="21"/>
      <c r="N278" s="21"/>
      <c r="O278" s="21"/>
      <c r="P278" s="21"/>
      <c r="Q278" s="21"/>
      <c r="R278" s="21"/>
    </row>
    <row r="279" spans="9:18">
      <c r="I279" s="496"/>
      <c r="M279" s="21"/>
      <c r="N279" s="21"/>
      <c r="O279" s="21"/>
      <c r="P279" s="21"/>
      <c r="Q279" s="21"/>
      <c r="R279" s="21"/>
    </row>
    <row r="280" spans="9:18">
      <c r="I280" s="496"/>
      <c r="M280" s="21"/>
      <c r="N280" s="21"/>
      <c r="O280" s="21"/>
      <c r="P280" s="21"/>
      <c r="Q280" s="21"/>
      <c r="R280" s="21"/>
    </row>
    <row r="281" spans="9:18">
      <c r="I281" s="496"/>
      <c r="M281" s="21"/>
      <c r="N281" s="21"/>
      <c r="O281" s="21"/>
      <c r="P281" s="21"/>
      <c r="Q281" s="21"/>
      <c r="R281" s="21"/>
    </row>
    <row r="282" spans="9:18">
      <c r="I282" s="496"/>
      <c r="M282" s="21"/>
      <c r="N282" s="21"/>
      <c r="O282" s="21"/>
      <c r="P282" s="21"/>
      <c r="Q282" s="21"/>
      <c r="R282" s="21"/>
    </row>
    <row r="283" spans="9:18">
      <c r="I283" s="496"/>
      <c r="M283" s="21"/>
      <c r="N283" s="21"/>
      <c r="O283" s="21"/>
      <c r="P283" s="21"/>
      <c r="Q283" s="21"/>
      <c r="R283" s="21"/>
    </row>
    <row r="284" spans="9:18">
      <c r="I284" s="496"/>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45820</v>
      </c>
      <c r="G2" s="106"/>
      <c r="H2" s="106"/>
      <c r="I2" s="106"/>
      <c r="J2" s="108"/>
      <c r="K2" s="358"/>
    </row>
    <row r="3" spans="1:13" s="101" customFormat="1" ht="18">
      <c r="A3" s="102"/>
      <c r="B3" s="103" t="str">
        <f>'Cover Sheet'!B3</f>
        <v>Monthly Investor Report</v>
      </c>
      <c r="C3" s="103"/>
      <c r="D3" s="111" t="str">
        <f>'Cover Sheet'!D3</f>
        <v>Payment Date</v>
      </c>
      <c r="E3" s="112"/>
      <c r="F3" s="113">
        <f>'Cover Sheet'!F3</f>
        <v>45824</v>
      </c>
      <c r="G3" s="112"/>
      <c r="H3" s="112"/>
      <c r="I3" s="112"/>
      <c r="J3" s="114"/>
      <c r="K3" s="124"/>
    </row>
    <row r="4" spans="1:13" s="101" customFormat="1" ht="13">
      <c r="A4" s="102"/>
      <c r="B4" s="156"/>
      <c r="C4" s="157"/>
      <c r="D4" s="111" t="str">
        <f>'Cover Sheet'!D4</f>
        <v>Period  No</v>
      </c>
      <c r="E4" s="112"/>
      <c r="F4" s="116">
        <f>'Cover Sheet'!F4</f>
        <v>43</v>
      </c>
      <c r="G4" s="112"/>
      <c r="H4" s="117"/>
      <c r="I4" s="112"/>
      <c r="J4" s="118"/>
      <c r="K4" s="358"/>
    </row>
    <row r="5" spans="1:13" s="101" customFormat="1" ht="18">
      <c r="A5" s="102"/>
      <c r="B5" s="159" t="s">
        <v>174</v>
      </c>
      <c r="C5" s="119"/>
      <c r="D5" s="111" t="str">
        <f>'Cover Sheet'!D5</f>
        <v>Monthly Period</v>
      </c>
      <c r="E5" s="112"/>
      <c r="F5" s="120">
        <f>'Cover Sheet'!F5</f>
        <v>45824</v>
      </c>
      <c r="G5" s="112"/>
      <c r="H5" s="117"/>
      <c r="I5" s="112"/>
      <c r="J5" s="118"/>
      <c r="K5" s="124"/>
    </row>
    <row r="6" spans="1:13"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25"/>
    </row>
    <row r="7" spans="1:13"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8" width="18.81640625" style="143" customWidth="1"/>
    <col min="9" max="9" width="9.1796875" style="143" customWidth="1"/>
    <col min="10" max="10" width="15.453125" style="143" customWidth="1"/>
    <col min="11" max="11" width="1.1796875" style="143" customWidth="1"/>
    <col min="12" max="12" width="3.1796875" style="143" customWidth="1"/>
    <col min="13" max="17" width="18.81640625"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45820</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45824</v>
      </c>
      <c r="G3" s="112"/>
      <c r="H3" s="112"/>
      <c r="I3" s="112"/>
      <c r="J3" s="114"/>
      <c r="K3" s="124"/>
      <c r="M3" s="163"/>
      <c r="N3" s="21"/>
      <c r="O3" s="472"/>
      <c r="P3" s="21"/>
      <c r="Q3" s="21"/>
    </row>
    <row r="4" spans="1:17" s="101" customFormat="1" ht="13">
      <c r="A4" s="102"/>
      <c r="B4" s="156"/>
      <c r="C4" s="157"/>
      <c r="D4" s="111" t="str">
        <f>'Cover Sheet'!D4</f>
        <v>Period  No</v>
      </c>
      <c r="E4" s="112"/>
      <c r="F4" s="116">
        <f>'Cover Sheet'!F4</f>
        <v>43</v>
      </c>
      <c r="G4" s="112"/>
      <c r="H4" s="117"/>
      <c r="I4" s="112"/>
      <c r="J4" s="118"/>
      <c r="K4" s="358"/>
      <c r="M4" s="163"/>
      <c r="N4" s="21"/>
      <c r="O4" s="228"/>
      <c r="P4" s="21"/>
      <c r="Q4" s="163"/>
    </row>
    <row r="5" spans="1:17" s="101" customFormat="1" ht="18">
      <c r="A5" s="102"/>
      <c r="B5" s="159" t="s">
        <v>151</v>
      </c>
      <c r="C5" s="119"/>
      <c r="D5" s="111" t="str">
        <f>'Cover Sheet'!D5</f>
        <v>Monthly Period</v>
      </c>
      <c r="E5" s="112"/>
      <c r="F5" s="120">
        <f>'Cover Sheet'!F5</f>
        <v>45824</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104"/>
      <c r="E12" s="104"/>
      <c r="F12" s="21"/>
      <c r="G12" s="360"/>
      <c r="H12" s="360"/>
      <c r="I12" s="21"/>
      <c r="K12" s="109"/>
      <c r="M12" s="21"/>
      <c r="N12" s="21"/>
      <c r="O12" s="21"/>
      <c r="P12" s="361"/>
      <c r="Q12" s="361"/>
    </row>
    <row r="13" spans="1:17" s="101" customFormat="1" ht="44" thickBot="1">
      <c r="A13" s="102"/>
      <c r="B13" s="494"/>
      <c r="C13" s="21"/>
      <c r="D13" s="477" t="s">
        <v>70</v>
      </c>
      <c r="E13" s="478" t="s">
        <v>71</v>
      </c>
      <c r="F13" s="478" t="s">
        <v>118</v>
      </c>
      <c r="G13" s="685" t="s">
        <v>61</v>
      </c>
      <c r="H13" s="659" t="s">
        <v>119</v>
      </c>
      <c r="I13" s="172"/>
      <c r="K13" s="109"/>
      <c r="M13" s="672"/>
      <c r="N13" s="214"/>
      <c r="O13" s="214"/>
      <c r="P13" s="495"/>
      <c r="Q13" s="495"/>
    </row>
    <row r="14" spans="1:17" s="101" customFormat="1">
      <c r="A14" s="102"/>
      <c r="B14" s="171"/>
      <c r="C14" s="171"/>
      <c r="D14" s="686" t="s">
        <v>607</v>
      </c>
      <c r="E14" s="687">
        <f t="shared" ref="E14:E54" si="0">VLOOKUP(CONCATENATE("CPB_",D14),Assets_21,3,0)</f>
        <v>10865161.640000014</v>
      </c>
      <c r="F14" s="688">
        <f>E14/$E$55</f>
        <v>2.1163017435108771E-2</v>
      </c>
      <c r="G14" s="689">
        <f t="shared" ref="G14:G54" si="1">VLOOKUP(CONCATENATE("CPB_",D14),Assets_21,2,0)</f>
        <v>11586</v>
      </c>
      <c r="H14" s="690">
        <f>G14/$G$55</f>
        <v>0.2237586666409162</v>
      </c>
      <c r="I14" s="172"/>
      <c r="K14" s="109"/>
      <c r="M14" s="196"/>
      <c r="N14" s="13"/>
      <c r="O14" s="197"/>
      <c r="P14" s="198"/>
      <c r="Q14" s="197"/>
    </row>
    <row r="15" spans="1:17">
      <c r="A15" s="179"/>
      <c r="B15" s="14"/>
      <c r="C15" s="13"/>
      <c r="D15" s="686" t="s">
        <v>608</v>
      </c>
      <c r="E15" s="687">
        <f t="shared" si="0"/>
        <v>22234361.970000029</v>
      </c>
      <c r="F15" s="688">
        <f t="shared" ref="F15:F54" si="2">E15/$E$55</f>
        <v>4.3307794731494619E-2</v>
      </c>
      <c r="G15" s="689">
        <f t="shared" si="1"/>
        <v>7592</v>
      </c>
      <c r="H15" s="690">
        <f t="shared" ref="H15:H54" si="3">G15/$G$55</f>
        <v>0.14662314838061763</v>
      </c>
      <c r="I15" s="172"/>
      <c r="K15" s="173"/>
      <c r="M15" s="196"/>
      <c r="N15" s="13"/>
      <c r="O15" s="197"/>
      <c r="P15" s="198"/>
      <c r="Q15" s="197"/>
    </row>
    <row r="16" spans="1:17">
      <c r="A16" s="179"/>
      <c r="B16" s="14"/>
      <c r="C16" s="13"/>
      <c r="D16" s="686" t="s">
        <v>609</v>
      </c>
      <c r="E16" s="687">
        <f t="shared" si="0"/>
        <v>28622074.010000043</v>
      </c>
      <c r="F16" s="688">
        <f t="shared" si="2"/>
        <v>5.5749695344854876E-2</v>
      </c>
      <c r="G16" s="689">
        <f t="shared" si="1"/>
        <v>5767</v>
      </c>
      <c r="H16" s="690">
        <f t="shared" si="3"/>
        <v>0.11137719925066146</v>
      </c>
      <c r="I16" s="172"/>
      <c r="K16" s="173"/>
      <c r="M16" s="196"/>
      <c r="N16" s="13"/>
      <c r="O16" s="197"/>
      <c r="P16" s="198"/>
      <c r="Q16" s="197"/>
    </row>
    <row r="17" spans="1:17">
      <c r="A17" s="179"/>
      <c r="B17" s="14"/>
      <c r="C17" s="13"/>
      <c r="D17" s="686" t="s">
        <v>610</v>
      </c>
      <c r="E17" s="687">
        <f t="shared" si="0"/>
        <v>30348708.139999967</v>
      </c>
      <c r="F17" s="688">
        <f t="shared" si="2"/>
        <v>5.9112810354825608E-2</v>
      </c>
      <c r="G17" s="689">
        <f t="shared" si="1"/>
        <v>4366</v>
      </c>
      <c r="H17" s="690">
        <f t="shared" si="3"/>
        <v>8.4319898028158133E-2</v>
      </c>
      <c r="I17" s="172"/>
      <c r="K17" s="173"/>
      <c r="M17" s="196"/>
      <c r="N17" s="13"/>
      <c r="O17" s="197"/>
      <c r="P17" s="198"/>
      <c r="Q17" s="197"/>
    </row>
    <row r="18" spans="1:17">
      <c r="A18" s="179"/>
      <c r="B18" s="14"/>
      <c r="C18" s="13"/>
      <c r="D18" s="686" t="s">
        <v>611</v>
      </c>
      <c r="E18" s="687">
        <f t="shared" si="0"/>
        <v>31283370.689999953</v>
      </c>
      <c r="F18" s="688">
        <f t="shared" si="2"/>
        <v>6.0933333647251557E-2</v>
      </c>
      <c r="G18" s="689">
        <f t="shared" si="1"/>
        <v>3485</v>
      </c>
      <c r="H18" s="690">
        <f t="shared" si="3"/>
        <v>6.7305278201587521E-2</v>
      </c>
      <c r="I18" s="172"/>
      <c r="K18" s="173"/>
      <c r="M18" s="196"/>
      <c r="N18" s="13"/>
      <c r="O18" s="197"/>
      <c r="P18" s="198"/>
      <c r="Q18" s="197"/>
    </row>
    <row r="19" spans="1:17">
      <c r="A19" s="179"/>
      <c r="B19" s="14"/>
      <c r="C19" s="13"/>
      <c r="D19" s="686" t="s">
        <v>612</v>
      </c>
      <c r="E19" s="687">
        <f t="shared" si="0"/>
        <v>34322435.73999998</v>
      </c>
      <c r="F19" s="688">
        <f t="shared" si="2"/>
        <v>6.6852784159869991E-2</v>
      </c>
      <c r="G19" s="689">
        <f t="shared" si="1"/>
        <v>3123</v>
      </c>
      <c r="H19" s="690">
        <f t="shared" si="3"/>
        <v>6.0314026922111283E-2</v>
      </c>
      <c r="I19" s="172"/>
      <c r="K19" s="173"/>
      <c r="M19" s="196"/>
      <c r="N19" s="13"/>
      <c r="O19" s="197"/>
      <c r="P19" s="198"/>
      <c r="Q19" s="197"/>
    </row>
    <row r="20" spans="1:17">
      <c r="A20" s="179"/>
      <c r="B20" s="14"/>
      <c r="C20" s="13"/>
      <c r="D20" s="686" t="s">
        <v>613</v>
      </c>
      <c r="E20" s="687">
        <f t="shared" si="0"/>
        <v>33907651.489999965</v>
      </c>
      <c r="F20" s="688">
        <f t="shared" si="2"/>
        <v>6.6044872910557106E-2</v>
      </c>
      <c r="G20" s="689">
        <f t="shared" si="1"/>
        <v>2616</v>
      </c>
      <c r="H20" s="690">
        <f t="shared" si="3"/>
        <v>5.0522412561076882E-2</v>
      </c>
      <c r="I20" s="172"/>
      <c r="K20" s="173"/>
      <c r="M20" s="196"/>
      <c r="N20" s="13"/>
      <c r="O20" s="197"/>
      <c r="P20" s="198"/>
      <c r="Q20" s="197"/>
    </row>
    <row r="21" spans="1:17">
      <c r="A21" s="179"/>
      <c r="B21" s="14"/>
      <c r="C21" s="13"/>
      <c r="D21" s="686" t="s">
        <v>614</v>
      </c>
      <c r="E21" s="687">
        <f t="shared" si="0"/>
        <v>31990580.579999939</v>
      </c>
      <c r="F21" s="688">
        <f t="shared" si="2"/>
        <v>6.231082767156973E-2</v>
      </c>
      <c r="G21" s="689">
        <f t="shared" si="1"/>
        <v>2136</v>
      </c>
      <c r="H21" s="690">
        <f t="shared" si="3"/>
        <v>4.1252245118677457E-2</v>
      </c>
      <c r="I21" s="172"/>
      <c r="K21" s="173"/>
      <c r="M21" s="196"/>
      <c r="N21" s="13"/>
      <c r="O21" s="197"/>
      <c r="P21" s="198"/>
      <c r="Q21" s="197"/>
    </row>
    <row r="22" spans="1:17">
      <c r="A22" s="179"/>
      <c r="B22" s="14"/>
      <c r="C22" s="13"/>
      <c r="D22" s="686" t="s">
        <v>615</v>
      </c>
      <c r="E22" s="687">
        <f t="shared" si="0"/>
        <v>32285388.75</v>
      </c>
      <c r="F22" s="688">
        <f t="shared" si="2"/>
        <v>6.2885051106843337E-2</v>
      </c>
      <c r="G22" s="689">
        <f t="shared" si="1"/>
        <v>1900</v>
      </c>
      <c r="H22" s="690">
        <f t="shared" si="3"/>
        <v>3.6694412792831067E-2</v>
      </c>
      <c r="I22" s="172"/>
      <c r="K22" s="173"/>
      <c r="M22" s="196"/>
      <c r="N22" s="13"/>
      <c r="O22" s="197"/>
      <c r="P22" s="198"/>
      <c r="Q22" s="197"/>
    </row>
    <row r="23" spans="1:17">
      <c r="A23" s="179"/>
      <c r="B23" s="14"/>
      <c r="C23" s="13"/>
      <c r="D23" s="686" t="s">
        <v>616</v>
      </c>
      <c r="E23" s="687">
        <f t="shared" si="0"/>
        <v>29845100.439999972</v>
      </c>
      <c r="F23" s="688">
        <f t="shared" si="2"/>
        <v>5.813188997014232E-2</v>
      </c>
      <c r="G23" s="689">
        <f t="shared" si="1"/>
        <v>1575</v>
      </c>
      <c r="H23" s="690">
        <f t="shared" si="3"/>
        <v>3.0417736920373126E-2</v>
      </c>
      <c r="I23" s="172"/>
      <c r="K23" s="173"/>
      <c r="M23" s="196"/>
      <c r="N23" s="13"/>
      <c r="O23" s="197"/>
      <c r="P23" s="198"/>
      <c r="Q23" s="197"/>
    </row>
    <row r="24" spans="1:17">
      <c r="A24" s="179"/>
      <c r="B24" s="14"/>
      <c r="C24" s="13"/>
      <c r="D24" s="686" t="s">
        <v>617</v>
      </c>
      <c r="E24" s="687">
        <f t="shared" si="0"/>
        <v>26591485.799999975</v>
      </c>
      <c r="F24" s="688">
        <f t="shared" si="2"/>
        <v>5.1794542617669338E-2</v>
      </c>
      <c r="G24" s="689">
        <f t="shared" si="1"/>
        <v>1267</v>
      </c>
      <c r="H24" s="690">
        <f t="shared" si="3"/>
        <v>2.4469379478166825E-2</v>
      </c>
      <c r="I24" s="172"/>
      <c r="K24" s="173"/>
      <c r="M24" s="196"/>
      <c r="N24" s="13"/>
      <c r="O24" s="197"/>
      <c r="P24" s="198"/>
      <c r="Q24" s="197"/>
    </row>
    <row r="25" spans="1:17">
      <c r="A25" s="179"/>
      <c r="B25" s="14"/>
      <c r="C25" s="13"/>
      <c r="D25" s="686" t="s">
        <v>618</v>
      </c>
      <c r="E25" s="687">
        <f t="shared" si="0"/>
        <v>24179006.389999975</v>
      </c>
      <c r="F25" s="688">
        <f t="shared" si="2"/>
        <v>4.7095547286784334E-2</v>
      </c>
      <c r="G25" s="689">
        <f t="shared" si="1"/>
        <v>1053</v>
      </c>
      <c r="H25" s="690">
        <f t="shared" si="3"/>
        <v>2.0336429826763747E-2</v>
      </c>
      <c r="I25" s="172"/>
      <c r="K25" s="173"/>
      <c r="M25" s="196"/>
      <c r="N25" s="13"/>
      <c r="O25" s="197"/>
      <c r="P25" s="198"/>
      <c r="Q25" s="197"/>
    </row>
    <row r="26" spans="1:17">
      <c r="A26" s="179"/>
      <c r="B26" s="14"/>
      <c r="C26" s="13"/>
      <c r="D26" s="686" t="s">
        <v>619</v>
      </c>
      <c r="E26" s="687">
        <f t="shared" si="0"/>
        <v>20849816.599999994</v>
      </c>
      <c r="F26" s="688">
        <f t="shared" si="2"/>
        <v>4.0610995661599709E-2</v>
      </c>
      <c r="G26" s="689">
        <f t="shared" si="1"/>
        <v>835</v>
      </c>
      <c r="H26" s="690">
        <f t="shared" si="3"/>
        <v>1.6126228780007339E-2</v>
      </c>
      <c r="I26" s="172"/>
      <c r="K26" s="173"/>
      <c r="M26" s="196"/>
      <c r="N26" s="13"/>
      <c r="O26" s="197"/>
      <c r="P26" s="198"/>
      <c r="Q26" s="197"/>
    </row>
    <row r="27" spans="1:17">
      <c r="A27" s="179"/>
      <c r="B27" s="14"/>
      <c r="C27" s="13"/>
      <c r="D27" s="686" t="s">
        <v>620</v>
      </c>
      <c r="E27" s="687">
        <f t="shared" si="0"/>
        <v>22549193.950000051</v>
      </c>
      <c r="F27" s="688">
        <f t="shared" si="2"/>
        <v>4.3921020277752604E-2</v>
      </c>
      <c r="G27" s="689">
        <f t="shared" si="1"/>
        <v>837</v>
      </c>
      <c r="H27" s="690">
        <f t="shared" si="3"/>
        <v>1.6164854477684003E-2</v>
      </c>
      <c r="I27" s="172"/>
      <c r="K27" s="173"/>
      <c r="M27" s="196"/>
      <c r="N27" s="13"/>
      <c r="O27" s="197"/>
      <c r="P27" s="198"/>
      <c r="Q27" s="197"/>
    </row>
    <row r="28" spans="1:17">
      <c r="A28" s="179"/>
      <c r="B28" s="14"/>
      <c r="C28" s="13"/>
      <c r="D28" s="686" t="s">
        <v>621</v>
      </c>
      <c r="E28" s="687">
        <f t="shared" si="0"/>
        <v>19746055.349999998</v>
      </c>
      <c r="F28" s="688">
        <f t="shared" si="2"/>
        <v>3.8461104168779972E-2</v>
      </c>
      <c r="G28" s="689">
        <f t="shared" si="1"/>
        <v>681</v>
      </c>
      <c r="H28" s="690">
        <f t="shared" si="3"/>
        <v>1.3152050058904189E-2</v>
      </c>
      <c r="I28" s="172"/>
      <c r="K28" s="173"/>
      <c r="M28" s="196"/>
      <c r="N28" s="13"/>
      <c r="O28" s="197"/>
      <c r="P28" s="198"/>
      <c r="Q28" s="197"/>
    </row>
    <row r="29" spans="1:17">
      <c r="A29" s="179"/>
      <c r="B29" s="14"/>
      <c r="C29" s="13"/>
      <c r="D29" s="686" t="s">
        <v>622</v>
      </c>
      <c r="E29" s="687">
        <f t="shared" si="0"/>
        <v>16379161.129999984</v>
      </c>
      <c r="F29" s="688">
        <f t="shared" si="2"/>
        <v>3.1903112355965386E-2</v>
      </c>
      <c r="G29" s="689">
        <f t="shared" si="1"/>
        <v>528</v>
      </c>
      <c r="H29" s="690">
        <f t="shared" si="3"/>
        <v>1.019718418663937E-2</v>
      </c>
      <c r="I29" s="172"/>
      <c r="K29" s="173"/>
      <c r="M29" s="196"/>
      <c r="N29" s="13"/>
      <c r="O29" s="197"/>
      <c r="P29" s="198"/>
      <c r="Q29" s="197"/>
    </row>
    <row r="30" spans="1:17">
      <c r="A30" s="179"/>
      <c r="B30" s="14"/>
      <c r="C30" s="13"/>
      <c r="D30" s="686" t="s">
        <v>623</v>
      </c>
      <c r="E30" s="687">
        <f t="shared" si="0"/>
        <v>15210009.110000022</v>
      </c>
      <c r="F30" s="688">
        <f t="shared" si="2"/>
        <v>2.9625853590438928E-2</v>
      </c>
      <c r="G30" s="689">
        <f t="shared" si="1"/>
        <v>461</v>
      </c>
      <c r="H30" s="690">
        <f t="shared" si="3"/>
        <v>8.9032233144711176E-3</v>
      </c>
      <c r="I30" s="172"/>
      <c r="K30" s="173"/>
      <c r="M30" s="196"/>
      <c r="N30" s="13"/>
      <c r="O30" s="197"/>
      <c r="P30" s="198"/>
      <c r="Q30" s="197"/>
    </row>
    <row r="31" spans="1:17">
      <c r="A31" s="179"/>
      <c r="B31" s="14"/>
      <c r="C31" s="13"/>
      <c r="D31" s="686" t="s">
        <v>624</v>
      </c>
      <c r="E31" s="687">
        <f t="shared" si="0"/>
        <v>14486714.030000001</v>
      </c>
      <c r="F31" s="688">
        <f t="shared" si="2"/>
        <v>2.8217029046824608E-2</v>
      </c>
      <c r="G31" s="689">
        <f t="shared" si="1"/>
        <v>414</v>
      </c>
      <c r="H31" s="690">
        <f t="shared" si="3"/>
        <v>7.9955194190695078E-3</v>
      </c>
      <c r="I31" s="172"/>
      <c r="K31" s="173"/>
      <c r="M31" s="196"/>
      <c r="N31" s="13"/>
      <c r="O31" s="197"/>
      <c r="P31" s="198"/>
      <c r="Q31" s="197"/>
    </row>
    <row r="32" spans="1:17">
      <c r="A32" s="179"/>
      <c r="B32" s="14"/>
      <c r="C32" s="13"/>
      <c r="D32" s="686" t="s">
        <v>625</v>
      </c>
      <c r="E32" s="687">
        <f t="shared" si="0"/>
        <v>11653521.179999992</v>
      </c>
      <c r="F32" s="688">
        <f t="shared" si="2"/>
        <v>2.2698573669148733E-2</v>
      </c>
      <c r="G32" s="689">
        <f t="shared" si="1"/>
        <v>315</v>
      </c>
      <c r="H32" s="690">
        <f t="shared" si="3"/>
        <v>6.0835473840746244E-3</v>
      </c>
      <c r="I32" s="172"/>
      <c r="K32" s="173"/>
      <c r="M32" s="196"/>
      <c r="N32" s="13"/>
      <c r="O32" s="197"/>
      <c r="P32" s="198"/>
      <c r="Q32" s="197"/>
    </row>
    <row r="33" spans="1:17">
      <c r="A33" s="179"/>
      <c r="B33" s="14"/>
      <c r="C33" s="13"/>
      <c r="D33" s="686" t="s">
        <v>626</v>
      </c>
      <c r="E33" s="687">
        <f t="shared" si="0"/>
        <v>10877761.839999991</v>
      </c>
      <c r="F33" s="688">
        <f t="shared" si="2"/>
        <v>2.1187559937201301E-2</v>
      </c>
      <c r="G33" s="689">
        <f t="shared" si="1"/>
        <v>279</v>
      </c>
      <c r="H33" s="690">
        <f t="shared" si="3"/>
        <v>5.3882848258946679E-3</v>
      </c>
      <c r="I33" s="172"/>
      <c r="K33" s="173"/>
      <c r="M33" s="196"/>
      <c r="N33" s="13"/>
      <c r="O33" s="197"/>
      <c r="P33" s="198"/>
      <c r="Q33" s="197"/>
    </row>
    <row r="34" spans="1:17">
      <c r="A34" s="179"/>
      <c r="B34" s="14"/>
      <c r="C34" s="13"/>
      <c r="D34" s="686" t="s">
        <v>627</v>
      </c>
      <c r="E34" s="687">
        <f t="shared" si="0"/>
        <v>8683529.4600000009</v>
      </c>
      <c r="F34" s="688">
        <f t="shared" si="2"/>
        <v>1.6913663270660781E-2</v>
      </c>
      <c r="G34" s="689">
        <f t="shared" si="1"/>
        <v>212</v>
      </c>
      <c r="H34" s="690">
        <f t="shared" si="3"/>
        <v>4.0943239537264142E-3</v>
      </c>
      <c r="I34" s="172"/>
      <c r="K34" s="173"/>
      <c r="M34" s="196"/>
      <c r="N34" s="13"/>
      <c r="O34" s="197"/>
      <c r="P34" s="198"/>
      <c r="Q34" s="197"/>
    </row>
    <row r="35" spans="1:17">
      <c r="A35" s="179"/>
      <c r="B35" s="14"/>
      <c r="C35" s="13"/>
      <c r="D35" s="686" t="s">
        <v>628</v>
      </c>
      <c r="E35" s="687">
        <f t="shared" si="0"/>
        <v>7164549.3999999985</v>
      </c>
      <c r="F35" s="688">
        <f t="shared" si="2"/>
        <v>1.395501409833585E-2</v>
      </c>
      <c r="G35" s="689">
        <f t="shared" si="1"/>
        <v>167</v>
      </c>
      <c r="H35" s="690">
        <f t="shared" si="3"/>
        <v>3.2252457560014679E-3</v>
      </c>
      <c r="I35" s="172"/>
      <c r="K35" s="173"/>
      <c r="M35" s="196"/>
      <c r="N35" s="13"/>
      <c r="O35" s="197"/>
      <c r="P35" s="198"/>
      <c r="Q35" s="197"/>
    </row>
    <row r="36" spans="1:17">
      <c r="A36" s="179"/>
      <c r="B36" s="14"/>
      <c r="C36" s="13"/>
      <c r="D36" s="686" t="s">
        <v>629</v>
      </c>
      <c r="E36" s="687">
        <f t="shared" si="0"/>
        <v>6795063.6899999976</v>
      </c>
      <c r="F36" s="688">
        <f t="shared" si="2"/>
        <v>1.3235334743178687E-2</v>
      </c>
      <c r="G36" s="689">
        <f t="shared" si="1"/>
        <v>151</v>
      </c>
      <c r="H36" s="690">
        <f t="shared" si="3"/>
        <v>2.9162401745881535E-3</v>
      </c>
      <c r="I36" s="172"/>
      <c r="K36" s="173"/>
      <c r="M36" s="196"/>
      <c r="N36" s="13"/>
      <c r="O36" s="197"/>
      <c r="P36" s="198"/>
      <c r="Q36" s="197"/>
    </row>
    <row r="37" spans="1:17">
      <c r="A37" s="179"/>
      <c r="B37" s="14"/>
      <c r="C37" s="13"/>
      <c r="D37" s="686" t="s">
        <v>630</v>
      </c>
      <c r="E37" s="687">
        <f t="shared" si="0"/>
        <v>5210474.4200000018</v>
      </c>
      <c r="F37" s="688">
        <f t="shared" si="2"/>
        <v>1.0148892823618237E-2</v>
      </c>
      <c r="G37" s="689">
        <f t="shared" si="1"/>
        <v>111</v>
      </c>
      <c r="H37" s="690">
        <f t="shared" si="3"/>
        <v>2.1437262210548679E-3</v>
      </c>
      <c r="I37" s="172"/>
      <c r="K37" s="173"/>
      <c r="M37" s="196"/>
      <c r="N37" s="13"/>
      <c r="O37" s="197"/>
      <c r="P37" s="198"/>
      <c r="Q37" s="197"/>
    </row>
    <row r="38" spans="1:17">
      <c r="A38" s="179"/>
      <c r="B38" s="14"/>
      <c r="C38" s="13"/>
      <c r="D38" s="686" t="s">
        <v>631</v>
      </c>
      <c r="E38" s="687">
        <f t="shared" si="0"/>
        <v>4594798.3899999997</v>
      </c>
      <c r="F38" s="688">
        <f t="shared" si="2"/>
        <v>8.9496872352448111E-3</v>
      </c>
      <c r="G38" s="689">
        <f t="shared" si="1"/>
        <v>94</v>
      </c>
      <c r="H38" s="690">
        <f t="shared" si="3"/>
        <v>1.8154077908032213E-3</v>
      </c>
      <c r="I38" s="172"/>
      <c r="K38" s="173"/>
      <c r="M38" s="196"/>
      <c r="N38" s="13"/>
      <c r="O38" s="197"/>
      <c r="P38" s="198"/>
      <c r="Q38" s="197"/>
    </row>
    <row r="39" spans="1:17">
      <c r="A39" s="179"/>
      <c r="B39" s="14"/>
      <c r="C39" s="13"/>
      <c r="D39" s="686" t="s">
        <v>632</v>
      </c>
      <c r="E39" s="687">
        <f t="shared" si="0"/>
        <v>2605194.600000001</v>
      </c>
      <c r="F39" s="688">
        <f t="shared" si="2"/>
        <v>5.0743634166174421E-3</v>
      </c>
      <c r="G39" s="689">
        <f t="shared" si="1"/>
        <v>51</v>
      </c>
      <c r="H39" s="690">
        <f t="shared" si="3"/>
        <v>9.8495529075493925E-4</v>
      </c>
      <c r="I39" s="172"/>
      <c r="K39" s="173"/>
      <c r="M39" s="196"/>
      <c r="N39" s="13"/>
      <c r="O39" s="197"/>
      <c r="P39" s="198"/>
      <c r="Q39" s="197"/>
    </row>
    <row r="40" spans="1:17">
      <c r="A40" s="179"/>
      <c r="B40" s="14"/>
      <c r="C40" s="13"/>
      <c r="D40" s="686" t="s">
        <v>633</v>
      </c>
      <c r="E40" s="687">
        <f t="shared" si="0"/>
        <v>2810800.05</v>
      </c>
      <c r="F40" s="688">
        <f t="shared" si="2"/>
        <v>5.4748389794553052E-3</v>
      </c>
      <c r="G40" s="689">
        <f t="shared" si="1"/>
        <v>53</v>
      </c>
      <c r="H40" s="690">
        <f t="shared" si="3"/>
        <v>1.0235809884316036E-3</v>
      </c>
      <c r="I40" s="172"/>
      <c r="K40" s="173"/>
      <c r="M40" s="196"/>
      <c r="N40" s="13"/>
      <c r="O40" s="197"/>
      <c r="P40" s="198"/>
      <c r="Q40" s="197"/>
    </row>
    <row r="41" spans="1:17">
      <c r="A41" s="179"/>
      <c r="B41" s="14"/>
      <c r="C41" s="13"/>
      <c r="D41" s="686" t="s">
        <v>634</v>
      </c>
      <c r="E41" s="687">
        <f t="shared" si="0"/>
        <v>2086765.5199999998</v>
      </c>
      <c r="F41" s="688">
        <f t="shared" si="2"/>
        <v>4.0645741449589481E-3</v>
      </c>
      <c r="G41" s="689">
        <f t="shared" si="1"/>
        <v>38</v>
      </c>
      <c r="H41" s="690">
        <f t="shared" si="3"/>
        <v>7.338882558566214E-4</v>
      </c>
      <c r="I41" s="172"/>
      <c r="K41" s="173"/>
      <c r="M41" s="196"/>
      <c r="N41" s="13"/>
      <c r="O41" s="197"/>
      <c r="P41" s="198"/>
      <c r="Q41" s="197"/>
    </row>
    <row r="42" spans="1:17">
      <c r="A42" s="179"/>
      <c r="B42" s="14"/>
      <c r="C42" s="13"/>
      <c r="D42" s="686" t="s">
        <v>635</v>
      </c>
      <c r="E42" s="687">
        <f t="shared" si="0"/>
        <v>1710361.5499999998</v>
      </c>
      <c r="F42" s="688">
        <f t="shared" si="2"/>
        <v>3.3314194949233735E-3</v>
      </c>
      <c r="G42" s="689">
        <f t="shared" si="1"/>
        <v>30</v>
      </c>
      <c r="H42" s="690">
        <f t="shared" si="3"/>
        <v>5.7938546514996431E-4</v>
      </c>
      <c r="I42" s="172"/>
      <c r="K42" s="173"/>
      <c r="M42" s="196"/>
      <c r="N42" s="13"/>
      <c r="O42" s="197"/>
      <c r="P42" s="198"/>
      <c r="Q42" s="197"/>
    </row>
    <row r="43" spans="1:17">
      <c r="A43" s="179"/>
      <c r="B43" s="14"/>
      <c r="C43" s="13"/>
      <c r="D43" s="686" t="s">
        <v>636</v>
      </c>
      <c r="E43" s="687">
        <f t="shared" si="0"/>
        <v>1059293.57</v>
      </c>
      <c r="F43" s="688">
        <f t="shared" si="2"/>
        <v>2.0632779367292125E-3</v>
      </c>
      <c r="G43" s="689">
        <f t="shared" si="1"/>
        <v>18</v>
      </c>
      <c r="H43" s="690">
        <f t="shared" si="3"/>
        <v>3.4763127908997855E-4</v>
      </c>
      <c r="I43" s="172"/>
      <c r="K43" s="173"/>
      <c r="M43" s="196"/>
      <c r="N43" s="13"/>
      <c r="O43" s="197"/>
      <c r="P43" s="198"/>
      <c r="Q43" s="197"/>
    </row>
    <row r="44" spans="1:17">
      <c r="A44" s="179"/>
      <c r="B44" s="14"/>
      <c r="C44" s="13"/>
      <c r="D44" s="686" t="s">
        <v>637</v>
      </c>
      <c r="E44" s="687">
        <f t="shared" si="0"/>
        <v>853699.60999999987</v>
      </c>
      <c r="F44" s="688">
        <f t="shared" si="2"/>
        <v>1.6628247539606353E-3</v>
      </c>
      <c r="G44" s="689">
        <f t="shared" si="1"/>
        <v>14</v>
      </c>
      <c r="H44" s="690">
        <f t="shared" si="3"/>
        <v>2.7037988373665E-4</v>
      </c>
      <c r="I44" s="172"/>
      <c r="K44" s="173"/>
      <c r="M44" s="196"/>
      <c r="N44" s="13"/>
      <c r="O44" s="197"/>
      <c r="P44" s="198"/>
      <c r="Q44" s="197"/>
    </row>
    <row r="45" spans="1:17">
      <c r="A45" s="179"/>
      <c r="B45" s="14"/>
      <c r="C45" s="13"/>
      <c r="D45" s="686" t="s">
        <v>638</v>
      </c>
      <c r="E45" s="687">
        <f t="shared" si="0"/>
        <v>377033.99</v>
      </c>
      <c r="F45" s="688">
        <f t="shared" si="2"/>
        <v>7.3438179461807033E-4</v>
      </c>
      <c r="G45" s="689">
        <f t="shared" si="1"/>
        <v>6</v>
      </c>
      <c r="H45" s="690">
        <f t="shared" si="3"/>
        <v>1.1587709302999285E-4</v>
      </c>
      <c r="I45" s="172"/>
      <c r="K45" s="173"/>
      <c r="M45" s="196"/>
      <c r="N45" s="13"/>
      <c r="O45" s="197"/>
      <c r="P45" s="198"/>
      <c r="Q45" s="197"/>
    </row>
    <row r="46" spans="1:17">
      <c r="A46" s="179"/>
      <c r="B46" s="14"/>
      <c r="C46" s="13"/>
      <c r="D46" s="686" t="s">
        <v>639</v>
      </c>
      <c r="E46" s="687">
        <f t="shared" si="0"/>
        <v>581684.47000000009</v>
      </c>
      <c r="F46" s="688">
        <f t="shared" si="2"/>
        <v>1.1329972795823028E-3</v>
      </c>
      <c r="G46" s="689">
        <f t="shared" si="1"/>
        <v>9</v>
      </c>
      <c r="H46" s="690">
        <f t="shared" si="3"/>
        <v>1.7381563954498928E-4</v>
      </c>
      <c r="I46" s="172"/>
      <c r="K46" s="173"/>
      <c r="M46" s="196"/>
      <c r="N46" s="13"/>
      <c r="O46" s="197"/>
      <c r="P46" s="198"/>
      <c r="Q46" s="197"/>
    </row>
    <row r="47" spans="1:17">
      <c r="A47" s="179"/>
      <c r="B47" s="14"/>
      <c r="C47" s="13"/>
      <c r="D47" s="686" t="s">
        <v>640</v>
      </c>
      <c r="E47" s="687">
        <f t="shared" si="0"/>
        <v>267377</v>
      </c>
      <c r="F47" s="688">
        <f t="shared" si="2"/>
        <v>5.2079336693117715E-4</v>
      </c>
      <c r="G47" s="689">
        <f t="shared" si="1"/>
        <v>4</v>
      </c>
      <c r="H47" s="690">
        <f t="shared" si="3"/>
        <v>7.7251395353328576E-5</v>
      </c>
      <c r="I47" s="172"/>
      <c r="K47" s="173"/>
      <c r="M47" s="196"/>
      <c r="N47" s="13"/>
      <c r="O47" s="197"/>
      <c r="P47" s="198"/>
      <c r="Q47" s="197"/>
    </row>
    <row r="48" spans="1:17">
      <c r="A48" s="179"/>
      <c r="B48" s="14"/>
      <c r="C48" s="13"/>
      <c r="D48" s="686" t="s">
        <v>641</v>
      </c>
      <c r="E48" s="687">
        <f t="shared" si="0"/>
        <v>0</v>
      </c>
      <c r="F48" s="688">
        <f t="shared" si="2"/>
        <v>0</v>
      </c>
      <c r="G48" s="689">
        <f t="shared" si="1"/>
        <v>0</v>
      </c>
      <c r="H48" s="690">
        <f t="shared" si="3"/>
        <v>0</v>
      </c>
      <c r="I48" s="172"/>
      <c r="K48" s="173"/>
      <c r="M48" s="196"/>
      <c r="N48" s="13"/>
      <c r="O48" s="197"/>
      <c r="P48" s="198"/>
      <c r="Q48" s="197"/>
    </row>
    <row r="49" spans="1:17">
      <c r="A49" s="179"/>
      <c r="B49" s="14"/>
      <c r="C49" s="13"/>
      <c r="D49" s="686" t="s">
        <v>642</v>
      </c>
      <c r="E49" s="687">
        <f t="shared" si="0"/>
        <v>140825.83000000002</v>
      </c>
      <c r="F49" s="688">
        <f t="shared" si="2"/>
        <v>2.7429867997837354E-4</v>
      </c>
      <c r="G49" s="689">
        <f t="shared" si="1"/>
        <v>2</v>
      </c>
      <c r="H49" s="690">
        <f t="shared" si="3"/>
        <v>3.8625697676664288E-5</v>
      </c>
      <c r="I49" s="172"/>
      <c r="K49" s="173"/>
      <c r="M49" s="196"/>
      <c r="N49" s="13"/>
      <c r="O49" s="197"/>
      <c r="P49" s="198"/>
      <c r="Q49" s="197"/>
    </row>
    <row r="50" spans="1:17">
      <c r="A50" s="179"/>
      <c r="B50" s="14"/>
      <c r="C50" s="13"/>
      <c r="D50" s="686" t="s">
        <v>643</v>
      </c>
      <c r="E50" s="687">
        <f t="shared" si="0"/>
        <v>0</v>
      </c>
      <c r="F50" s="688">
        <f t="shared" si="2"/>
        <v>0</v>
      </c>
      <c r="G50" s="689">
        <f t="shared" si="1"/>
        <v>0</v>
      </c>
      <c r="H50" s="690">
        <f t="shared" si="3"/>
        <v>0</v>
      </c>
      <c r="I50" s="172"/>
      <c r="K50" s="173"/>
      <c r="M50" s="196"/>
      <c r="N50" s="13"/>
      <c r="O50" s="197"/>
      <c r="P50" s="198"/>
      <c r="Q50" s="197"/>
    </row>
    <row r="51" spans="1:17">
      <c r="A51" s="179"/>
      <c r="B51" s="14"/>
      <c r="C51" s="13"/>
      <c r="D51" s="686" t="s">
        <v>644</v>
      </c>
      <c r="E51" s="687">
        <f t="shared" si="0"/>
        <v>0</v>
      </c>
      <c r="F51" s="688">
        <f t="shared" si="2"/>
        <v>0</v>
      </c>
      <c r="G51" s="689">
        <f t="shared" si="1"/>
        <v>0</v>
      </c>
      <c r="H51" s="690">
        <f t="shared" si="3"/>
        <v>0</v>
      </c>
      <c r="I51" s="172"/>
      <c r="K51" s="173"/>
      <c r="M51" s="196"/>
      <c r="N51" s="13"/>
      <c r="O51" s="197"/>
      <c r="P51" s="198"/>
      <c r="Q51" s="197"/>
    </row>
    <row r="52" spans="1:17">
      <c r="A52" s="179"/>
      <c r="B52" s="14"/>
      <c r="C52" s="13"/>
      <c r="D52" s="686" t="s">
        <v>645</v>
      </c>
      <c r="E52" s="687">
        <f t="shared" si="0"/>
        <v>152957.32</v>
      </c>
      <c r="F52" s="688">
        <f t="shared" si="2"/>
        <v>2.9792823496250419E-4</v>
      </c>
      <c r="G52" s="689">
        <f t="shared" si="1"/>
        <v>2</v>
      </c>
      <c r="H52" s="690">
        <f t="shared" si="3"/>
        <v>3.8625697676664288E-5</v>
      </c>
      <c r="I52" s="172"/>
      <c r="K52" s="173"/>
      <c r="M52" s="196"/>
      <c r="N52" s="13"/>
      <c r="O52" s="197"/>
      <c r="P52" s="198"/>
      <c r="Q52" s="197"/>
    </row>
    <row r="53" spans="1:17">
      <c r="A53" s="179"/>
      <c r="B53" s="14"/>
      <c r="C53" s="13"/>
      <c r="D53" s="686" t="s">
        <v>646</v>
      </c>
      <c r="E53" s="687">
        <f t="shared" si="0"/>
        <v>0</v>
      </c>
      <c r="F53" s="688">
        <f t="shared" si="2"/>
        <v>0</v>
      </c>
      <c r="G53" s="689">
        <f t="shared" si="1"/>
        <v>0</v>
      </c>
      <c r="H53" s="690">
        <f t="shared" si="3"/>
        <v>0</v>
      </c>
      <c r="I53" s="172"/>
      <c r="K53" s="173"/>
      <c r="M53" s="196"/>
      <c r="N53" s="13"/>
      <c r="O53" s="197"/>
      <c r="P53" s="198"/>
      <c r="Q53" s="197"/>
    </row>
    <row r="54" spans="1:17" ht="13" thickBot="1">
      <c r="A54" s="179"/>
      <c r="B54" s="14"/>
      <c r="C54" s="13"/>
      <c r="D54" s="686" t="s">
        <v>647</v>
      </c>
      <c r="E54" s="687">
        <f t="shared" si="0"/>
        <v>81268.55</v>
      </c>
      <c r="F54" s="688">
        <f t="shared" si="2"/>
        <v>1.5829380156152071E-4</v>
      </c>
      <c r="G54" s="689">
        <f t="shared" si="1"/>
        <v>1</v>
      </c>
      <c r="H54" s="690">
        <f t="shared" si="3"/>
        <v>1.9312848838332144E-5</v>
      </c>
      <c r="I54" s="172"/>
      <c r="K54" s="173"/>
      <c r="M54" s="196"/>
      <c r="N54" s="13"/>
      <c r="O54" s="197"/>
      <c r="P54" s="198"/>
      <c r="Q54" s="197"/>
    </row>
    <row r="55" spans="1:17" ht="14" thickTop="1" thickBot="1">
      <c r="A55" s="179"/>
      <c r="B55" s="199"/>
      <c r="C55" s="200"/>
      <c r="D55" s="598" t="s">
        <v>36</v>
      </c>
      <c r="E55" s="599">
        <f>SUM(E14:E54)</f>
        <v>513403236.24999982</v>
      </c>
      <c r="F55" s="600">
        <f>SUM(F14:F54)</f>
        <v>1.0000000000000004</v>
      </c>
      <c r="G55" s="691">
        <f>SUM(G14:G54)</f>
        <v>51779</v>
      </c>
      <c r="H55" s="692">
        <f>SUM(H14:H54)</f>
        <v>1</v>
      </c>
      <c r="I55" s="172"/>
      <c r="J55" s="21"/>
      <c r="K55" s="173"/>
      <c r="M55" s="603"/>
      <c r="N55" s="604"/>
      <c r="O55" s="605"/>
      <c r="P55" s="606"/>
      <c r="Q55" s="605"/>
    </row>
    <row r="56" spans="1:17" ht="13">
      <c r="A56" s="179"/>
      <c r="B56" s="199"/>
      <c r="C56" s="200"/>
      <c r="D56" s="614"/>
      <c r="E56" s="615"/>
      <c r="F56" s="616"/>
      <c r="G56" s="606"/>
      <c r="H56" s="605"/>
      <c r="I56" s="172"/>
      <c r="J56" s="21"/>
      <c r="K56" s="173"/>
      <c r="M56" s="603"/>
      <c r="N56" s="604"/>
      <c r="O56" s="605"/>
      <c r="P56" s="606"/>
      <c r="Q56" s="605"/>
    </row>
    <row r="57" spans="1:17" ht="13">
      <c r="A57" s="179"/>
      <c r="B57" s="199"/>
      <c r="C57" s="200"/>
      <c r="D57" s="614"/>
      <c r="E57" s="615"/>
      <c r="F57" s="616"/>
      <c r="G57" s="606"/>
      <c r="H57" s="605"/>
      <c r="I57" s="172"/>
      <c r="J57" s="21"/>
      <c r="K57" s="173"/>
      <c r="M57" s="603"/>
      <c r="N57" s="604"/>
      <c r="O57" s="605"/>
      <c r="P57" s="606"/>
      <c r="Q57" s="605"/>
    </row>
    <row r="58" spans="1:17" ht="13.5" thickBot="1">
      <c r="A58" s="179"/>
      <c r="B58" s="199"/>
      <c r="C58" s="200"/>
      <c r="D58" s="575" t="s">
        <v>69</v>
      </c>
      <c r="E58" s="575" t="s">
        <v>59</v>
      </c>
      <c r="F58" s="607"/>
      <c r="G58" s="607"/>
      <c r="H58" s="607"/>
      <c r="I58" s="172"/>
      <c r="J58" s="21"/>
      <c r="K58" s="173"/>
      <c r="M58" s="508"/>
      <c r="N58" s="508"/>
      <c r="O58" s="199"/>
      <c r="P58" s="199"/>
      <c r="Q58" s="199"/>
    </row>
    <row r="59" spans="1:17" ht="13" thickBot="1">
      <c r="A59" s="179"/>
      <c r="B59" s="199"/>
      <c r="C59" s="200"/>
      <c r="D59" s="515" t="s">
        <v>60</v>
      </c>
      <c r="E59" s="516">
        <f>E55/G55</f>
        <v>9915.2790948067723</v>
      </c>
      <c r="F59" s="607"/>
      <c r="G59" s="607"/>
      <c r="H59" s="607"/>
      <c r="I59" s="172"/>
      <c r="J59" s="21"/>
      <c r="K59" s="173"/>
      <c r="M59" s="203"/>
      <c r="N59" s="232"/>
      <c r="O59" s="199"/>
      <c r="P59" s="199"/>
      <c r="Q59" s="199"/>
    </row>
    <row r="60" spans="1:17">
      <c r="A60" s="179"/>
      <c r="B60" s="21"/>
      <c r="I60" s="496"/>
      <c r="J60" s="21"/>
      <c r="K60" s="173"/>
    </row>
    <row r="61" spans="1:17">
      <c r="A61" s="194"/>
      <c r="B61" s="50"/>
      <c r="C61" s="50"/>
      <c r="D61" s="50"/>
      <c r="E61" s="50"/>
      <c r="F61" s="50"/>
      <c r="G61" s="50"/>
      <c r="H61" s="50"/>
      <c r="I61" s="389"/>
      <c r="J61" s="50"/>
      <c r="K61" s="195"/>
    </row>
    <row r="62" spans="1:17">
      <c r="I62" s="496"/>
    </row>
    <row r="63" spans="1:17">
      <c r="I63" s="496"/>
    </row>
    <row r="64" spans="1:17">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row r="261" spans="9:9">
      <c r="I261" s="496"/>
    </row>
    <row r="262" spans="9:9">
      <c r="I262" s="496"/>
    </row>
    <row r="263" spans="9:9">
      <c r="I263" s="496"/>
    </row>
    <row r="264" spans="9:9">
      <c r="I264" s="496"/>
    </row>
    <row r="265" spans="9:9">
      <c r="I265" s="496"/>
    </row>
    <row r="266" spans="9:9">
      <c r="I266" s="496"/>
    </row>
    <row r="267" spans="9:9">
      <c r="I267" s="496"/>
    </row>
    <row r="268" spans="9:9">
      <c r="I268" s="496"/>
    </row>
    <row r="269" spans="9:9">
      <c r="I269" s="496"/>
    </row>
    <row r="270" spans="9:9">
      <c r="I270" s="496"/>
    </row>
    <row r="271" spans="9:9">
      <c r="I271" s="496"/>
    </row>
    <row r="272" spans="9:9">
      <c r="I272" s="496"/>
    </row>
    <row r="273" spans="9:9">
      <c r="I273" s="496"/>
    </row>
    <row r="274" spans="9:9">
      <c r="I274" s="496"/>
    </row>
    <row r="275" spans="9:9">
      <c r="I275" s="496"/>
    </row>
    <row r="276" spans="9:9">
      <c r="I276" s="496"/>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8164062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45820</v>
      </c>
      <c r="G2" s="106"/>
      <c r="H2" s="106"/>
      <c r="I2" s="106"/>
      <c r="J2" s="108"/>
      <c r="K2" s="358"/>
    </row>
    <row r="3" spans="1:13" s="101" customFormat="1" ht="18">
      <c r="A3" s="102"/>
      <c r="B3" s="103" t="str">
        <f>'Cover Sheet'!B3</f>
        <v>Monthly Investor Report</v>
      </c>
      <c r="C3" s="103"/>
      <c r="D3" s="111" t="str">
        <f>'Cover Sheet'!D3</f>
        <v>Payment Date</v>
      </c>
      <c r="E3" s="112"/>
      <c r="F3" s="113">
        <f>'Cover Sheet'!F3</f>
        <v>45824</v>
      </c>
      <c r="G3" s="112"/>
      <c r="H3" s="112"/>
      <c r="I3" s="112"/>
      <c r="J3" s="114"/>
      <c r="K3" s="124"/>
    </row>
    <row r="4" spans="1:13" s="101" customFormat="1" ht="13">
      <c r="A4" s="102"/>
      <c r="B4" s="156"/>
      <c r="C4" s="157"/>
      <c r="D4" s="111" t="str">
        <f>'Cover Sheet'!D4</f>
        <v>Period  No</v>
      </c>
      <c r="E4" s="112"/>
      <c r="F4" s="116">
        <f>'Cover Sheet'!F4</f>
        <v>43</v>
      </c>
      <c r="G4" s="112"/>
      <c r="H4" s="117"/>
      <c r="I4" s="112"/>
      <c r="J4" s="118"/>
      <c r="K4" s="358"/>
    </row>
    <row r="5" spans="1:13" s="101" customFormat="1" ht="18">
      <c r="A5" s="102"/>
      <c r="B5" s="159" t="s">
        <v>175</v>
      </c>
      <c r="C5" s="119"/>
      <c r="D5" s="111" t="str">
        <f>'Cover Sheet'!D5</f>
        <v>Monthly Period</v>
      </c>
      <c r="E5" s="112"/>
      <c r="F5" s="120">
        <f>'Cover Sheet'!F5</f>
        <v>45824</v>
      </c>
      <c r="G5" s="112"/>
      <c r="H5" s="117"/>
      <c r="I5" s="112"/>
      <c r="J5" s="118"/>
      <c r="K5" s="124"/>
    </row>
    <row r="6" spans="1:13"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25"/>
    </row>
    <row r="7" spans="1:13"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453125" style="143" customWidth="1"/>
    <col min="4" max="4" width="18.81640625" style="143" customWidth="1"/>
    <col min="5" max="5" width="18" style="143" customWidth="1"/>
    <col min="6" max="6" width="18.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7.17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45820</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45824</v>
      </c>
      <c r="G3" s="112"/>
      <c r="H3" s="112"/>
      <c r="I3" s="112"/>
      <c r="J3" s="114"/>
      <c r="K3" s="124"/>
      <c r="M3" s="163"/>
      <c r="N3" s="21"/>
      <c r="O3" s="472"/>
      <c r="P3" s="21"/>
      <c r="Q3" s="21"/>
    </row>
    <row r="4" spans="1:17" s="101" customFormat="1" ht="13">
      <c r="A4" s="102"/>
      <c r="B4" s="156"/>
      <c r="C4" s="157"/>
      <c r="D4" s="111" t="str">
        <f>'Cover Sheet'!D4</f>
        <v>Period  No</v>
      </c>
      <c r="E4" s="112"/>
      <c r="F4" s="116">
        <f>'Cover Sheet'!F4</f>
        <v>43</v>
      </c>
      <c r="G4" s="112"/>
      <c r="H4" s="117"/>
      <c r="I4" s="112"/>
      <c r="J4" s="118"/>
      <c r="K4" s="358"/>
      <c r="M4" s="163"/>
      <c r="N4" s="21"/>
      <c r="O4" s="228"/>
      <c r="P4" s="21"/>
      <c r="Q4" s="163"/>
    </row>
    <row r="5" spans="1:17" s="101" customFormat="1" ht="18">
      <c r="A5" s="102"/>
      <c r="B5" s="159" t="s">
        <v>176</v>
      </c>
      <c r="C5" s="119"/>
      <c r="D5" s="111" t="str">
        <f>'Cover Sheet'!D5</f>
        <v>Monthly Period</v>
      </c>
      <c r="E5" s="112"/>
      <c r="F5" s="120">
        <f>'Cover Sheet'!F5</f>
        <v>45824</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104"/>
      <c r="E12" s="104"/>
      <c r="F12" s="21"/>
      <c r="G12" s="360"/>
      <c r="H12" s="360"/>
      <c r="I12" s="21"/>
      <c r="K12" s="109"/>
      <c r="M12" s="21"/>
      <c r="N12" s="21"/>
      <c r="O12" s="21"/>
      <c r="P12" s="361"/>
      <c r="Q12" s="361"/>
    </row>
    <row r="13" spans="1:17" s="101" customFormat="1" ht="29.25" customHeight="1" thickBot="1">
      <c r="A13" s="102"/>
      <c r="B13" s="494"/>
      <c r="C13" s="21"/>
      <c r="E13" s="477" t="s">
        <v>62</v>
      </c>
      <c r="F13" s="671" t="s">
        <v>71</v>
      </c>
      <c r="G13" s="478" t="s">
        <v>118</v>
      </c>
      <c r="H13" s="479" t="s">
        <v>61</v>
      </c>
      <c r="I13" s="172"/>
      <c r="K13" s="109"/>
      <c r="M13" s="672"/>
      <c r="N13" s="214"/>
      <c r="O13" s="214"/>
      <c r="P13" s="214"/>
      <c r="Q13" s="214"/>
    </row>
    <row r="14" spans="1:17" s="101" customFormat="1">
      <c r="A14" s="102"/>
      <c r="B14" s="171"/>
      <c r="C14" s="171"/>
      <c r="E14" s="673">
        <v>1</v>
      </c>
      <c r="F14" s="663">
        <f t="shared" ref="F14:F38" si="0">VLOOKUP(CONCATENATE("Borrower_",E14),Assets_21,3,0)</f>
        <v>81268.55</v>
      </c>
      <c r="G14" s="674">
        <f t="shared" ref="G14:G38" si="1">F14/VLOOKUP("Outstanding_eop_current",calcdata_21,2,0)</f>
        <v>1.5829380156152069E-4</v>
      </c>
      <c r="H14" s="675">
        <f t="shared" ref="H14:H38" si="2">VLOOKUP(CONCATENATE("Borrower_",E14),Assets_21,2,0)</f>
        <v>1</v>
      </c>
      <c r="I14" s="172"/>
      <c r="K14" s="109"/>
      <c r="M14" s="21"/>
      <c r="N14" s="484"/>
      <c r="O14" s="485"/>
      <c r="P14" s="368"/>
      <c r="Q14" s="21"/>
    </row>
    <row r="15" spans="1:17">
      <c r="A15" s="179"/>
      <c r="B15" s="14"/>
      <c r="C15" s="13"/>
      <c r="E15" s="673">
        <f>+E14+1</f>
        <v>2</v>
      </c>
      <c r="F15" s="663">
        <f t="shared" si="0"/>
        <v>76698.95</v>
      </c>
      <c r="G15" s="674">
        <f t="shared" si="1"/>
        <v>1.4939319541540974E-4</v>
      </c>
      <c r="H15" s="675">
        <f t="shared" si="2"/>
        <v>1</v>
      </c>
      <c r="I15" s="172"/>
      <c r="K15" s="173"/>
      <c r="N15" s="484"/>
      <c r="O15" s="485"/>
      <c r="P15" s="368"/>
    </row>
    <row r="16" spans="1:17">
      <c r="A16" s="179"/>
      <c r="B16" s="14"/>
      <c r="C16" s="13"/>
      <c r="E16" s="673">
        <f t="shared" ref="E16:E38" si="3">+E15+1</f>
        <v>3</v>
      </c>
      <c r="F16" s="663">
        <f t="shared" si="0"/>
        <v>76258.37</v>
      </c>
      <c r="G16" s="674">
        <f t="shared" si="1"/>
        <v>1.4853503954709443E-4</v>
      </c>
      <c r="H16" s="675">
        <f t="shared" si="2"/>
        <v>1</v>
      </c>
      <c r="I16" s="172"/>
      <c r="K16" s="173"/>
      <c r="N16" s="484"/>
      <c r="O16" s="485"/>
      <c r="P16" s="368"/>
    </row>
    <row r="17" spans="1:16">
      <c r="A17" s="179"/>
      <c r="B17" s="14"/>
      <c r="C17" s="13"/>
      <c r="E17" s="673">
        <f t="shared" si="3"/>
        <v>4</v>
      </c>
      <c r="F17" s="663">
        <f t="shared" si="0"/>
        <v>70415.06</v>
      </c>
      <c r="G17" s="674">
        <f t="shared" si="1"/>
        <v>1.3715351799167786E-4</v>
      </c>
      <c r="H17" s="675">
        <f t="shared" si="2"/>
        <v>1</v>
      </c>
      <c r="I17" s="172"/>
      <c r="K17" s="173"/>
      <c r="N17" s="484"/>
      <c r="O17" s="485"/>
      <c r="P17" s="368"/>
    </row>
    <row r="18" spans="1:16">
      <c r="A18" s="179"/>
      <c r="B18" s="14"/>
      <c r="C18" s="13"/>
      <c r="E18" s="673">
        <f t="shared" si="3"/>
        <v>5</v>
      </c>
      <c r="F18" s="663">
        <f t="shared" si="0"/>
        <v>70410.77</v>
      </c>
      <c r="G18" s="674">
        <f t="shared" si="1"/>
        <v>1.3714516198669565E-4</v>
      </c>
      <c r="H18" s="675">
        <f t="shared" si="2"/>
        <v>1</v>
      </c>
      <c r="I18" s="172"/>
      <c r="K18" s="173"/>
      <c r="N18" s="484"/>
      <c r="O18" s="485"/>
      <c r="P18" s="368"/>
    </row>
    <row r="19" spans="1:16">
      <c r="A19" s="179"/>
      <c r="B19" s="14"/>
      <c r="C19" s="13"/>
      <c r="E19" s="673">
        <f t="shared" si="3"/>
        <v>6</v>
      </c>
      <c r="F19" s="663">
        <f t="shared" si="0"/>
        <v>69106.600000000006</v>
      </c>
      <c r="G19" s="674">
        <f t="shared" si="1"/>
        <v>1.3460491699422944E-4</v>
      </c>
      <c r="H19" s="675">
        <f t="shared" si="2"/>
        <v>2</v>
      </c>
      <c r="I19" s="172"/>
      <c r="K19" s="173"/>
      <c r="N19" s="484"/>
      <c r="O19" s="485"/>
      <c r="P19" s="368"/>
    </row>
    <row r="20" spans="1:16">
      <c r="A20" s="179"/>
      <c r="B20" s="14"/>
      <c r="C20" s="13"/>
      <c r="E20" s="673">
        <f t="shared" si="3"/>
        <v>7</v>
      </c>
      <c r="F20" s="663">
        <f t="shared" si="0"/>
        <v>68763.28</v>
      </c>
      <c r="G20" s="674">
        <f t="shared" si="1"/>
        <v>1.3393620286124562E-4</v>
      </c>
      <c r="H20" s="675">
        <f t="shared" si="2"/>
        <v>2</v>
      </c>
      <c r="I20" s="172"/>
      <c r="K20" s="173"/>
      <c r="N20" s="484"/>
      <c r="O20" s="485"/>
      <c r="P20" s="368"/>
    </row>
    <row r="21" spans="1:16">
      <c r="A21" s="179"/>
      <c r="B21" s="14"/>
      <c r="C21" s="13"/>
      <c r="E21" s="673">
        <f t="shared" si="3"/>
        <v>8</v>
      </c>
      <c r="F21" s="663">
        <f t="shared" si="0"/>
        <v>67718.05</v>
      </c>
      <c r="G21" s="674">
        <f t="shared" si="1"/>
        <v>1.3190031775924557E-4</v>
      </c>
      <c r="H21" s="675">
        <f t="shared" si="2"/>
        <v>1</v>
      </c>
      <c r="I21" s="172"/>
      <c r="K21" s="173"/>
      <c r="N21" s="484"/>
      <c r="O21" s="485"/>
      <c r="P21" s="368"/>
    </row>
    <row r="22" spans="1:16">
      <c r="A22" s="179"/>
      <c r="B22" s="14"/>
      <c r="C22" s="13"/>
      <c r="E22" s="673">
        <f t="shared" si="3"/>
        <v>9</v>
      </c>
      <c r="F22" s="663">
        <f t="shared" si="0"/>
        <v>67137.33</v>
      </c>
      <c r="G22" s="674">
        <f t="shared" si="1"/>
        <v>1.3076919906151064E-4</v>
      </c>
      <c r="H22" s="675">
        <f t="shared" si="2"/>
        <v>1</v>
      </c>
      <c r="I22" s="172"/>
      <c r="K22" s="173"/>
      <c r="N22" s="484"/>
      <c r="O22" s="485"/>
      <c r="P22" s="368"/>
    </row>
    <row r="23" spans="1:16">
      <c r="A23" s="179"/>
      <c r="B23" s="14"/>
      <c r="C23" s="13"/>
      <c r="E23" s="673">
        <f t="shared" si="3"/>
        <v>10</v>
      </c>
      <c r="F23" s="663">
        <f t="shared" si="0"/>
        <v>66109.100000000006</v>
      </c>
      <c r="G23" s="674">
        <f t="shared" si="1"/>
        <v>1.2876642633356602E-4</v>
      </c>
      <c r="H23" s="675">
        <f t="shared" si="2"/>
        <v>1</v>
      </c>
      <c r="I23" s="172"/>
      <c r="K23" s="173"/>
      <c r="N23" s="484"/>
      <c r="O23" s="485"/>
      <c r="P23" s="368"/>
    </row>
    <row r="24" spans="1:16">
      <c r="A24" s="179"/>
      <c r="B24" s="14"/>
      <c r="C24" s="13"/>
      <c r="E24" s="673">
        <f t="shared" si="3"/>
        <v>11</v>
      </c>
      <c r="F24" s="663">
        <f t="shared" si="0"/>
        <v>65325.29</v>
      </c>
      <c r="G24" s="674">
        <f t="shared" si="1"/>
        <v>1.2723973163307074E-4</v>
      </c>
      <c r="H24" s="675">
        <f t="shared" si="2"/>
        <v>1</v>
      </c>
      <c r="I24" s="172"/>
      <c r="K24" s="173"/>
      <c r="N24" s="484"/>
      <c r="O24" s="485"/>
      <c r="P24" s="368"/>
    </row>
    <row r="25" spans="1:16">
      <c r="A25" s="179"/>
      <c r="B25" s="14"/>
      <c r="C25" s="13"/>
      <c r="E25" s="673">
        <f t="shared" si="3"/>
        <v>12</v>
      </c>
      <c r="F25" s="663">
        <f t="shared" si="0"/>
        <v>65284.5</v>
      </c>
      <c r="G25" s="674">
        <f t="shared" si="1"/>
        <v>1.2716028141320469E-4</v>
      </c>
      <c r="H25" s="675">
        <f t="shared" si="2"/>
        <v>1</v>
      </c>
      <c r="I25" s="172"/>
      <c r="K25" s="173"/>
      <c r="N25" s="484"/>
      <c r="O25" s="485"/>
      <c r="P25" s="368"/>
    </row>
    <row r="26" spans="1:16">
      <c r="A26" s="179"/>
      <c r="B26" s="14"/>
      <c r="C26" s="13"/>
      <c r="E26" s="673">
        <f t="shared" si="3"/>
        <v>13</v>
      </c>
      <c r="F26" s="663">
        <f t="shared" si="0"/>
        <v>64965.29</v>
      </c>
      <c r="G26" s="674">
        <f t="shared" si="1"/>
        <v>1.2653852841777838E-4</v>
      </c>
      <c r="H26" s="675">
        <f t="shared" si="2"/>
        <v>1</v>
      </c>
      <c r="I26" s="172"/>
      <c r="K26" s="173"/>
      <c r="N26" s="484"/>
      <c r="O26" s="485"/>
      <c r="P26" s="368"/>
    </row>
    <row r="27" spans="1:16">
      <c r="A27" s="179"/>
      <c r="B27" s="14"/>
      <c r="C27" s="13"/>
      <c r="E27" s="673">
        <f t="shared" si="3"/>
        <v>14</v>
      </c>
      <c r="F27" s="663">
        <f t="shared" si="0"/>
        <v>64629.15</v>
      </c>
      <c r="G27" s="674">
        <f t="shared" si="1"/>
        <v>1.2588379939336625E-4</v>
      </c>
      <c r="H27" s="675">
        <f t="shared" si="2"/>
        <v>1</v>
      </c>
      <c r="I27" s="172"/>
      <c r="K27" s="173"/>
      <c r="N27" s="484"/>
      <c r="O27" s="485"/>
      <c r="P27" s="368"/>
    </row>
    <row r="28" spans="1:16">
      <c r="A28" s="179"/>
      <c r="B28" s="14"/>
      <c r="C28" s="13"/>
      <c r="E28" s="673">
        <f t="shared" si="3"/>
        <v>15</v>
      </c>
      <c r="F28" s="663">
        <f t="shared" si="0"/>
        <v>64592.08</v>
      </c>
      <c r="G28" s="674">
        <f t="shared" si="1"/>
        <v>1.2581159494005822E-4</v>
      </c>
      <c r="H28" s="675">
        <f t="shared" si="2"/>
        <v>1</v>
      </c>
      <c r="I28" s="172"/>
      <c r="K28" s="173"/>
      <c r="N28" s="484"/>
      <c r="O28" s="485"/>
      <c r="P28" s="368"/>
    </row>
    <row r="29" spans="1:16">
      <c r="A29" s="179"/>
      <c r="B29" s="14"/>
      <c r="C29" s="13"/>
      <c r="E29" s="673">
        <f t="shared" si="3"/>
        <v>16</v>
      </c>
      <c r="F29" s="663">
        <f t="shared" si="0"/>
        <v>64407.38</v>
      </c>
      <c r="G29" s="674">
        <f t="shared" si="1"/>
        <v>1.2545183873487905E-4</v>
      </c>
      <c r="H29" s="675">
        <f t="shared" si="2"/>
        <v>1</v>
      </c>
      <c r="I29" s="172"/>
      <c r="K29" s="173"/>
      <c r="N29" s="484"/>
      <c r="O29" s="485"/>
      <c r="P29" s="368"/>
    </row>
    <row r="30" spans="1:16">
      <c r="A30" s="179"/>
      <c r="B30" s="14"/>
      <c r="C30" s="13"/>
      <c r="E30" s="673">
        <f t="shared" si="3"/>
        <v>17</v>
      </c>
      <c r="F30" s="663">
        <f t="shared" si="0"/>
        <v>64285.440000000002</v>
      </c>
      <c r="G30" s="674">
        <f t="shared" si="1"/>
        <v>1.2521432562356588E-4</v>
      </c>
      <c r="H30" s="675">
        <f t="shared" si="2"/>
        <v>1</v>
      </c>
      <c r="I30" s="172"/>
      <c r="J30" s="172"/>
      <c r="K30" s="173"/>
      <c r="N30" s="484"/>
      <c r="O30" s="485"/>
      <c r="P30" s="368"/>
    </row>
    <row r="31" spans="1:16">
      <c r="A31" s="179"/>
      <c r="B31" s="14"/>
      <c r="C31" s="13"/>
      <c r="E31" s="673">
        <f t="shared" si="3"/>
        <v>18</v>
      </c>
      <c r="F31" s="663">
        <f t="shared" si="0"/>
        <v>64126.83</v>
      </c>
      <c r="G31" s="674">
        <f t="shared" si="1"/>
        <v>1.2490538717362831E-4</v>
      </c>
      <c r="H31" s="675">
        <f t="shared" si="2"/>
        <v>1</v>
      </c>
      <c r="I31" s="172"/>
      <c r="J31" s="172"/>
      <c r="K31" s="173"/>
      <c r="N31" s="484"/>
      <c r="O31" s="485"/>
      <c r="P31" s="368"/>
    </row>
    <row r="32" spans="1:16">
      <c r="A32" s="179"/>
      <c r="B32" s="14"/>
      <c r="C32" s="13"/>
      <c r="E32" s="673">
        <f t="shared" si="3"/>
        <v>19</v>
      </c>
      <c r="F32" s="663">
        <f t="shared" si="0"/>
        <v>64068.51</v>
      </c>
      <c r="G32" s="674">
        <f t="shared" si="1"/>
        <v>1.2479179225275094E-4</v>
      </c>
      <c r="H32" s="675">
        <f t="shared" si="2"/>
        <v>1</v>
      </c>
      <c r="I32" s="172"/>
      <c r="J32" s="172"/>
      <c r="K32" s="173"/>
      <c r="N32" s="484"/>
      <c r="O32" s="485"/>
      <c r="P32" s="368"/>
    </row>
    <row r="33" spans="1:17">
      <c r="A33" s="179"/>
      <c r="B33" s="14"/>
      <c r="C33" s="13"/>
      <c r="E33" s="673">
        <f t="shared" si="3"/>
        <v>20</v>
      </c>
      <c r="F33" s="663">
        <f t="shared" si="0"/>
        <v>63771.48</v>
      </c>
      <c r="G33" s="674">
        <f t="shared" si="1"/>
        <v>1.2421324116653349E-4</v>
      </c>
      <c r="H33" s="675">
        <f t="shared" si="2"/>
        <v>1</v>
      </c>
      <c r="I33" s="172"/>
      <c r="J33" s="172"/>
      <c r="K33" s="173"/>
      <c r="N33" s="484"/>
      <c r="O33" s="485"/>
      <c r="P33" s="368"/>
    </row>
    <row r="34" spans="1:17">
      <c r="A34" s="179"/>
      <c r="B34" s="14"/>
      <c r="C34" s="13"/>
      <c r="E34" s="673">
        <f t="shared" si="3"/>
        <v>21</v>
      </c>
      <c r="F34" s="663">
        <f t="shared" si="0"/>
        <v>63074.85</v>
      </c>
      <c r="G34" s="674">
        <f t="shared" si="1"/>
        <v>1.228563545113415E-4</v>
      </c>
      <c r="H34" s="675">
        <f t="shared" si="2"/>
        <v>1</v>
      </c>
      <c r="I34" s="172"/>
      <c r="J34" s="172"/>
      <c r="K34" s="173"/>
      <c r="N34" s="484"/>
      <c r="O34" s="485"/>
      <c r="P34" s="368"/>
    </row>
    <row r="35" spans="1:17">
      <c r="A35" s="179"/>
      <c r="B35" s="14"/>
      <c r="C35" s="13"/>
      <c r="E35" s="673">
        <f t="shared" si="3"/>
        <v>22</v>
      </c>
      <c r="F35" s="663">
        <f t="shared" si="0"/>
        <v>62872.47</v>
      </c>
      <c r="G35" s="674">
        <f t="shared" si="1"/>
        <v>1.2246216143714465E-4</v>
      </c>
      <c r="H35" s="675">
        <f t="shared" si="2"/>
        <v>1</v>
      </c>
      <c r="I35" s="172"/>
      <c r="J35" s="172"/>
      <c r="K35" s="173"/>
      <c r="N35" s="484"/>
      <c r="O35" s="485"/>
      <c r="P35" s="368"/>
    </row>
    <row r="36" spans="1:17">
      <c r="A36" s="179"/>
      <c r="B36" s="14"/>
      <c r="C36" s="13"/>
      <c r="E36" s="673">
        <f t="shared" si="3"/>
        <v>23</v>
      </c>
      <c r="F36" s="663">
        <f t="shared" si="0"/>
        <v>62832.79</v>
      </c>
      <c r="G36" s="674">
        <f t="shared" si="1"/>
        <v>1.2238487326052575E-4</v>
      </c>
      <c r="H36" s="675">
        <f t="shared" si="2"/>
        <v>1</v>
      </c>
      <c r="I36" s="172"/>
      <c r="J36" s="172"/>
      <c r="K36" s="173"/>
      <c r="N36" s="484"/>
      <c r="O36" s="485"/>
      <c r="P36" s="368"/>
    </row>
    <row r="37" spans="1:17">
      <c r="A37" s="179"/>
      <c r="B37" s="14"/>
      <c r="C37" s="13"/>
      <c r="E37" s="673">
        <f t="shared" si="3"/>
        <v>24</v>
      </c>
      <c r="F37" s="663">
        <f t="shared" si="0"/>
        <v>62285.49</v>
      </c>
      <c r="G37" s="674">
        <f t="shared" si="1"/>
        <v>1.2131884959461046E-4</v>
      </c>
      <c r="H37" s="675">
        <f t="shared" si="2"/>
        <v>1</v>
      </c>
      <c r="I37" s="172"/>
      <c r="J37" s="172"/>
      <c r="K37" s="173"/>
      <c r="N37" s="484"/>
      <c r="O37" s="485"/>
      <c r="P37" s="368"/>
    </row>
    <row r="38" spans="1:17" ht="13" thickBot="1">
      <c r="A38" s="179"/>
      <c r="B38" s="14"/>
      <c r="C38" s="13"/>
      <c r="E38" s="676">
        <f t="shared" si="3"/>
        <v>25</v>
      </c>
      <c r="F38" s="677">
        <f t="shared" si="0"/>
        <v>62196.91</v>
      </c>
      <c r="G38" s="678">
        <f t="shared" si="1"/>
        <v>1.2114631464791437E-4</v>
      </c>
      <c r="H38" s="679">
        <f t="shared" si="2"/>
        <v>1</v>
      </c>
      <c r="I38" s="172"/>
      <c r="J38" s="172"/>
      <c r="K38" s="173"/>
      <c r="N38" s="484"/>
      <c r="O38" s="485"/>
      <c r="P38" s="368"/>
    </row>
    <row r="39" spans="1:17" ht="14" thickTop="1" thickBot="1">
      <c r="A39" s="179"/>
      <c r="B39" s="14"/>
      <c r="C39" s="13"/>
      <c r="E39" s="680"/>
      <c r="F39" s="681">
        <f>SUM(F14:F38)</f>
        <v>1672604.52</v>
      </c>
      <c r="G39" s="682">
        <f>SUM(G14:G38)</f>
        <v>3.2578768537125683E-3</v>
      </c>
      <c r="H39" s="683">
        <f>SUM(H14:H38)</f>
        <v>27</v>
      </c>
      <c r="I39" s="172"/>
      <c r="J39" s="172"/>
      <c r="K39" s="173"/>
      <c r="O39" s="509"/>
      <c r="P39" s="684"/>
      <c r="Q39" s="60"/>
    </row>
    <row r="40" spans="1:17">
      <c r="A40" s="179"/>
      <c r="B40" s="14"/>
      <c r="C40" s="13"/>
      <c r="D40" s="196"/>
      <c r="E40" s="13"/>
      <c r="F40" s="197"/>
      <c r="G40" s="198"/>
      <c r="H40" s="197"/>
      <c r="I40" s="172"/>
      <c r="J40" s="21"/>
      <c r="K40" s="173"/>
      <c r="M40" s="196"/>
      <c r="N40" s="13"/>
      <c r="O40" s="197"/>
      <c r="P40" s="198"/>
      <c r="Q40" s="197"/>
    </row>
    <row r="41" spans="1:17">
      <c r="A41" s="179"/>
      <c r="B41" s="14"/>
      <c r="C41" s="13"/>
      <c r="D41" s="196"/>
      <c r="E41" s="13"/>
      <c r="F41" s="197"/>
      <c r="G41" s="198"/>
      <c r="H41" s="197"/>
      <c r="I41" s="172"/>
      <c r="J41" s="21"/>
      <c r="K41" s="173"/>
      <c r="M41" s="196"/>
      <c r="N41" s="13"/>
      <c r="O41" s="197"/>
      <c r="P41" s="198"/>
      <c r="Q41" s="197"/>
    </row>
    <row r="42" spans="1:17">
      <c r="A42" s="179"/>
      <c r="B42" s="14"/>
      <c r="C42" s="13"/>
      <c r="D42" s="196"/>
      <c r="E42" s="13"/>
      <c r="F42" s="197"/>
      <c r="G42" s="198"/>
      <c r="H42" s="197"/>
      <c r="I42" s="172"/>
      <c r="J42" s="21"/>
      <c r="K42" s="173"/>
      <c r="M42" s="196"/>
      <c r="N42" s="13"/>
      <c r="O42" s="197"/>
      <c r="P42" s="198"/>
      <c r="Q42" s="197"/>
    </row>
    <row r="43" spans="1:17">
      <c r="A43" s="179"/>
      <c r="B43" s="14"/>
      <c r="C43" s="13"/>
      <c r="D43" s="196"/>
      <c r="E43" s="13"/>
      <c r="F43" s="197"/>
      <c r="G43" s="198"/>
      <c r="H43" s="197"/>
      <c r="I43" s="172"/>
      <c r="J43" s="21"/>
      <c r="K43" s="173"/>
      <c r="M43" s="196"/>
      <c r="N43" s="13"/>
      <c r="O43" s="197"/>
      <c r="P43" s="198"/>
      <c r="Q43" s="197"/>
    </row>
    <row r="44" spans="1:17">
      <c r="A44" s="179"/>
      <c r="B44" s="14"/>
      <c r="C44" s="13"/>
      <c r="D44" s="196"/>
      <c r="E44" s="13"/>
      <c r="F44" s="197"/>
      <c r="G44" s="198"/>
      <c r="H44" s="197"/>
      <c r="I44" s="172"/>
      <c r="J44" s="21"/>
      <c r="K44" s="173"/>
      <c r="M44" s="196"/>
      <c r="N44" s="13"/>
      <c r="O44" s="197"/>
      <c r="P44" s="198"/>
      <c r="Q44" s="197"/>
    </row>
    <row r="45" spans="1:17">
      <c r="A45" s="179"/>
      <c r="B45" s="14"/>
      <c r="C45" s="13"/>
      <c r="D45" s="196"/>
      <c r="E45" s="13"/>
      <c r="F45" s="197"/>
      <c r="G45" s="198"/>
      <c r="H45" s="197"/>
      <c r="I45" s="172"/>
      <c r="J45" s="21"/>
      <c r="K45" s="173"/>
      <c r="M45" s="196"/>
      <c r="N45" s="13"/>
      <c r="O45" s="197"/>
      <c r="P45" s="198"/>
      <c r="Q45" s="197"/>
    </row>
    <row r="46" spans="1:17">
      <c r="A46" s="179"/>
      <c r="B46" s="14"/>
      <c r="C46" s="13"/>
      <c r="D46" s="196"/>
      <c r="E46" s="13"/>
      <c r="F46" s="197"/>
      <c r="G46" s="198"/>
      <c r="H46" s="197"/>
      <c r="I46" s="172"/>
      <c r="J46" s="21"/>
      <c r="K46" s="173"/>
      <c r="M46" s="196"/>
      <c r="N46" s="13"/>
      <c r="O46" s="197"/>
      <c r="P46" s="198"/>
      <c r="Q46" s="197"/>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54296875" style="143" customWidth="1"/>
    <col min="4" max="4" width="30.1796875" style="143" bestFit="1"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45820</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45824</v>
      </c>
      <c r="G3" s="112"/>
      <c r="H3" s="112"/>
      <c r="I3" s="112"/>
      <c r="J3" s="114"/>
      <c r="K3" s="124"/>
      <c r="M3" s="163"/>
      <c r="N3" s="21"/>
      <c r="O3" s="472"/>
      <c r="P3" s="21"/>
      <c r="Q3" s="21"/>
    </row>
    <row r="4" spans="1:17" s="101" customFormat="1" ht="13">
      <c r="A4" s="102"/>
      <c r="B4" s="156"/>
      <c r="C4" s="157"/>
      <c r="D4" s="111" t="str">
        <f>'Cover Sheet'!D4</f>
        <v>Period  No</v>
      </c>
      <c r="E4" s="112"/>
      <c r="F4" s="116">
        <f>'Cover Sheet'!F4</f>
        <v>43</v>
      </c>
      <c r="G4" s="112"/>
      <c r="H4" s="117"/>
      <c r="I4" s="112"/>
      <c r="J4" s="118"/>
      <c r="K4" s="358"/>
      <c r="M4" s="163"/>
      <c r="N4" s="21"/>
      <c r="O4" s="228"/>
      <c r="P4" s="21"/>
      <c r="Q4" s="163"/>
    </row>
    <row r="5" spans="1:17" s="101" customFormat="1" ht="18">
      <c r="A5" s="102"/>
      <c r="B5" s="159" t="s">
        <v>152</v>
      </c>
      <c r="C5" s="119"/>
      <c r="D5" s="111" t="str">
        <f>'Cover Sheet'!D5</f>
        <v>Monthly Period</v>
      </c>
      <c r="E5" s="112"/>
      <c r="F5" s="120">
        <f>'Cover Sheet'!F5</f>
        <v>45824</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c r="M12" s="21"/>
      <c r="N12" s="21"/>
      <c r="O12" s="21"/>
      <c r="P12" s="361"/>
      <c r="Q12" s="361"/>
    </row>
    <row r="13" spans="1:17" s="101" customFormat="1" ht="29.5" thickBot="1">
      <c r="A13" s="102"/>
      <c r="B13" s="171"/>
      <c r="C13" s="171"/>
      <c r="D13" s="657" t="s">
        <v>63</v>
      </c>
      <c r="E13" s="658" t="s">
        <v>71</v>
      </c>
      <c r="F13" s="478" t="s">
        <v>118</v>
      </c>
      <c r="G13" s="478" t="s">
        <v>61</v>
      </c>
      <c r="H13" s="659" t="s">
        <v>119</v>
      </c>
      <c r="I13" s="172"/>
      <c r="K13" s="109"/>
      <c r="M13" s="660"/>
      <c r="N13" s="661"/>
      <c r="O13" s="214"/>
      <c r="P13" s="214"/>
      <c r="Q13" s="495"/>
    </row>
    <row r="14" spans="1:17">
      <c r="A14" s="179"/>
      <c r="B14" s="14"/>
      <c r="C14" s="13"/>
      <c r="D14" s="662" t="s">
        <v>648</v>
      </c>
      <c r="E14" s="663">
        <f t="shared" ref="E14:E30" si="0">VLOOKUP(CONCATENATE("geo_",D14),Assets_21,3,0)</f>
        <v>66138968.780000061</v>
      </c>
      <c r="F14" s="664">
        <f t="shared" ref="F14:F30" si="1">E14/$E$31</f>
        <v>0.12882460434626847</v>
      </c>
      <c r="G14" s="665">
        <f t="shared" ref="G14:G30" si="2">VLOOKUP(CONCATENATE("geo_",D14),Assets_21,2,0)</f>
        <v>6188</v>
      </c>
      <c r="H14" s="666">
        <f t="shared" ref="H14:H30" si="3">G14/$G$31</f>
        <v>0.1195079086115993</v>
      </c>
      <c r="I14" s="172"/>
      <c r="K14" s="173"/>
      <c r="N14" s="485"/>
      <c r="O14" s="667"/>
      <c r="P14" s="668"/>
      <c r="Q14" s="579"/>
    </row>
    <row r="15" spans="1:17">
      <c r="A15" s="179"/>
      <c r="B15" s="14"/>
      <c r="C15" s="13"/>
      <c r="D15" s="662" t="s">
        <v>120</v>
      </c>
      <c r="E15" s="663">
        <f t="shared" si="0"/>
        <v>72358292.630000025</v>
      </c>
      <c r="F15" s="664">
        <f t="shared" si="1"/>
        <v>0.14093852068116958</v>
      </c>
      <c r="G15" s="665">
        <f t="shared" si="2"/>
        <v>7025</v>
      </c>
      <c r="H15" s="666">
        <f t="shared" si="3"/>
        <v>0.1356727630892833</v>
      </c>
      <c r="I15" s="172"/>
      <c r="K15" s="173"/>
      <c r="N15" s="485"/>
      <c r="O15" s="667"/>
      <c r="P15" s="668"/>
      <c r="Q15" s="579"/>
    </row>
    <row r="16" spans="1:17">
      <c r="A16" s="179"/>
      <c r="B16" s="14"/>
      <c r="C16" s="13"/>
      <c r="D16" s="662" t="s">
        <v>78</v>
      </c>
      <c r="E16" s="663">
        <f t="shared" si="0"/>
        <v>21013659.469999984</v>
      </c>
      <c r="F16" s="664">
        <f t="shared" si="1"/>
        <v>4.0930126626173909E-2</v>
      </c>
      <c r="G16" s="665">
        <f t="shared" si="2"/>
        <v>2153</v>
      </c>
      <c r="H16" s="666">
        <f t="shared" si="3"/>
        <v>4.1580563548929105E-2</v>
      </c>
      <c r="I16" s="172"/>
      <c r="K16" s="173"/>
      <c r="N16" s="485"/>
      <c r="O16" s="667"/>
      <c r="P16" s="668"/>
      <c r="Q16" s="579"/>
    </row>
    <row r="17" spans="1:17">
      <c r="A17" s="179"/>
      <c r="B17" s="14"/>
      <c r="C17" s="13"/>
      <c r="D17" s="662" t="s">
        <v>79</v>
      </c>
      <c r="E17" s="663">
        <f t="shared" si="0"/>
        <v>18829221.300000016</v>
      </c>
      <c r="F17" s="664">
        <f t="shared" si="1"/>
        <v>3.6675306991698013E-2</v>
      </c>
      <c r="G17" s="665">
        <f t="shared" si="2"/>
        <v>2081</v>
      </c>
      <c r="H17" s="666">
        <f t="shared" si="3"/>
        <v>4.0190038432569186E-2</v>
      </c>
      <c r="I17" s="172"/>
      <c r="K17" s="173"/>
      <c r="N17" s="485"/>
      <c r="O17" s="667"/>
      <c r="P17" s="668"/>
      <c r="Q17" s="579"/>
    </row>
    <row r="18" spans="1:17">
      <c r="A18" s="179"/>
      <c r="B18" s="14"/>
      <c r="C18" s="13"/>
      <c r="D18" s="662" t="s">
        <v>80</v>
      </c>
      <c r="E18" s="663">
        <f t="shared" si="0"/>
        <v>3623846.0800000015</v>
      </c>
      <c r="F18" s="664">
        <f t="shared" si="1"/>
        <v>7.0584792306127592E-3</v>
      </c>
      <c r="G18" s="665">
        <f t="shared" si="2"/>
        <v>378</v>
      </c>
      <c r="H18" s="666">
        <f t="shared" si="3"/>
        <v>7.3002568608895495E-3</v>
      </c>
      <c r="I18" s="172"/>
      <c r="K18" s="173"/>
      <c r="N18" s="485"/>
      <c r="O18" s="667"/>
      <c r="P18" s="668"/>
      <c r="Q18" s="579"/>
    </row>
    <row r="19" spans="1:17">
      <c r="A19" s="179"/>
      <c r="B19" s="14"/>
      <c r="C19" s="13"/>
      <c r="D19" s="662" t="s">
        <v>81</v>
      </c>
      <c r="E19" s="663">
        <f t="shared" si="0"/>
        <v>9123750.1500000041</v>
      </c>
      <c r="F19" s="664">
        <f t="shared" si="1"/>
        <v>1.7771119279733606E-2</v>
      </c>
      <c r="G19" s="665">
        <f t="shared" si="2"/>
        <v>934</v>
      </c>
      <c r="H19" s="666">
        <f t="shared" si="3"/>
        <v>1.8038200815002219E-2</v>
      </c>
      <c r="I19" s="172"/>
      <c r="K19" s="173"/>
      <c r="N19" s="485"/>
      <c r="O19" s="667"/>
      <c r="P19" s="668"/>
      <c r="Q19" s="579"/>
    </row>
    <row r="20" spans="1:17">
      <c r="A20" s="179"/>
      <c r="B20" s="14"/>
      <c r="C20" s="13"/>
      <c r="D20" s="662" t="s">
        <v>121</v>
      </c>
      <c r="E20" s="663">
        <f t="shared" si="0"/>
        <v>39408794.560000062</v>
      </c>
      <c r="F20" s="664">
        <f t="shared" si="1"/>
        <v>7.6759926267410739E-2</v>
      </c>
      <c r="G20" s="665">
        <f t="shared" si="2"/>
        <v>3773</v>
      </c>
      <c r="H20" s="666">
        <f t="shared" si="3"/>
        <v>7.286737866702718E-2</v>
      </c>
      <c r="I20" s="172"/>
      <c r="K20" s="173"/>
      <c r="N20" s="485"/>
      <c r="O20" s="667"/>
      <c r="P20" s="668"/>
      <c r="Q20" s="579"/>
    </row>
    <row r="21" spans="1:17">
      <c r="A21" s="179"/>
      <c r="B21" s="14"/>
      <c r="C21" s="13"/>
      <c r="D21" s="662" t="s">
        <v>122</v>
      </c>
      <c r="E21" s="663">
        <f t="shared" si="0"/>
        <v>49425898.309999987</v>
      </c>
      <c r="F21" s="664">
        <f t="shared" si="1"/>
        <v>9.6271107815791401E-2</v>
      </c>
      <c r="G21" s="665">
        <f t="shared" si="2"/>
        <v>5210</v>
      </c>
      <c r="H21" s="666">
        <f t="shared" si="3"/>
        <v>0.10061994244771046</v>
      </c>
      <c r="I21" s="172"/>
      <c r="K21" s="173"/>
      <c r="N21" s="485"/>
      <c r="O21" s="667"/>
      <c r="P21" s="668"/>
      <c r="Q21" s="579"/>
    </row>
    <row r="22" spans="1:17">
      <c r="A22" s="179"/>
      <c r="B22" s="14"/>
      <c r="C22" s="13"/>
      <c r="D22" s="662" t="s">
        <v>649</v>
      </c>
      <c r="E22" s="663">
        <f t="shared" si="0"/>
        <v>16113465.550000021</v>
      </c>
      <c r="F22" s="664">
        <f t="shared" si="1"/>
        <v>3.1385594036562749E-2</v>
      </c>
      <c r="G22" s="665">
        <f t="shared" si="2"/>
        <v>1642</v>
      </c>
      <c r="H22" s="666">
        <f t="shared" si="3"/>
        <v>3.1711697792541377E-2</v>
      </c>
      <c r="I22" s="172"/>
      <c r="K22" s="173"/>
      <c r="N22" s="485"/>
      <c r="O22" s="667"/>
      <c r="P22" s="668"/>
      <c r="Q22" s="579"/>
    </row>
    <row r="23" spans="1:17" ht="12.75" customHeight="1">
      <c r="A23" s="179"/>
      <c r="B23" s="14"/>
      <c r="C23" s="13"/>
      <c r="D23" s="662" t="s">
        <v>650</v>
      </c>
      <c r="E23" s="663">
        <f t="shared" si="0"/>
        <v>112320176.33</v>
      </c>
      <c r="F23" s="664">
        <f t="shared" si="1"/>
        <v>0.21877574662444479</v>
      </c>
      <c r="G23" s="665">
        <f t="shared" si="2"/>
        <v>11178</v>
      </c>
      <c r="H23" s="666">
        <f t="shared" si="3"/>
        <v>0.21587902431487668</v>
      </c>
      <c r="I23" s="172"/>
      <c r="K23" s="173"/>
      <c r="N23" s="485"/>
      <c r="O23" s="667"/>
      <c r="P23" s="668"/>
      <c r="Q23" s="579"/>
    </row>
    <row r="24" spans="1:17">
      <c r="A24" s="179"/>
      <c r="B24" s="14"/>
      <c r="C24" s="13"/>
      <c r="D24" s="662" t="s">
        <v>651</v>
      </c>
      <c r="E24" s="663">
        <f t="shared" si="0"/>
        <v>25130251.959999938</v>
      </c>
      <c r="F24" s="664">
        <f t="shared" si="1"/>
        <v>4.8948370765163701E-2</v>
      </c>
      <c r="G24" s="665">
        <f t="shared" si="2"/>
        <v>2571</v>
      </c>
      <c r="H24" s="666">
        <f t="shared" si="3"/>
        <v>4.9653334363351939E-2</v>
      </c>
      <c r="I24" s="172"/>
      <c r="K24" s="173"/>
      <c r="N24" s="485"/>
      <c r="O24" s="667"/>
      <c r="P24" s="668"/>
      <c r="Q24" s="579"/>
    </row>
    <row r="25" spans="1:17">
      <c r="A25" s="179"/>
      <c r="B25" s="14"/>
      <c r="C25" s="13"/>
      <c r="D25" s="662" t="s">
        <v>82</v>
      </c>
      <c r="E25" s="663">
        <f t="shared" si="0"/>
        <v>7151514.2299999949</v>
      </c>
      <c r="F25" s="664">
        <f t="shared" si="1"/>
        <v>1.3929624367458383E-2</v>
      </c>
      <c r="G25" s="665">
        <f t="shared" si="2"/>
        <v>714</v>
      </c>
      <c r="H25" s="666">
        <f t="shared" si="3"/>
        <v>1.378937407056915E-2</v>
      </c>
      <c r="I25" s="172"/>
      <c r="K25" s="173"/>
      <c r="N25" s="485"/>
      <c r="O25" s="667"/>
      <c r="P25" s="668"/>
      <c r="Q25" s="579"/>
    </row>
    <row r="26" spans="1:17">
      <c r="A26" s="179"/>
      <c r="B26" s="14"/>
      <c r="C26" s="13"/>
      <c r="D26" s="662" t="s">
        <v>896</v>
      </c>
      <c r="E26" s="663">
        <f t="shared" si="0"/>
        <v>22396066.390000004</v>
      </c>
      <c r="F26" s="664">
        <f t="shared" si="1"/>
        <v>4.3622760451580617E-2</v>
      </c>
      <c r="G26" s="665">
        <f t="shared" si="2"/>
        <v>2415</v>
      </c>
      <c r="H26" s="666">
        <f t="shared" si="3"/>
        <v>4.6640529944572122E-2</v>
      </c>
      <c r="I26" s="172"/>
      <c r="K26" s="173"/>
      <c r="N26" s="485"/>
      <c r="O26" s="667"/>
      <c r="P26" s="668"/>
      <c r="Q26" s="579"/>
    </row>
    <row r="27" spans="1:17">
      <c r="A27" s="179"/>
      <c r="B27" s="14"/>
      <c r="C27" s="13"/>
      <c r="D27" s="662" t="s">
        <v>123</v>
      </c>
      <c r="E27" s="663">
        <f t="shared" si="0"/>
        <v>17034019.470000051</v>
      </c>
      <c r="F27" s="664">
        <f t="shared" si="1"/>
        <v>3.3178636726990535E-2</v>
      </c>
      <c r="G27" s="665">
        <f t="shared" si="2"/>
        <v>1917</v>
      </c>
      <c r="H27" s="666">
        <f t="shared" si="3"/>
        <v>3.7022731223082715E-2</v>
      </c>
      <c r="I27" s="172"/>
      <c r="K27" s="173"/>
      <c r="N27" s="485"/>
      <c r="O27" s="667"/>
      <c r="P27" s="668"/>
      <c r="Q27" s="579"/>
    </row>
    <row r="28" spans="1:17">
      <c r="A28" s="179"/>
      <c r="B28" s="14"/>
      <c r="C28" s="13"/>
      <c r="D28" s="662" t="s">
        <v>652</v>
      </c>
      <c r="E28" s="663">
        <f t="shared" si="0"/>
        <v>17975344.360000037</v>
      </c>
      <c r="F28" s="664">
        <f t="shared" si="1"/>
        <v>3.5012136836720283E-2</v>
      </c>
      <c r="G28" s="665">
        <f t="shared" si="2"/>
        <v>1912</v>
      </c>
      <c r="H28" s="666">
        <f t="shared" si="3"/>
        <v>3.6926166978891055E-2</v>
      </c>
      <c r="I28" s="172"/>
      <c r="K28" s="173"/>
      <c r="N28" s="485"/>
      <c r="O28" s="667"/>
      <c r="P28" s="668"/>
      <c r="Q28" s="579"/>
    </row>
    <row r="29" spans="1:17">
      <c r="A29" s="179"/>
      <c r="B29" s="14"/>
      <c r="C29" s="13"/>
      <c r="D29" s="662" t="s">
        <v>124</v>
      </c>
      <c r="E29" s="663">
        <f t="shared" si="0"/>
        <v>13566803.150000015</v>
      </c>
      <c r="F29" s="664">
        <f t="shared" si="1"/>
        <v>2.6425238861162343E-2</v>
      </c>
      <c r="G29" s="665">
        <f t="shared" si="2"/>
        <v>1539</v>
      </c>
      <c r="H29" s="666">
        <f t="shared" si="3"/>
        <v>2.9722474362193167E-2</v>
      </c>
      <c r="I29" s="932"/>
      <c r="K29" s="173"/>
      <c r="N29" s="485"/>
      <c r="O29" s="667"/>
      <c r="P29" s="668"/>
      <c r="Q29" s="579"/>
    </row>
    <row r="30" spans="1:17" ht="13" thickBot="1">
      <c r="A30" s="179"/>
      <c r="B30" s="14"/>
      <c r="C30" s="13"/>
      <c r="D30" s="662" t="s">
        <v>242</v>
      </c>
      <c r="E30" s="663">
        <f t="shared" si="0"/>
        <v>1793163.5299999991</v>
      </c>
      <c r="F30" s="664">
        <f t="shared" si="1"/>
        <v>3.4927000910582955E-3</v>
      </c>
      <c r="G30" s="665">
        <f t="shared" si="2"/>
        <v>149</v>
      </c>
      <c r="H30" s="666">
        <f t="shared" si="3"/>
        <v>2.8776144769114892E-3</v>
      </c>
      <c r="I30" s="172"/>
      <c r="J30" s="172"/>
      <c r="K30" s="173"/>
      <c r="N30" s="485"/>
      <c r="O30" s="667"/>
      <c r="P30" s="668"/>
      <c r="Q30" s="579"/>
    </row>
    <row r="31" spans="1:17" ht="14" thickTop="1" thickBot="1">
      <c r="A31" s="179"/>
      <c r="B31" s="14"/>
      <c r="C31" s="13"/>
      <c r="D31" s="598" t="s">
        <v>36</v>
      </c>
      <c r="E31" s="599">
        <f>SUM(E14:E30)</f>
        <v>513403236.25000012</v>
      </c>
      <c r="F31" s="669">
        <f>SUM(F14:F30)</f>
        <v>1.0000000000000002</v>
      </c>
      <c r="G31" s="601">
        <f>SUM(G14:G30)</f>
        <v>51779</v>
      </c>
      <c r="H31" s="670">
        <f>SUM(H14:H30)</f>
        <v>1.0000000000000002</v>
      </c>
      <c r="I31" s="172"/>
      <c r="J31" s="172"/>
      <c r="K31" s="173"/>
      <c r="M31" s="603"/>
      <c r="N31" s="604"/>
      <c r="O31" s="618"/>
      <c r="P31" s="606"/>
      <c r="Q31" s="618"/>
    </row>
    <row r="32" spans="1:17">
      <c r="A32" s="179"/>
      <c r="B32" s="14"/>
      <c r="C32" s="13"/>
      <c r="D32" s="21"/>
      <c r="E32" s="484"/>
      <c r="F32" s="485"/>
      <c r="G32" s="368"/>
      <c r="H32" s="21"/>
      <c r="I32" s="172"/>
      <c r="J32" s="172"/>
      <c r="K32" s="173"/>
      <c r="N32" s="484"/>
      <c r="O32" s="485"/>
      <c r="P32" s="368"/>
    </row>
    <row r="33" spans="1:17">
      <c r="A33" s="179"/>
      <c r="B33" s="14"/>
      <c r="C33" s="13"/>
      <c r="D33" s="21"/>
      <c r="E33" s="484"/>
      <c r="F33" s="485"/>
      <c r="G33" s="368"/>
      <c r="H33" s="21"/>
      <c r="I33" s="172"/>
      <c r="J33" s="172"/>
      <c r="K33" s="173"/>
      <c r="N33" s="484"/>
      <c r="O33" s="485"/>
      <c r="P33" s="368"/>
    </row>
    <row r="34" spans="1:17">
      <c r="A34" s="179"/>
      <c r="B34" s="14"/>
      <c r="C34" s="13"/>
      <c r="D34" s="21"/>
      <c r="E34" s="484"/>
      <c r="F34" s="485"/>
      <c r="G34" s="368"/>
      <c r="H34" s="21"/>
      <c r="I34" s="172"/>
      <c r="J34" s="172"/>
      <c r="K34" s="173"/>
      <c r="N34" s="484"/>
      <c r="O34" s="485"/>
      <c r="P34" s="368"/>
    </row>
    <row r="35" spans="1:17">
      <c r="A35" s="179"/>
      <c r="B35" s="14"/>
      <c r="C35" s="13"/>
      <c r="D35" s="21"/>
      <c r="E35" s="484"/>
      <c r="F35" s="485"/>
      <c r="G35" s="368"/>
      <c r="H35" s="21"/>
      <c r="I35" s="172"/>
      <c r="J35" s="172"/>
      <c r="K35" s="173"/>
      <c r="N35" s="484"/>
      <c r="O35" s="485"/>
      <c r="P35" s="368"/>
    </row>
    <row r="36" spans="1:17">
      <c r="A36" s="179"/>
      <c r="B36" s="14"/>
      <c r="C36" s="13"/>
      <c r="D36" s="21"/>
      <c r="E36" s="484"/>
      <c r="F36" s="485"/>
      <c r="G36" s="368"/>
      <c r="H36" s="21"/>
      <c r="I36" s="172"/>
      <c r="J36" s="172"/>
      <c r="K36" s="173"/>
      <c r="N36" s="484"/>
      <c r="O36" s="485"/>
      <c r="P36" s="368"/>
    </row>
    <row r="37" spans="1:17">
      <c r="A37" s="179"/>
      <c r="B37" s="14"/>
      <c r="C37" s="13"/>
      <c r="D37" s="21"/>
      <c r="E37" s="484"/>
      <c r="F37" s="485"/>
      <c r="G37" s="368"/>
      <c r="H37" s="21"/>
      <c r="I37" s="172"/>
      <c r="J37" s="172"/>
      <c r="K37" s="173"/>
      <c r="N37" s="484"/>
      <c r="O37" s="485"/>
      <c r="P37" s="368"/>
    </row>
    <row r="38" spans="1:17">
      <c r="A38" s="179"/>
      <c r="B38" s="14"/>
      <c r="C38" s="13"/>
      <c r="D38" s="21"/>
      <c r="E38" s="484"/>
      <c r="F38" s="485"/>
      <c r="G38" s="368"/>
      <c r="H38" s="21"/>
      <c r="I38" s="172"/>
      <c r="J38" s="172"/>
      <c r="K38" s="173"/>
      <c r="N38" s="484"/>
      <c r="O38" s="485"/>
      <c r="P38" s="368"/>
    </row>
    <row r="39" spans="1:17">
      <c r="A39" s="179"/>
      <c r="B39" s="14"/>
      <c r="C39" s="13"/>
      <c r="D39" s="21"/>
      <c r="E39" s="484"/>
      <c r="F39" s="485"/>
      <c r="G39" s="368"/>
      <c r="H39" s="21"/>
      <c r="I39" s="172"/>
      <c r="J39" s="172"/>
      <c r="K39" s="173"/>
      <c r="N39" s="484"/>
      <c r="O39" s="485"/>
      <c r="P39" s="368"/>
    </row>
    <row r="40" spans="1:17">
      <c r="A40" s="179"/>
      <c r="B40" s="14"/>
      <c r="C40" s="13"/>
      <c r="D40" s="21"/>
      <c r="E40" s="484"/>
      <c r="F40" s="485"/>
      <c r="G40" s="368"/>
      <c r="H40" s="21"/>
      <c r="I40" s="172"/>
      <c r="J40" s="172"/>
      <c r="K40" s="173"/>
      <c r="N40" s="484"/>
      <c r="O40" s="485"/>
      <c r="P40" s="368"/>
    </row>
    <row r="41" spans="1:17">
      <c r="A41" s="179"/>
      <c r="B41" s="14"/>
      <c r="C41" s="13"/>
      <c r="D41" s="21"/>
      <c r="E41" s="484"/>
      <c r="F41" s="485"/>
      <c r="G41" s="368"/>
      <c r="H41" s="21"/>
      <c r="I41" s="172"/>
      <c r="J41" s="172"/>
      <c r="K41" s="173"/>
      <c r="N41" s="484"/>
      <c r="O41" s="485"/>
      <c r="P41" s="368"/>
    </row>
    <row r="42" spans="1:17">
      <c r="A42" s="179"/>
      <c r="B42" s="14"/>
      <c r="C42" s="13"/>
      <c r="D42" s="21"/>
      <c r="E42" s="484"/>
      <c r="F42" s="485"/>
      <c r="G42" s="368"/>
      <c r="H42" s="21"/>
      <c r="I42" s="172"/>
      <c r="J42" s="172"/>
      <c r="K42" s="173"/>
      <c r="N42" s="484"/>
      <c r="O42" s="485"/>
      <c r="P42" s="368"/>
    </row>
    <row r="43" spans="1:17">
      <c r="A43" s="179"/>
      <c r="B43" s="14"/>
      <c r="C43" s="13"/>
      <c r="D43" s="21"/>
      <c r="E43" s="484"/>
      <c r="F43" s="485"/>
      <c r="G43" s="368"/>
      <c r="H43" s="21"/>
      <c r="I43" s="172"/>
      <c r="J43" s="172"/>
      <c r="K43" s="173"/>
      <c r="N43" s="484"/>
      <c r="O43" s="485"/>
      <c r="P43" s="368"/>
    </row>
    <row r="44" spans="1:17">
      <c r="A44" s="179"/>
      <c r="B44" s="14"/>
      <c r="C44" s="13"/>
      <c r="D44" s="21"/>
      <c r="E44" s="484"/>
      <c r="F44" s="485"/>
      <c r="G44" s="368"/>
      <c r="H44" s="21"/>
      <c r="I44" s="172"/>
      <c r="J44" s="172"/>
      <c r="K44" s="173"/>
      <c r="N44" s="484"/>
      <c r="O44" s="485"/>
      <c r="P44" s="368"/>
    </row>
    <row r="45" spans="1:17">
      <c r="A45" s="179"/>
      <c r="B45" s="14"/>
      <c r="C45" s="13"/>
      <c r="D45" s="21"/>
      <c r="E45" s="484"/>
      <c r="F45" s="485"/>
      <c r="G45" s="368"/>
      <c r="H45" s="21"/>
      <c r="I45" s="172"/>
      <c r="J45" s="172"/>
      <c r="K45" s="173"/>
      <c r="N45" s="484"/>
      <c r="O45" s="485"/>
      <c r="P45" s="368"/>
    </row>
    <row r="46" spans="1:17">
      <c r="A46" s="179"/>
      <c r="B46" s="14"/>
      <c r="C46" s="13"/>
      <c r="D46" s="21"/>
      <c r="E46" s="484"/>
      <c r="F46" s="485"/>
      <c r="G46" s="368"/>
      <c r="H46" s="21"/>
      <c r="I46" s="172"/>
      <c r="J46" s="172"/>
      <c r="K46" s="173"/>
      <c r="N46" s="484"/>
      <c r="O46" s="485"/>
      <c r="P46" s="368"/>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45820</v>
      </c>
      <c r="G2" s="106"/>
      <c r="H2" s="106"/>
      <c r="I2" s="106"/>
      <c r="J2" s="108"/>
      <c r="K2" s="358"/>
    </row>
    <row r="3" spans="1:13" s="101" customFormat="1" ht="18">
      <c r="A3" s="102"/>
      <c r="B3" s="103" t="str">
        <f>'Cover Sheet'!B3</f>
        <v>Monthly Investor Report</v>
      </c>
      <c r="C3" s="103"/>
      <c r="D3" s="111" t="str">
        <f>'Cover Sheet'!D3</f>
        <v>Payment Date</v>
      </c>
      <c r="E3" s="112"/>
      <c r="F3" s="113">
        <f>'Cover Sheet'!F3</f>
        <v>45824</v>
      </c>
      <c r="G3" s="112"/>
      <c r="H3" s="112"/>
      <c r="I3" s="112"/>
      <c r="J3" s="114"/>
      <c r="K3" s="124"/>
    </row>
    <row r="4" spans="1:13" s="101" customFormat="1" ht="13">
      <c r="A4" s="102"/>
      <c r="B4" s="156"/>
      <c r="C4" s="157"/>
      <c r="D4" s="111" t="str">
        <f>'Cover Sheet'!D4</f>
        <v>Period  No</v>
      </c>
      <c r="E4" s="112"/>
      <c r="F4" s="116">
        <f>'Cover Sheet'!F4</f>
        <v>43</v>
      </c>
      <c r="G4" s="112"/>
      <c r="H4" s="117"/>
      <c r="I4" s="112"/>
      <c r="J4" s="118"/>
      <c r="K4" s="358"/>
    </row>
    <row r="5" spans="1:13" s="101" customFormat="1" ht="18">
      <c r="A5" s="102"/>
      <c r="B5" s="159" t="s">
        <v>153</v>
      </c>
      <c r="C5" s="119"/>
      <c r="D5" s="111" t="str">
        <f>'Cover Sheet'!D5</f>
        <v>Monthly Period</v>
      </c>
      <c r="E5" s="112"/>
      <c r="F5" s="120">
        <f>'Cover Sheet'!F5</f>
        <v>45824</v>
      </c>
      <c r="G5" s="112"/>
      <c r="H5" s="117"/>
      <c r="I5" s="112"/>
      <c r="J5" s="118"/>
      <c r="K5" s="124"/>
    </row>
    <row r="6" spans="1:13"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25"/>
    </row>
    <row r="7" spans="1:13"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4" width="18.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45820</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45824</v>
      </c>
      <c r="G3" s="112"/>
      <c r="H3" s="112"/>
      <c r="I3" s="112"/>
      <c r="J3" s="114"/>
      <c r="K3" s="124"/>
      <c r="M3" s="163"/>
      <c r="N3" s="21"/>
      <c r="O3" s="472"/>
      <c r="P3" s="21"/>
      <c r="Q3" s="21"/>
    </row>
    <row r="4" spans="1:17" s="101" customFormat="1" ht="13">
      <c r="A4" s="102"/>
      <c r="B4" s="156"/>
      <c r="C4" s="157"/>
      <c r="D4" s="111" t="str">
        <f>'Cover Sheet'!D4</f>
        <v>Period  No</v>
      </c>
      <c r="E4" s="112"/>
      <c r="F4" s="116">
        <f>'Cover Sheet'!F4</f>
        <v>43</v>
      </c>
      <c r="G4" s="112"/>
      <c r="H4" s="117"/>
      <c r="I4" s="112"/>
      <c r="J4" s="118"/>
      <c r="K4" s="358"/>
      <c r="M4" s="163"/>
      <c r="N4" s="21"/>
      <c r="O4" s="228"/>
      <c r="P4" s="21"/>
      <c r="Q4" s="163"/>
    </row>
    <row r="5" spans="1:17" s="101" customFormat="1" ht="18">
      <c r="A5" s="102"/>
      <c r="B5" s="159" t="s">
        <v>154</v>
      </c>
      <c r="C5" s="119"/>
      <c r="D5" s="111" t="str">
        <f>'Cover Sheet'!D5</f>
        <v>Monthly Period</v>
      </c>
      <c r="E5" s="112"/>
      <c r="F5" s="120">
        <f>'Cover Sheet'!F5</f>
        <v>45824</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c r="M12" s="21"/>
      <c r="N12" s="21"/>
      <c r="O12" s="21"/>
      <c r="P12" s="361"/>
      <c r="Q12" s="361"/>
    </row>
    <row r="13" spans="1:17" s="101" customFormat="1" ht="29">
      <c r="A13" s="102"/>
      <c r="B13" s="171"/>
      <c r="C13" s="171"/>
      <c r="D13" s="498" t="s">
        <v>104</v>
      </c>
      <c r="E13" s="533" t="s">
        <v>71</v>
      </c>
      <c r="F13" s="499" t="s">
        <v>118</v>
      </c>
      <c r="G13" s="500" t="s">
        <v>61</v>
      </c>
      <c r="H13" s="534" t="s">
        <v>119</v>
      </c>
      <c r="I13" s="172"/>
      <c r="K13" s="109"/>
      <c r="M13" s="213"/>
      <c r="N13" s="216"/>
      <c r="O13" s="214"/>
      <c r="P13" s="495"/>
      <c r="Q13" s="495"/>
    </row>
    <row r="14" spans="1:17" ht="13.5" customHeight="1">
      <c r="A14" s="179"/>
      <c r="B14" s="14"/>
      <c r="C14" s="13"/>
      <c r="D14" s="640" t="s">
        <v>653</v>
      </c>
      <c r="E14" s="641">
        <f>VLOOKUP(CONCATENATE("Collateral_",D14),Assets_21,3,0)</f>
        <v>21859901.289999977</v>
      </c>
      <c r="F14" s="642">
        <f>E14/$E$16</f>
        <v>4.2578425195893221E-2</v>
      </c>
      <c r="G14" s="643">
        <f>VLOOKUP(CONCATENATE("Collateral_",D14),Assets_21,2,0)</f>
        <v>1105</v>
      </c>
      <c r="H14" s="644">
        <f>G14/$G$16</f>
        <v>2.1340697966357017E-2</v>
      </c>
      <c r="I14" s="172"/>
      <c r="K14" s="173"/>
      <c r="M14" s="636"/>
      <c r="N14" s="637"/>
      <c r="O14" s="645"/>
      <c r="P14" s="646"/>
      <c r="Q14" s="638"/>
    </row>
    <row r="15" spans="1:17" ht="13" thickBot="1">
      <c r="A15" s="179"/>
      <c r="B15" s="14"/>
      <c r="C15" s="13"/>
      <c r="D15" s="647" t="s">
        <v>654</v>
      </c>
      <c r="E15" s="648">
        <f>VLOOKUP(CONCATENATE("Collateral_",D15),Assets_21,3,0)</f>
        <v>491543334.95999664</v>
      </c>
      <c r="F15" s="649">
        <f>E15/$E$16</f>
        <v>0.95742157480410683</v>
      </c>
      <c r="G15" s="650">
        <f>VLOOKUP(CONCATENATE("Collateral_",D15),Assets_21,2,0)</f>
        <v>50674</v>
      </c>
      <c r="H15" s="651">
        <f>G15/$G$16</f>
        <v>0.97865930203364293</v>
      </c>
      <c r="I15" s="172"/>
      <c r="K15" s="173"/>
      <c r="M15" s="636"/>
      <c r="N15" s="637"/>
      <c r="O15" s="645"/>
      <c r="P15" s="646"/>
      <c r="Q15" s="638"/>
    </row>
    <row r="16" spans="1:17" ht="14" thickTop="1" thickBot="1">
      <c r="A16" s="179"/>
      <c r="B16" s="14"/>
      <c r="C16" s="13"/>
      <c r="D16" s="528" t="s">
        <v>36</v>
      </c>
      <c r="E16" s="488">
        <f>SUM(E14:E15)</f>
        <v>513403236.2499966</v>
      </c>
      <c r="F16" s="567">
        <f>SUM(F14:F15)</f>
        <v>1</v>
      </c>
      <c r="G16" s="490">
        <f>SUM(G14:G15)</f>
        <v>51779</v>
      </c>
      <c r="H16" s="569">
        <f>SUM(H14:H15)</f>
        <v>1</v>
      </c>
      <c r="I16" s="172"/>
      <c r="K16" s="173"/>
      <c r="M16" s="37"/>
      <c r="N16" s="509"/>
      <c r="O16" s="652"/>
      <c r="P16" s="511"/>
      <c r="Q16" s="570"/>
    </row>
    <row r="17" spans="1:17">
      <c r="A17" s="179"/>
      <c r="B17" s="14"/>
      <c r="C17" s="13"/>
      <c r="D17" s="101"/>
      <c r="E17" s="101"/>
      <c r="F17" s="101"/>
      <c r="G17" s="101"/>
      <c r="H17" s="101"/>
      <c r="I17" s="172"/>
      <c r="K17" s="173"/>
    </row>
    <row r="18" spans="1:17">
      <c r="A18" s="179"/>
      <c r="B18" s="14"/>
      <c r="C18" s="13"/>
      <c r="D18" s="101"/>
      <c r="E18" s="232"/>
      <c r="F18" s="101"/>
      <c r="G18" s="573"/>
      <c r="H18" s="101"/>
      <c r="I18" s="172"/>
      <c r="K18" s="173"/>
      <c r="N18" s="232"/>
      <c r="P18" s="574"/>
    </row>
    <row r="19" spans="1:17">
      <c r="A19" s="179"/>
      <c r="B19" s="14"/>
      <c r="C19" s="13"/>
      <c r="D19" s="101"/>
      <c r="E19" s="101"/>
      <c r="F19" s="101"/>
      <c r="G19" s="101"/>
      <c r="H19" s="101"/>
      <c r="I19" s="172"/>
      <c r="K19" s="173"/>
    </row>
    <row r="20" spans="1:17">
      <c r="A20" s="179"/>
      <c r="B20" s="14"/>
      <c r="C20" s="13"/>
      <c r="D20" s="101"/>
      <c r="E20" s="101"/>
      <c r="F20" s="101"/>
      <c r="G20" s="101"/>
      <c r="H20" s="101"/>
      <c r="I20" s="172"/>
      <c r="K20" s="173"/>
    </row>
    <row r="21" spans="1:17">
      <c r="A21" s="179"/>
      <c r="B21" s="14"/>
      <c r="C21" s="13"/>
      <c r="D21" s="101"/>
      <c r="E21" s="101"/>
      <c r="F21" s="101"/>
      <c r="G21" s="101"/>
      <c r="H21" s="101"/>
      <c r="I21" s="172"/>
      <c r="K21" s="173"/>
    </row>
    <row r="22" spans="1:17">
      <c r="A22" s="179"/>
      <c r="B22" s="14"/>
      <c r="C22" s="13"/>
      <c r="D22" s="101"/>
      <c r="E22" s="101"/>
      <c r="F22" s="101"/>
      <c r="G22" s="101"/>
      <c r="H22" s="101"/>
      <c r="I22" s="172"/>
      <c r="K22" s="173"/>
    </row>
    <row r="23" spans="1:17">
      <c r="A23" s="179"/>
      <c r="B23" s="14"/>
      <c r="C23" s="13"/>
      <c r="D23" s="101"/>
      <c r="E23" s="101"/>
      <c r="F23" s="101"/>
      <c r="G23" s="101"/>
      <c r="H23" s="101"/>
      <c r="I23" s="172"/>
      <c r="K23" s="173"/>
    </row>
    <row r="24" spans="1:17">
      <c r="A24" s="179"/>
      <c r="B24" s="14"/>
      <c r="C24" s="13"/>
      <c r="D24" s="101"/>
      <c r="E24" s="101"/>
      <c r="F24" s="101"/>
      <c r="G24" s="101"/>
      <c r="H24" s="101"/>
      <c r="I24" s="172"/>
      <c r="K24" s="173"/>
    </row>
    <row r="25" spans="1:17">
      <c r="A25" s="179"/>
      <c r="B25" s="14"/>
      <c r="C25" s="13"/>
      <c r="D25" s="101"/>
      <c r="E25" s="101"/>
      <c r="F25" s="101"/>
      <c r="G25" s="101"/>
      <c r="H25" s="101"/>
      <c r="I25" s="172"/>
      <c r="K25" s="173"/>
    </row>
    <row r="26" spans="1:17">
      <c r="A26" s="179"/>
      <c r="B26" s="14"/>
      <c r="C26" s="13"/>
      <c r="D26" s="101"/>
      <c r="E26" s="101"/>
      <c r="F26" s="101"/>
      <c r="G26" s="101"/>
      <c r="H26" s="101"/>
      <c r="I26" s="172"/>
      <c r="K26" s="173"/>
    </row>
    <row r="27" spans="1:17">
      <c r="A27" s="179"/>
      <c r="B27" s="14"/>
      <c r="C27" s="13"/>
      <c r="D27" s="101"/>
      <c r="E27" s="101"/>
      <c r="F27" s="101"/>
      <c r="G27" s="101"/>
      <c r="H27" s="101"/>
      <c r="I27" s="172"/>
      <c r="K27" s="173"/>
    </row>
    <row r="28" spans="1:17">
      <c r="A28" s="179"/>
      <c r="B28" s="14"/>
      <c r="C28" s="13"/>
      <c r="D28" s="653"/>
      <c r="E28" s="654"/>
      <c r="F28" s="655"/>
      <c r="G28" s="656"/>
      <c r="H28" s="655"/>
      <c r="I28" s="172"/>
      <c r="K28" s="173"/>
      <c r="M28" s="653"/>
      <c r="N28" s="654"/>
      <c r="O28" s="655"/>
      <c r="P28" s="656"/>
      <c r="Q28" s="655"/>
    </row>
    <row r="29" spans="1:17">
      <c r="A29" s="179"/>
      <c r="B29" s="14"/>
      <c r="C29" s="13"/>
      <c r="D29" s="653"/>
      <c r="E29" s="654"/>
      <c r="F29" s="655"/>
      <c r="G29" s="656"/>
      <c r="H29" s="655"/>
      <c r="I29" s="172"/>
      <c r="K29" s="173"/>
      <c r="M29" s="653"/>
      <c r="N29" s="654"/>
      <c r="O29" s="655"/>
      <c r="P29" s="656"/>
      <c r="Q29" s="655"/>
    </row>
    <row r="30" spans="1:17">
      <c r="A30" s="179"/>
      <c r="B30" s="14"/>
      <c r="C30" s="13"/>
      <c r="D30" s="653"/>
      <c r="E30" s="654"/>
      <c r="F30" s="655"/>
      <c r="G30" s="656"/>
      <c r="H30" s="655"/>
      <c r="I30" s="172"/>
      <c r="K30" s="173"/>
      <c r="M30" s="653"/>
      <c r="N30" s="654"/>
      <c r="O30" s="655"/>
      <c r="P30" s="656"/>
      <c r="Q30" s="655"/>
    </row>
    <row r="31" spans="1:17">
      <c r="A31" s="179"/>
      <c r="B31" s="14"/>
      <c r="C31" s="13"/>
      <c r="D31" s="653"/>
      <c r="E31" s="654"/>
      <c r="F31" s="655"/>
      <c r="G31" s="656"/>
      <c r="H31" s="655"/>
      <c r="I31" s="172"/>
      <c r="K31" s="173"/>
      <c r="M31" s="653"/>
      <c r="N31" s="654"/>
      <c r="O31" s="655"/>
      <c r="P31" s="656"/>
      <c r="Q31" s="655"/>
    </row>
    <row r="32" spans="1:17">
      <c r="A32" s="179"/>
      <c r="B32" s="14"/>
      <c r="C32" s="13"/>
      <c r="D32" s="653"/>
      <c r="E32" s="654"/>
      <c r="F32" s="655"/>
      <c r="G32" s="656"/>
      <c r="H32" s="655"/>
      <c r="I32" s="172"/>
      <c r="K32" s="173"/>
      <c r="M32" s="653"/>
      <c r="N32" s="654"/>
      <c r="O32" s="655"/>
      <c r="P32" s="656"/>
      <c r="Q32" s="655"/>
    </row>
    <row r="33" spans="1:17">
      <c r="A33" s="179"/>
      <c r="B33" s="14"/>
      <c r="C33" s="13"/>
      <c r="D33" s="653"/>
      <c r="E33" s="654"/>
      <c r="F33" s="655"/>
      <c r="G33" s="656"/>
      <c r="H33" s="655"/>
      <c r="I33" s="172"/>
      <c r="K33" s="173"/>
      <c r="M33" s="653"/>
      <c r="N33" s="654"/>
      <c r="O33" s="655"/>
      <c r="P33" s="656"/>
      <c r="Q33" s="655"/>
    </row>
    <row r="34" spans="1:17">
      <c r="A34" s="179"/>
      <c r="B34" s="14"/>
      <c r="C34" s="13"/>
      <c r="D34" s="653"/>
      <c r="E34" s="654"/>
      <c r="F34" s="655"/>
      <c r="G34" s="656"/>
      <c r="H34" s="655"/>
      <c r="I34" s="172"/>
      <c r="K34" s="173"/>
      <c r="M34" s="653"/>
      <c r="N34" s="654"/>
      <c r="O34" s="655"/>
      <c r="P34" s="656"/>
      <c r="Q34" s="655"/>
    </row>
    <row r="35" spans="1:17">
      <c r="A35" s="179"/>
      <c r="B35" s="14"/>
      <c r="C35" s="13"/>
      <c r="D35" s="653"/>
      <c r="E35" s="654"/>
      <c r="F35" s="655"/>
      <c r="G35" s="656"/>
      <c r="H35" s="655"/>
      <c r="I35" s="172"/>
      <c r="K35" s="173"/>
      <c r="M35" s="653"/>
      <c r="N35" s="654"/>
      <c r="O35" s="655"/>
      <c r="P35" s="656"/>
      <c r="Q35" s="655"/>
    </row>
    <row r="36" spans="1:17">
      <c r="A36" s="179"/>
      <c r="B36" s="14"/>
      <c r="C36" s="13"/>
      <c r="D36" s="653"/>
      <c r="E36" s="654"/>
      <c r="F36" s="655"/>
      <c r="G36" s="656"/>
      <c r="H36" s="655"/>
      <c r="I36" s="172"/>
      <c r="K36" s="173"/>
      <c r="M36" s="653"/>
      <c r="N36" s="654"/>
      <c r="O36" s="655"/>
      <c r="P36" s="656"/>
      <c r="Q36" s="655"/>
    </row>
    <row r="37" spans="1:17">
      <c r="A37" s="179"/>
      <c r="B37" s="14"/>
      <c r="C37" s="13"/>
      <c r="D37" s="653"/>
      <c r="E37" s="654"/>
      <c r="F37" s="655"/>
      <c r="G37" s="656"/>
      <c r="H37" s="655"/>
      <c r="I37" s="172"/>
      <c r="K37" s="173"/>
      <c r="M37" s="653"/>
      <c r="N37" s="654"/>
      <c r="O37" s="655"/>
      <c r="P37" s="656"/>
      <c r="Q37" s="655"/>
    </row>
    <row r="38" spans="1:17">
      <c r="A38" s="179"/>
      <c r="B38" s="14"/>
      <c r="C38" s="13"/>
      <c r="D38" s="653"/>
      <c r="E38" s="654"/>
      <c r="F38" s="655"/>
      <c r="G38" s="656"/>
      <c r="H38" s="655"/>
      <c r="I38" s="172"/>
      <c r="K38" s="173"/>
      <c r="M38" s="653"/>
      <c r="N38" s="654"/>
      <c r="O38" s="655"/>
      <c r="P38" s="656"/>
      <c r="Q38" s="655"/>
    </row>
    <row r="39" spans="1:17">
      <c r="A39" s="179"/>
      <c r="B39" s="14"/>
      <c r="C39" s="13"/>
      <c r="D39" s="653"/>
      <c r="E39" s="654"/>
      <c r="F39" s="655"/>
      <c r="G39" s="656"/>
      <c r="H39" s="655"/>
      <c r="I39" s="172"/>
      <c r="K39" s="173"/>
      <c r="M39" s="653"/>
      <c r="N39" s="654"/>
      <c r="O39" s="655"/>
      <c r="P39" s="656"/>
      <c r="Q39" s="655"/>
    </row>
    <row r="40" spans="1:17">
      <c r="A40" s="179"/>
      <c r="B40" s="14"/>
      <c r="C40" s="13"/>
      <c r="D40" s="653"/>
      <c r="E40" s="654"/>
      <c r="F40" s="655"/>
      <c r="G40" s="656"/>
      <c r="H40" s="655"/>
      <c r="I40" s="172"/>
      <c r="K40" s="173"/>
      <c r="M40" s="653"/>
      <c r="N40" s="654"/>
      <c r="O40" s="655"/>
      <c r="P40" s="656"/>
      <c r="Q40" s="655"/>
    </row>
    <row r="41" spans="1:17">
      <c r="A41" s="179"/>
      <c r="B41" s="14"/>
      <c r="C41" s="13"/>
      <c r="D41" s="653"/>
      <c r="E41" s="654"/>
      <c r="F41" s="655"/>
      <c r="G41" s="656"/>
      <c r="H41" s="655"/>
      <c r="I41" s="172"/>
      <c r="K41" s="173"/>
      <c r="M41" s="653"/>
      <c r="N41" s="654"/>
      <c r="O41" s="655"/>
      <c r="P41" s="656"/>
      <c r="Q41" s="655"/>
    </row>
    <row r="42" spans="1:17">
      <c r="A42" s="179"/>
      <c r="B42" s="14"/>
      <c r="C42" s="13"/>
      <c r="D42" s="653"/>
      <c r="E42" s="654"/>
      <c r="F42" s="655"/>
      <c r="G42" s="656"/>
      <c r="H42" s="655"/>
      <c r="I42" s="172"/>
      <c r="K42" s="173"/>
      <c r="M42" s="653"/>
      <c r="N42" s="654"/>
      <c r="O42" s="655"/>
      <c r="P42" s="656"/>
      <c r="Q42" s="655"/>
    </row>
    <row r="43" spans="1:17">
      <c r="A43" s="179"/>
      <c r="B43" s="14"/>
      <c r="C43" s="13"/>
      <c r="D43" s="653"/>
      <c r="E43" s="654"/>
      <c r="F43" s="655"/>
      <c r="G43" s="656"/>
      <c r="H43" s="655"/>
      <c r="I43" s="172"/>
      <c r="K43" s="173"/>
      <c r="M43" s="653"/>
      <c r="N43" s="654"/>
      <c r="O43" s="655"/>
      <c r="P43" s="656"/>
      <c r="Q43" s="655"/>
    </row>
    <row r="44" spans="1:17">
      <c r="A44" s="179"/>
      <c r="B44" s="14"/>
      <c r="C44" s="13"/>
      <c r="D44" s="653"/>
      <c r="E44" s="654"/>
      <c r="F44" s="655"/>
      <c r="G44" s="656"/>
      <c r="H44" s="655"/>
      <c r="I44" s="172"/>
      <c r="K44" s="173"/>
      <c r="M44" s="653"/>
      <c r="N44" s="654"/>
      <c r="O44" s="655"/>
      <c r="P44" s="656"/>
      <c r="Q44" s="655"/>
    </row>
    <row r="45" spans="1:17">
      <c r="A45" s="179"/>
      <c r="B45" s="14"/>
      <c r="C45" s="13"/>
      <c r="D45" s="653"/>
      <c r="E45" s="654"/>
      <c r="F45" s="655"/>
      <c r="G45" s="656"/>
      <c r="H45" s="655"/>
      <c r="I45" s="172"/>
      <c r="K45" s="173"/>
      <c r="M45" s="653"/>
      <c r="N45" s="654"/>
      <c r="O45" s="655"/>
      <c r="P45" s="656"/>
      <c r="Q45" s="655"/>
    </row>
    <row r="46" spans="1:17">
      <c r="A46" s="179"/>
      <c r="B46" s="14"/>
      <c r="C46" s="13"/>
      <c r="D46" s="653"/>
      <c r="E46" s="654"/>
      <c r="F46" s="655"/>
      <c r="G46" s="656"/>
      <c r="H46" s="655"/>
      <c r="I46" s="172"/>
      <c r="K46" s="173"/>
      <c r="M46" s="653"/>
      <c r="N46" s="654"/>
      <c r="O46" s="655"/>
      <c r="P46" s="656"/>
      <c r="Q46" s="655"/>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453125" style="143" customWidth="1"/>
    <col min="4" max="4" width="22.4531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45820</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45824</v>
      </c>
      <c r="G3" s="112"/>
      <c r="H3" s="112"/>
      <c r="I3" s="112"/>
      <c r="J3" s="114"/>
      <c r="K3" s="124"/>
      <c r="M3" s="163"/>
      <c r="N3" s="21"/>
      <c r="O3" s="472"/>
      <c r="P3" s="21"/>
      <c r="Q3" s="21"/>
    </row>
    <row r="4" spans="1:17" s="101" customFormat="1" ht="13">
      <c r="A4" s="102"/>
      <c r="B4" s="156"/>
      <c r="C4" s="157"/>
      <c r="D4" s="111" t="str">
        <f>'Cover Sheet'!D4</f>
        <v>Period  No</v>
      </c>
      <c r="E4" s="112"/>
      <c r="F4" s="116">
        <f>'Cover Sheet'!F4</f>
        <v>43</v>
      </c>
      <c r="G4" s="112"/>
      <c r="H4" s="117"/>
      <c r="I4" s="112"/>
      <c r="J4" s="118"/>
      <c r="K4" s="358"/>
      <c r="M4" s="163"/>
      <c r="N4" s="21"/>
      <c r="O4" s="228"/>
      <c r="P4" s="21"/>
      <c r="Q4" s="163"/>
    </row>
    <row r="5" spans="1:17" s="101" customFormat="1" ht="18">
      <c r="A5" s="102"/>
      <c r="B5" s="159" t="s">
        <v>155</v>
      </c>
      <c r="C5" s="119"/>
      <c r="D5" s="111" t="str">
        <f>'Cover Sheet'!D5</f>
        <v>Monthly Period</v>
      </c>
      <c r="E5" s="112"/>
      <c r="F5" s="120">
        <f>'Cover Sheet'!F5</f>
        <v>45824</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c r="M12" s="21"/>
      <c r="N12" s="21"/>
      <c r="O12" s="21"/>
      <c r="P12" s="361"/>
      <c r="Q12" s="361"/>
    </row>
    <row r="13" spans="1:17" s="101" customFormat="1" ht="29">
      <c r="A13" s="102"/>
      <c r="B13" s="171"/>
      <c r="C13" s="171"/>
      <c r="D13" s="498" t="s">
        <v>116</v>
      </c>
      <c r="E13" s="533" t="s">
        <v>99</v>
      </c>
      <c r="F13" s="499" t="s">
        <v>118</v>
      </c>
      <c r="G13" s="500" t="s">
        <v>61</v>
      </c>
      <c r="H13" s="534" t="s">
        <v>119</v>
      </c>
      <c r="I13" s="172"/>
      <c r="K13" s="109"/>
      <c r="M13" s="213"/>
      <c r="N13" s="216"/>
      <c r="O13" s="214"/>
      <c r="P13" s="495"/>
      <c r="Q13" s="495"/>
    </row>
    <row r="14" spans="1:17" ht="13.5" customHeight="1">
      <c r="A14" s="179"/>
      <c r="B14" s="14"/>
      <c r="C14" s="13"/>
      <c r="D14" s="619" t="s">
        <v>62</v>
      </c>
      <c r="E14" s="620">
        <f>VLOOKUP(CONCATENATE("Insurance_",D14),Assets_21,3,0)</f>
        <v>233591231.5200007</v>
      </c>
      <c r="F14" s="621">
        <f>E14/$E$16</f>
        <v>0.45498589612756862</v>
      </c>
      <c r="G14" s="622">
        <f>VLOOKUP(CONCATENATE("Insurance_",D14),Assets_21,2,0)</f>
        <v>26456</v>
      </c>
      <c r="H14" s="623">
        <f>G14/$G$16</f>
        <v>0.51094072886691511</v>
      </c>
      <c r="I14" s="172"/>
      <c r="K14" s="173"/>
      <c r="M14" s="624"/>
      <c r="N14" s="625"/>
      <c r="O14" s="626"/>
      <c r="P14" s="627"/>
      <c r="Q14" s="626"/>
    </row>
    <row r="15" spans="1:17" ht="13" thickBot="1">
      <c r="A15" s="179"/>
      <c r="B15" s="14"/>
      <c r="C15" s="13"/>
      <c r="D15" s="628" t="s">
        <v>655</v>
      </c>
      <c r="E15" s="629">
        <f>VLOOKUP(CONCATENATE("Insurance_",D15),Assets_21,3,0)</f>
        <v>279812004.73000067</v>
      </c>
      <c r="F15" s="621">
        <f>E15/$E$16</f>
        <v>0.54501410387243143</v>
      </c>
      <c r="G15" s="630">
        <f>VLOOKUP(CONCATENATE("Insurance_",D15),Assets_21,2,0)</f>
        <v>25323</v>
      </c>
      <c r="H15" s="623">
        <f>G15/$G$16</f>
        <v>0.48905927113308484</v>
      </c>
      <c r="I15" s="172"/>
      <c r="K15" s="173"/>
      <c r="M15" s="624"/>
      <c r="N15" s="625"/>
      <c r="O15" s="626"/>
      <c r="P15" s="627"/>
      <c r="Q15" s="626"/>
    </row>
    <row r="16" spans="1:17" ht="14" thickTop="1" thickBot="1">
      <c r="A16" s="179"/>
      <c r="B16" s="14"/>
      <c r="C16" s="13"/>
      <c r="D16" s="598" t="s">
        <v>36</v>
      </c>
      <c r="E16" s="599">
        <f>SUM(E14:E15)</f>
        <v>513403236.25000137</v>
      </c>
      <c r="F16" s="600">
        <f>SUM(F14:F15)</f>
        <v>1</v>
      </c>
      <c r="G16" s="601">
        <f>SUM(G14:G15)</f>
        <v>51779</v>
      </c>
      <c r="H16" s="602">
        <f>SUM(H14:H15)</f>
        <v>1</v>
      </c>
      <c r="I16" s="172"/>
      <c r="K16" s="173"/>
      <c r="M16" s="603"/>
      <c r="N16" s="604"/>
      <c r="O16" s="605"/>
      <c r="P16" s="606"/>
      <c r="Q16" s="605"/>
    </row>
    <row r="17" spans="1:17">
      <c r="A17" s="179"/>
      <c r="B17" s="14"/>
      <c r="C17" s="13"/>
      <c r="D17" s="631"/>
      <c r="E17" s="632"/>
      <c r="F17" s="633"/>
      <c r="G17" s="634"/>
      <c r="H17" s="633"/>
      <c r="I17" s="172"/>
      <c r="K17" s="173"/>
      <c r="M17" s="199"/>
      <c r="N17" s="200"/>
      <c r="O17" s="635"/>
      <c r="P17" s="202"/>
      <c r="Q17" s="635"/>
    </row>
    <row r="18" spans="1:17">
      <c r="A18" s="179"/>
      <c r="B18" s="14"/>
      <c r="C18" s="13"/>
      <c r="D18" s="631"/>
      <c r="E18" s="632"/>
      <c r="F18" s="633"/>
      <c r="G18" s="634"/>
      <c r="H18" s="633"/>
      <c r="I18" s="172"/>
      <c r="K18" s="173"/>
      <c r="M18" s="199"/>
      <c r="N18" s="200"/>
      <c r="O18" s="635"/>
      <c r="P18" s="202"/>
      <c r="Q18" s="635"/>
    </row>
    <row r="19" spans="1:17">
      <c r="A19" s="179"/>
      <c r="B19" s="14"/>
      <c r="C19" s="13"/>
      <c r="D19" s="631"/>
      <c r="E19" s="632"/>
      <c r="F19" s="633"/>
      <c r="G19" s="634"/>
      <c r="H19" s="633"/>
      <c r="I19" s="172"/>
      <c r="K19" s="173"/>
      <c r="M19" s="199"/>
      <c r="N19" s="200"/>
      <c r="O19" s="635"/>
      <c r="P19" s="202"/>
      <c r="Q19" s="635"/>
    </row>
    <row r="20" spans="1:17">
      <c r="A20" s="179"/>
      <c r="B20" s="14"/>
      <c r="C20" s="13"/>
      <c r="D20" s="631"/>
      <c r="E20" s="632"/>
      <c r="F20" s="633"/>
      <c r="G20" s="634"/>
      <c r="H20" s="633"/>
      <c r="I20" s="172"/>
      <c r="K20" s="173"/>
      <c r="M20" s="199"/>
      <c r="N20" s="200"/>
      <c r="O20" s="635"/>
      <c r="P20" s="202"/>
      <c r="Q20" s="635"/>
    </row>
    <row r="21" spans="1:17">
      <c r="A21" s="179"/>
      <c r="B21" s="14"/>
      <c r="C21" s="13"/>
      <c r="D21" s="631"/>
      <c r="E21" s="632"/>
      <c r="F21" s="633"/>
      <c r="G21" s="634"/>
      <c r="H21" s="633"/>
      <c r="I21" s="172"/>
      <c r="K21" s="173"/>
      <c r="M21" s="199"/>
      <c r="N21" s="200"/>
      <c r="O21" s="635"/>
      <c r="P21" s="202"/>
      <c r="Q21" s="635"/>
    </row>
    <row r="22" spans="1:17">
      <c r="A22" s="179"/>
      <c r="B22" s="14"/>
      <c r="C22" s="13"/>
      <c r="D22" s="631"/>
      <c r="E22" s="632"/>
      <c r="F22" s="633"/>
      <c r="G22" s="634"/>
      <c r="H22" s="633"/>
      <c r="I22" s="172"/>
      <c r="K22" s="173"/>
      <c r="M22" s="199"/>
      <c r="N22" s="200"/>
      <c r="O22" s="635"/>
      <c r="P22" s="202"/>
      <c r="Q22" s="635"/>
    </row>
    <row r="23" spans="1:17">
      <c r="A23" s="179"/>
      <c r="B23" s="14"/>
      <c r="C23" s="13"/>
      <c r="D23" s="631"/>
      <c r="E23" s="632"/>
      <c r="F23" s="633"/>
      <c r="G23" s="634"/>
      <c r="H23" s="633"/>
      <c r="I23" s="172"/>
      <c r="K23" s="173"/>
      <c r="M23" s="199"/>
      <c r="N23" s="200"/>
      <c r="O23" s="635"/>
      <c r="P23" s="202"/>
      <c r="Q23" s="635"/>
    </row>
    <row r="24" spans="1:17">
      <c r="A24" s="179"/>
      <c r="B24" s="14"/>
      <c r="C24" s="13"/>
      <c r="D24" s="631"/>
      <c r="E24" s="632"/>
      <c r="F24" s="633"/>
      <c r="G24" s="634"/>
      <c r="H24" s="633"/>
      <c r="I24" s="172"/>
      <c r="K24" s="173"/>
      <c r="M24" s="199"/>
      <c r="N24" s="200"/>
      <c r="O24" s="635"/>
      <c r="P24" s="202"/>
      <c r="Q24" s="635"/>
    </row>
    <row r="25" spans="1:17">
      <c r="A25" s="179"/>
      <c r="B25" s="14"/>
      <c r="C25" s="13"/>
      <c r="D25" s="636"/>
      <c r="E25" s="637"/>
      <c r="F25" s="638"/>
      <c r="G25" s="639"/>
      <c r="H25" s="638"/>
      <c r="I25" s="172"/>
      <c r="K25" s="173"/>
      <c r="M25" s="636"/>
      <c r="N25" s="637"/>
      <c r="O25" s="638"/>
      <c r="P25" s="639"/>
      <c r="Q25" s="638"/>
    </row>
    <row r="26" spans="1:17">
      <c r="A26" s="179"/>
      <c r="B26" s="14"/>
      <c r="C26" s="13"/>
      <c r="D26" s="636"/>
      <c r="E26" s="637"/>
      <c r="F26" s="638"/>
      <c r="G26" s="639"/>
      <c r="H26" s="638"/>
      <c r="I26" s="172"/>
      <c r="K26" s="173"/>
      <c r="M26" s="636"/>
      <c r="N26" s="637"/>
      <c r="O26" s="638"/>
      <c r="P26" s="639"/>
      <c r="Q26" s="638"/>
    </row>
    <row r="27" spans="1:17">
      <c r="A27" s="179"/>
      <c r="B27" s="14"/>
      <c r="C27" s="13"/>
      <c r="D27" s="636"/>
      <c r="E27" s="637"/>
      <c r="F27" s="638"/>
      <c r="G27" s="639"/>
      <c r="H27" s="638"/>
      <c r="I27" s="172"/>
      <c r="K27" s="173"/>
      <c r="M27" s="636"/>
      <c r="N27" s="637"/>
      <c r="O27" s="638"/>
      <c r="P27" s="639"/>
      <c r="Q27" s="638"/>
    </row>
    <row r="28" spans="1:17">
      <c r="A28" s="179"/>
      <c r="B28" s="14"/>
      <c r="C28" s="13"/>
      <c r="D28" s="636"/>
      <c r="E28" s="637"/>
      <c r="F28" s="638"/>
      <c r="G28" s="639"/>
      <c r="H28" s="638"/>
      <c r="I28" s="172"/>
      <c r="K28" s="173"/>
      <c r="M28" s="636"/>
      <c r="N28" s="637"/>
      <c r="O28" s="638"/>
      <c r="P28" s="639"/>
      <c r="Q28" s="638"/>
    </row>
    <row r="29" spans="1:17">
      <c r="A29" s="179"/>
      <c r="B29" s="14"/>
      <c r="C29" s="13"/>
      <c r="D29" s="636"/>
      <c r="E29" s="637"/>
      <c r="F29" s="638"/>
      <c r="G29" s="639"/>
      <c r="H29" s="638"/>
      <c r="I29" s="172"/>
      <c r="K29" s="173"/>
      <c r="M29" s="636"/>
      <c r="N29" s="637"/>
      <c r="O29" s="638"/>
      <c r="P29" s="639"/>
      <c r="Q29" s="638"/>
    </row>
    <row r="30" spans="1:17">
      <c r="A30" s="179"/>
      <c r="B30" s="14"/>
      <c r="C30" s="13"/>
      <c r="D30" s="636"/>
      <c r="E30" s="637"/>
      <c r="F30" s="638"/>
      <c r="G30" s="639"/>
      <c r="H30" s="638"/>
      <c r="I30" s="172"/>
      <c r="K30" s="173"/>
      <c r="M30" s="636"/>
      <c r="N30" s="637"/>
      <c r="O30" s="638"/>
      <c r="P30" s="639"/>
      <c r="Q30" s="638"/>
    </row>
    <row r="31" spans="1:17">
      <c r="A31" s="179"/>
      <c r="B31" s="14"/>
      <c r="C31" s="13"/>
      <c r="D31" s="636"/>
      <c r="E31" s="637"/>
      <c r="F31" s="638"/>
      <c r="G31" s="639"/>
      <c r="H31" s="638"/>
      <c r="I31" s="172"/>
      <c r="K31" s="173"/>
      <c r="M31" s="636"/>
      <c r="N31" s="637"/>
      <c r="O31" s="638"/>
      <c r="P31" s="639"/>
      <c r="Q31" s="638"/>
    </row>
    <row r="32" spans="1:17">
      <c r="A32" s="179"/>
      <c r="B32" s="14"/>
      <c r="C32" s="13"/>
      <c r="D32" s="636"/>
      <c r="E32" s="637"/>
      <c r="F32" s="638"/>
      <c r="G32" s="639"/>
      <c r="H32" s="638"/>
      <c r="I32" s="172"/>
      <c r="K32" s="173"/>
      <c r="M32" s="636"/>
      <c r="N32" s="637"/>
      <c r="O32" s="638"/>
      <c r="P32" s="639"/>
      <c r="Q32" s="638"/>
    </row>
    <row r="33" spans="1:17">
      <c r="A33" s="179"/>
      <c r="B33" s="14"/>
      <c r="C33" s="13"/>
      <c r="D33" s="636"/>
      <c r="E33" s="637"/>
      <c r="F33" s="638"/>
      <c r="G33" s="639"/>
      <c r="H33" s="638"/>
      <c r="I33" s="172"/>
      <c r="K33" s="173"/>
      <c r="M33" s="636"/>
      <c r="N33" s="637"/>
      <c r="O33" s="638"/>
      <c r="P33" s="639"/>
      <c r="Q33" s="638"/>
    </row>
    <row r="34" spans="1:17">
      <c r="A34" s="179"/>
      <c r="B34" s="14"/>
      <c r="C34" s="13"/>
      <c r="D34" s="636"/>
      <c r="E34" s="637"/>
      <c r="F34" s="638"/>
      <c r="G34" s="639"/>
      <c r="H34" s="638"/>
      <c r="I34" s="172"/>
      <c r="K34" s="173"/>
      <c r="M34" s="636"/>
      <c r="N34" s="637"/>
      <c r="O34" s="638"/>
      <c r="P34" s="639"/>
      <c r="Q34" s="638"/>
    </row>
    <row r="35" spans="1:17">
      <c r="A35" s="179"/>
      <c r="B35" s="14"/>
      <c r="C35" s="13"/>
      <c r="D35" s="636"/>
      <c r="E35" s="637"/>
      <c r="F35" s="638"/>
      <c r="G35" s="639"/>
      <c r="H35" s="638"/>
      <c r="I35" s="172"/>
      <c r="K35" s="173"/>
      <c r="M35" s="636"/>
      <c r="N35" s="637"/>
      <c r="O35" s="638"/>
      <c r="P35" s="639"/>
      <c r="Q35" s="638"/>
    </row>
    <row r="36" spans="1:17">
      <c r="A36" s="179"/>
      <c r="B36" s="14"/>
      <c r="C36" s="13"/>
      <c r="D36" s="636"/>
      <c r="E36" s="637"/>
      <c r="F36" s="638"/>
      <c r="G36" s="639"/>
      <c r="H36" s="638"/>
      <c r="I36" s="172"/>
      <c r="K36" s="173"/>
      <c r="M36" s="636"/>
      <c r="N36" s="637"/>
      <c r="O36" s="638"/>
      <c r="P36" s="639"/>
      <c r="Q36" s="638"/>
    </row>
    <row r="37" spans="1:17">
      <c r="A37" s="179"/>
      <c r="B37" s="14"/>
      <c r="C37" s="13"/>
      <c r="D37" s="636"/>
      <c r="E37" s="637"/>
      <c r="F37" s="638"/>
      <c r="G37" s="639"/>
      <c r="H37" s="638"/>
      <c r="I37" s="172"/>
      <c r="K37" s="173"/>
      <c r="M37" s="636"/>
      <c r="N37" s="637"/>
      <c r="O37" s="638"/>
      <c r="P37" s="639"/>
      <c r="Q37" s="638"/>
    </row>
    <row r="38" spans="1:17">
      <c r="A38" s="179"/>
      <c r="B38" s="14"/>
      <c r="C38" s="13"/>
      <c r="D38" s="636"/>
      <c r="E38" s="637"/>
      <c r="F38" s="638"/>
      <c r="G38" s="639"/>
      <c r="H38" s="638"/>
      <c r="I38" s="172"/>
      <c r="K38" s="173"/>
      <c r="M38" s="636"/>
      <c r="N38" s="637"/>
      <c r="O38" s="638"/>
      <c r="P38" s="639"/>
      <c r="Q38" s="638"/>
    </row>
    <row r="39" spans="1:17">
      <c r="A39" s="179"/>
      <c r="B39" s="14"/>
      <c r="C39" s="13"/>
      <c r="D39" s="636"/>
      <c r="E39" s="637"/>
      <c r="F39" s="638"/>
      <c r="G39" s="639"/>
      <c r="H39" s="638"/>
      <c r="I39" s="172"/>
      <c r="K39" s="173"/>
      <c r="M39" s="636"/>
      <c r="N39" s="637"/>
      <c r="O39" s="638"/>
      <c r="P39" s="639"/>
      <c r="Q39" s="638"/>
    </row>
    <row r="40" spans="1:17">
      <c r="A40" s="179"/>
      <c r="B40" s="14"/>
      <c r="C40" s="13"/>
      <c r="D40" s="636"/>
      <c r="E40" s="637"/>
      <c r="F40" s="638"/>
      <c r="G40" s="639"/>
      <c r="H40" s="638"/>
      <c r="I40" s="172"/>
      <c r="K40" s="173"/>
      <c r="M40" s="636"/>
      <c r="N40" s="637"/>
      <c r="O40" s="638"/>
      <c r="P40" s="639"/>
      <c r="Q40" s="638"/>
    </row>
    <row r="41" spans="1:17">
      <c r="A41" s="179"/>
      <c r="B41" s="14"/>
      <c r="C41" s="13"/>
      <c r="D41" s="636"/>
      <c r="E41" s="637"/>
      <c r="F41" s="638"/>
      <c r="G41" s="639"/>
      <c r="H41" s="638"/>
      <c r="I41" s="172"/>
      <c r="K41" s="173"/>
      <c r="M41" s="636"/>
      <c r="N41" s="637"/>
      <c r="O41" s="638"/>
      <c r="P41" s="639"/>
      <c r="Q41" s="638"/>
    </row>
    <row r="42" spans="1:17">
      <c r="A42" s="179"/>
      <c r="B42" s="14"/>
      <c r="C42" s="13"/>
      <c r="D42" s="636"/>
      <c r="E42" s="637"/>
      <c r="F42" s="638"/>
      <c r="G42" s="639"/>
      <c r="H42" s="638"/>
      <c r="I42" s="172"/>
      <c r="K42" s="173"/>
      <c r="M42" s="636"/>
      <c r="N42" s="637"/>
      <c r="O42" s="638"/>
      <c r="P42" s="639"/>
      <c r="Q42" s="638"/>
    </row>
    <row r="43" spans="1:17">
      <c r="A43" s="179"/>
      <c r="B43" s="14"/>
      <c r="C43" s="13"/>
      <c r="D43" s="636"/>
      <c r="E43" s="637"/>
      <c r="F43" s="638"/>
      <c r="G43" s="639"/>
      <c r="H43" s="638"/>
      <c r="I43" s="172"/>
      <c r="K43" s="173"/>
      <c r="M43" s="636"/>
      <c r="N43" s="637"/>
      <c r="O43" s="638"/>
      <c r="P43" s="639"/>
      <c r="Q43" s="638"/>
    </row>
    <row r="44" spans="1:17">
      <c r="A44" s="179"/>
      <c r="B44" s="14"/>
      <c r="C44" s="13"/>
      <c r="D44" s="636"/>
      <c r="E44" s="637"/>
      <c r="F44" s="638"/>
      <c r="G44" s="639"/>
      <c r="H44" s="638"/>
      <c r="I44" s="172"/>
      <c r="K44" s="173"/>
      <c r="M44" s="636"/>
      <c r="N44" s="637"/>
      <c r="O44" s="638"/>
      <c r="P44" s="639"/>
      <c r="Q44" s="638"/>
    </row>
    <row r="45" spans="1:17">
      <c r="A45" s="179"/>
      <c r="B45" s="14"/>
      <c r="C45" s="13"/>
      <c r="D45" s="636"/>
      <c r="E45" s="637"/>
      <c r="F45" s="638"/>
      <c r="G45" s="639"/>
      <c r="H45" s="638"/>
      <c r="I45" s="172"/>
      <c r="K45" s="173"/>
      <c r="M45" s="636"/>
      <c r="N45" s="637"/>
      <c r="O45" s="638"/>
      <c r="P45" s="639"/>
      <c r="Q45" s="638"/>
    </row>
    <row r="46" spans="1:17">
      <c r="A46" s="179"/>
      <c r="B46" s="14"/>
      <c r="C46" s="13"/>
      <c r="D46" s="636"/>
      <c r="E46" s="637"/>
      <c r="F46" s="638"/>
      <c r="G46" s="639"/>
      <c r="H46" s="638"/>
      <c r="I46" s="172"/>
      <c r="K46" s="173"/>
      <c r="M46" s="636"/>
      <c r="N46" s="637"/>
      <c r="O46" s="638"/>
      <c r="P46" s="639"/>
      <c r="Q46" s="638"/>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1" customWidth="1"/>
    <col min="2" max="2" width="50.81640625" style="101" customWidth="1"/>
    <col min="3" max="3" width="14.81640625" style="143" bestFit="1" customWidth="1"/>
    <col min="4" max="4" width="18.81640625" style="101" customWidth="1"/>
    <col min="5" max="5" width="4.81640625" style="101" customWidth="1"/>
    <col min="6" max="6" width="18.81640625" style="101" customWidth="1"/>
    <col min="7" max="7" width="4.81640625" style="101" customWidth="1"/>
    <col min="8" max="8" width="18.81640625" style="101" customWidth="1"/>
    <col min="9" max="9" width="4.81640625" style="101" customWidth="1"/>
    <col min="10" max="10" width="18.81640625" style="101" customWidth="1"/>
    <col min="11" max="11" width="1.1796875" style="101" customWidth="1"/>
    <col min="12" max="16384" width="9.1796875" style="101"/>
  </cols>
  <sheetData>
    <row r="1" spans="1:13" ht="6" customHeight="1">
      <c r="A1" s="98"/>
      <c r="B1" s="99"/>
      <c r="C1" s="49"/>
      <c r="D1" s="99"/>
      <c r="E1" s="99"/>
      <c r="F1" s="99"/>
      <c r="G1" s="99"/>
      <c r="H1" s="99"/>
      <c r="I1" s="99"/>
      <c r="J1" s="99"/>
      <c r="K1" s="100"/>
    </row>
    <row r="2" spans="1:13" ht="18" customHeight="1">
      <c r="A2" s="102"/>
      <c r="B2" s="103" t="s">
        <v>458</v>
      </c>
      <c r="C2" s="104"/>
      <c r="D2" s="105" t="s">
        <v>444</v>
      </c>
      <c r="E2" s="106"/>
      <c r="F2" s="107">
        <f>VLOOKUP("Calculation_Date",calcdata_21,3,FALSE)</f>
        <v>45820</v>
      </c>
      <c r="G2" s="106"/>
      <c r="H2" s="106"/>
      <c r="I2" s="106"/>
      <c r="J2" s="108"/>
      <c r="K2" s="109"/>
    </row>
    <row r="3" spans="1:13" ht="18" customHeight="1">
      <c r="A3" s="102"/>
      <c r="B3" s="103" t="s">
        <v>0</v>
      </c>
      <c r="C3" s="110"/>
      <c r="D3" s="111" t="s">
        <v>2</v>
      </c>
      <c r="E3" s="112"/>
      <c r="F3" s="113">
        <f>VLOOKUP("Payment_Date",calcdata_21,3,FALSE)</f>
        <v>45824</v>
      </c>
      <c r="G3" s="112"/>
      <c r="H3" s="112"/>
      <c r="I3" s="112"/>
      <c r="J3" s="114"/>
      <c r="K3" s="109"/>
    </row>
    <row r="4" spans="1:13" ht="12.75" customHeight="1">
      <c r="A4" s="102"/>
      <c r="B4" s="115"/>
      <c r="C4" s="110"/>
      <c r="D4" s="111" t="s">
        <v>3</v>
      </c>
      <c r="E4" s="112"/>
      <c r="F4" s="116">
        <f>VLOOKUP("Period",calcdata_21,2,FALSE)</f>
        <v>43</v>
      </c>
      <c r="G4" s="112"/>
      <c r="H4" s="117"/>
      <c r="I4" s="112"/>
      <c r="J4" s="118"/>
      <c r="K4" s="109"/>
    </row>
    <row r="5" spans="1:13" ht="18" customHeight="1">
      <c r="A5" s="102"/>
      <c r="B5" s="119" t="s">
        <v>33</v>
      </c>
      <c r="C5" s="110"/>
      <c r="D5" s="111" t="s">
        <v>1</v>
      </c>
      <c r="E5" s="112"/>
      <c r="F5" s="120">
        <f>F3</f>
        <v>45824</v>
      </c>
      <c r="G5" s="112"/>
      <c r="H5" s="117"/>
      <c r="I5" s="112"/>
      <c r="J5" s="118"/>
      <c r="K5" s="109"/>
    </row>
    <row r="6" spans="1:13" ht="15" customHeight="1">
      <c r="A6" s="102"/>
      <c r="B6" s="121"/>
      <c r="C6" s="110"/>
      <c r="D6" s="111" t="s">
        <v>50</v>
      </c>
      <c r="E6" s="122" t="s">
        <v>34</v>
      </c>
      <c r="F6" s="113">
        <f>VLOOKUP("Interest_Period_from",calcdata_21,3,FALSE)</f>
        <v>45791</v>
      </c>
      <c r="G6" s="122" t="s">
        <v>4</v>
      </c>
      <c r="H6" s="113">
        <f>F3</f>
        <v>45824</v>
      </c>
      <c r="I6" s="122" t="s">
        <v>15</v>
      </c>
      <c r="J6" s="123" t="str">
        <f>H6-F6&amp;" days"</f>
        <v>33 days</v>
      </c>
      <c r="K6" s="124"/>
      <c r="M6" s="125"/>
    </row>
    <row r="7" spans="1:13">
      <c r="A7" s="102"/>
      <c r="B7" s="104"/>
      <c r="C7" s="104"/>
      <c r="D7" s="126" t="s">
        <v>115</v>
      </c>
      <c r="E7" s="127" t="s">
        <v>34</v>
      </c>
      <c r="F7" s="128" t="str">
        <f>"01."&amp;TEXT(F6,"MM.jjjj")</f>
        <v>01.05.2025</v>
      </c>
      <c r="G7" s="127" t="s">
        <v>4</v>
      </c>
      <c r="H7" s="128">
        <f>EOMONTH(F6,0)</f>
        <v>45808</v>
      </c>
      <c r="I7" s="129"/>
      <c r="J7" s="130"/>
      <c r="K7" s="109"/>
    </row>
    <row r="8" spans="1:13" ht="13">
      <c r="A8" s="102"/>
      <c r="B8" s="104"/>
      <c r="C8" s="104"/>
      <c r="D8" s="104"/>
      <c r="E8" s="131"/>
      <c r="F8" s="132"/>
      <c r="G8" s="133"/>
      <c r="H8" s="104"/>
      <c r="I8" s="104"/>
      <c r="J8" s="104"/>
      <c r="K8" s="109"/>
    </row>
    <row r="9" spans="1:13" ht="13">
      <c r="A9" s="102"/>
      <c r="B9" s="104"/>
      <c r="C9" s="104"/>
      <c r="D9" s="104"/>
      <c r="E9" s="131"/>
      <c r="F9" s="132"/>
      <c r="G9" s="133"/>
      <c r="H9" s="104"/>
      <c r="I9" s="104"/>
      <c r="J9" s="104"/>
      <c r="K9" s="109"/>
    </row>
    <row r="10" spans="1:13" ht="13">
      <c r="A10" s="102"/>
      <c r="B10" s="104"/>
      <c r="C10" s="101"/>
      <c r="D10" s="104"/>
      <c r="E10" s="131"/>
      <c r="F10" s="132"/>
      <c r="G10" s="133"/>
      <c r="H10" s="104"/>
      <c r="I10" s="104"/>
      <c r="J10" s="104"/>
      <c r="K10" s="109"/>
    </row>
    <row r="11" spans="1:13" ht="18" customHeight="1">
      <c r="A11" s="102"/>
      <c r="B11" s="104"/>
      <c r="C11" s="101"/>
      <c r="D11" s="104"/>
      <c r="E11" s="131"/>
      <c r="F11" s="132"/>
      <c r="G11" s="133"/>
      <c r="H11" s="104"/>
      <c r="I11" s="104"/>
      <c r="J11" s="104"/>
      <c r="K11" s="109"/>
    </row>
    <row r="12" spans="1:13">
      <c r="A12" s="102"/>
      <c r="B12" s="104"/>
      <c r="C12" s="101"/>
      <c r="D12" s="104"/>
      <c r="E12" s="104"/>
      <c r="F12" s="104"/>
      <c r="G12" s="104"/>
      <c r="H12" s="104"/>
      <c r="I12" s="104"/>
      <c r="J12" s="104"/>
      <c r="K12" s="109"/>
    </row>
    <row r="13" spans="1:13" ht="18">
      <c r="A13" s="102"/>
      <c r="B13" s="103" t="s">
        <v>51</v>
      </c>
      <c r="C13" s="134" t="s">
        <v>58</v>
      </c>
      <c r="D13" s="135"/>
      <c r="E13" s="135"/>
      <c r="F13" s="104"/>
      <c r="G13" s="104"/>
      <c r="H13" s="104"/>
      <c r="I13" s="104"/>
      <c r="J13" s="136"/>
      <c r="K13" s="109"/>
    </row>
    <row r="14" spans="1:13">
      <c r="A14" s="102"/>
      <c r="B14" s="104"/>
      <c r="C14" s="137"/>
      <c r="D14" s="104"/>
      <c r="E14" s="138"/>
      <c r="F14" s="104"/>
      <c r="G14" s="104"/>
      <c r="H14" s="104"/>
      <c r="I14" s="104"/>
      <c r="J14" s="104"/>
      <c r="K14" s="109"/>
    </row>
    <row r="15" spans="1:13" ht="15" customHeight="1">
      <c r="A15" s="102"/>
      <c r="B15" s="104" t="s">
        <v>48</v>
      </c>
      <c r="C15" s="139">
        <v>1</v>
      </c>
      <c r="D15" s="21"/>
      <c r="E15" s="138"/>
      <c r="F15" s="104"/>
      <c r="G15" s="104"/>
      <c r="H15" s="104"/>
      <c r="I15" s="104"/>
      <c r="J15" s="104"/>
      <c r="K15" s="109"/>
    </row>
    <row r="16" spans="1:13" ht="15" customHeight="1">
      <c r="A16" s="102"/>
      <c r="B16" s="104" t="s">
        <v>398</v>
      </c>
      <c r="C16" s="139">
        <v>2</v>
      </c>
      <c r="D16" s="992"/>
      <c r="E16" s="138"/>
      <c r="F16" s="104"/>
      <c r="G16" s="104"/>
      <c r="H16" s="104"/>
      <c r="I16" s="104"/>
      <c r="J16" s="104"/>
      <c r="K16" s="109"/>
    </row>
    <row r="17" spans="1:11" ht="15" customHeight="1">
      <c r="A17" s="102"/>
      <c r="B17" s="104" t="s">
        <v>49</v>
      </c>
      <c r="C17" s="139">
        <v>3</v>
      </c>
      <c r="E17" s="104"/>
      <c r="F17" s="104"/>
      <c r="G17" s="104"/>
      <c r="H17" s="104"/>
      <c r="I17" s="104"/>
      <c r="J17" s="21"/>
      <c r="K17" s="109"/>
    </row>
    <row r="18" spans="1:11" ht="15" customHeight="1">
      <c r="A18" s="102"/>
      <c r="B18" s="104" t="s">
        <v>248</v>
      </c>
      <c r="C18" s="139">
        <v>4</v>
      </c>
      <c r="D18" s="993"/>
      <c r="E18" s="104"/>
      <c r="F18" s="104"/>
      <c r="G18" s="104"/>
      <c r="H18" s="104"/>
      <c r="I18" s="104"/>
      <c r="J18" s="136"/>
      <c r="K18" s="109"/>
    </row>
    <row r="19" spans="1:11" ht="15" customHeight="1">
      <c r="A19" s="102"/>
      <c r="B19" s="140" t="s">
        <v>249</v>
      </c>
      <c r="C19" s="139">
        <v>5</v>
      </c>
      <c r="D19" s="993"/>
      <c r="E19" s="104"/>
      <c r="F19" s="104"/>
      <c r="G19" s="104"/>
      <c r="H19" s="104"/>
      <c r="I19" s="104"/>
      <c r="J19" s="136"/>
      <c r="K19" s="109"/>
    </row>
    <row r="20" spans="1:11" ht="15" customHeight="1">
      <c r="A20" s="102"/>
      <c r="B20" s="140" t="s">
        <v>399</v>
      </c>
      <c r="C20" s="139">
        <v>6</v>
      </c>
      <c r="D20" s="993"/>
      <c r="E20" s="104"/>
      <c r="F20" s="104"/>
      <c r="G20" s="104"/>
      <c r="H20" s="104"/>
      <c r="I20" s="104"/>
      <c r="J20" s="136"/>
      <c r="K20" s="109"/>
    </row>
    <row r="21" spans="1:11" ht="15" customHeight="1">
      <c r="A21" s="102"/>
      <c r="B21" s="104" t="s">
        <v>126</v>
      </c>
      <c r="C21" s="139">
        <v>7</v>
      </c>
      <c r="D21" s="21"/>
      <c r="E21" s="104"/>
      <c r="F21" s="104"/>
      <c r="G21" s="104"/>
      <c r="H21" s="104"/>
      <c r="I21" s="104"/>
      <c r="J21" s="136"/>
      <c r="K21" s="109"/>
    </row>
    <row r="22" spans="1:11" ht="15" customHeight="1">
      <c r="A22" s="102"/>
      <c r="B22" s="104" t="s">
        <v>127</v>
      </c>
      <c r="C22" s="139">
        <v>8</v>
      </c>
      <c r="D22" s="994"/>
      <c r="E22" s="138"/>
      <c r="F22" s="104"/>
      <c r="G22" s="104"/>
      <c r="H22" s="104"/>
      <c r="I22" s="104"/>
      <c r="J22" s="141"/>
      <c r="K22" s="109"/>
    </row>
    <row r="23" spans="1:11" ht="15" customHeight="1">
      <c r="A23" s="102"/>
      <c r="B23" s="104" t="s">
        <v>128</v>
      </c>
      <c r="C23" s="139">
        <v>9</v>
      </c>
      <c r="D23" s="21"/>
      <c r="E23" s="138"/>
      <c r="F23" s="104"/>
      <c r="G23" s="104"/>
      <c r="H23" s="104"/>
      <c r="I23" s="104"/>
      <c r="J23" s="142"/>
      <c r="K23" s="109"/>
    </row>
    <row r="24" spans="1:11" ht="15" customHeight="1">
      <c r="A24" s="102"/>
      <c r="B24" s="104" t="s">
        <v>129</v>
      </c>
      <c r="C24" s="139">
        <v>10</v>
      </c>
      <c r="D24" s="21"/>
      <c r="E24" s="138"/>
      <c r="F24" s="104"/>
      <c r="G24" s="104"/>
      <c r="H24" s="104"/>
      <c r="I24" s="104"/>
      <c r="J24" s="142"/>
      <c r="K24" s="109"/>
    </row>
    <row r="25" spans="1:11" ht="15" customHeight="1">
      <c r="A25" s="102"/>
      <c r="B25" s="104" t="s">
        <v>130</v>
      </c>
      <c r="C25" s="139">
        <v>11</v>
      </c>
      <c r="D25" s="21"/>
      <c r="E25" s="138"/>
      <c r="F25" s="104"/>
      <c r="G25" s="104"/>
      <c r="H25" s="104"/>
      <c r="I25" s="104"/>
      <c r="J25" s="142"/>
      <c r="K25" s="109"/>
    </row>
    <row r="26" spans="1:11" ht="15" customHeight="1">
      <c r="A26" s="102"/>
      <c r="B26" s="104" t="s">
        <v>131</v>
      </c>
      <c r="C26" s="139">
        <v>12</v>
      </c>
      <c r="D26" s="21"/>
      <c r="E26" s="138"/>
      <c r="F26" s="104"/>
      <c r="G26" s="104"/>
      <c r="H26" s="104"/>
      <c r="I26" s="104"/>
      <c r="J26" s="142"/>
      <c r="K26" s="109"/>
    </row>
    <row r="27" spans="1:11" ht="15" customHeight="1">
      <c r="A27" s="102"/>
      <c r="B27" s="104" t="s">
        <v>132</v>
      </c>
      <c r="C27" s="139">
        <v>13</v>
      </c>
      <c r="D27" s="21"/>
      <c r="E27" s="138"/>
      <c r="F27" s="104"/>
      <c r="G27" s="104"/>
      <c r="H27" s="104"/>
      <c r="I27" s="104"/>
      <c r="J27" s="142"/>
      <c r="K27" s="109"/>
    </row>
    <row r="28" spans="1:11" ht="15" customHeight="1">
      <c r="A28" s="102"/>
      <c r="B28" s="104" t="s">
        <v>133</v>
      </c>
      <c r="C28" s="139">
        <v>14</v>
      </c>
      <c r="D28" s="21"/>
      <c r="E28" s="138"/>
      <c r="F28" s="104"/>
      <c r="G28" s="104"/>
      <c r="H28" s="104"/>
      <c r="I28" s="104"/>
      <c r="J28" s="142"/>
      <c r="K28" s="109"/>
    </row>
    <row r="29" spans="1:11" ht="15" customHeight="1">
      <c r="A29" s="102"/>
      <c r="B29" s="104" t="s">
        <v>134</v>
      </c>
      <c r="C29" s="139">
        <v>15</v>
      </c>
      <c r="D29" s="21"/>
      <c r="E29" s="138"/>
      <c r="F29" s="104"/>
      <c r="G29" s="104"/>
      <c r="H29" s="104"/>
      <c r="I29" s="104"/>
      <c r="J29" s="142"/>
      <c r="K29" s="109"/>
    </row>
    <row r="30" spans="1:11" ht="15" customHeight="1">
      <c r="A30" s="102"/>
      <c r="B30" s="104" t="s">
        <v>135</v>
      </c>
      <c r="C30" s="139">
        <v>16</v>
      </c>
      <c r="D30" s="21"/>
      <c r="E30" s="138"/>
      <c r="F30" s="104"/>
      <c r="G30" s="104"/>
      <c r="H30" s="104"/>
      <c r="I30" s="104"/>
      <c r="J30" s="142"/>
      <c r="K30" s="109"/>
    </row>
    <row r="31" spans="1:11" ht="15" customHeight="1">
      <c r="A31" s="102"/>
      <c r="B31" s="104" t="s">
        <v>136</v>
      </c>
      <c r="C31" s="139">
        <v>17</v>
      </c>
      <c r="D31" s="21"/>
      <c r="E31" s="138"/>
      <c r="F31" s="104"/>
      <c r="G31" s="104"/>
      <c r="H31" s="104"/>
      <c r="I31" s="104"/>
      <c r="J31" s="142"/>
      <c r="K31" s="109"/>
    </row>
    <row r="32" spans="1:11" ht="15" customHeight="1">
      <c r="A32" s="102"/>
      <c r="B32" s="104" t="s">
        <v>137</v>
      </c>
      <c r="C32" s="139">
        <v>18</v>
      </c>
      <c r="D32" s="21"/>
      <c r="E32" s="138"/>
      <c r="F32" s="104"/>
      <c r="G32" s="104"/>
      <c r="H32" s="104"/>
      <c r="I32" s="104"/>
      <c r="J32" s="142"/>
      <c r="K32" s="109"/>
    </row>
    <row r="33" spans="1:11" ht="15" customHeight="1">
      <c r="A33" s="102"/>
      <c r="B33" s="104" t="s">
        <v>211</v>
      </c>
      <c r="C33" s="139">
        <v>19</v>
      </c>
      <c r="D33" s="21"/>
      <c r="E33" s="138"/>
      <c r="F33" s="104"/>
      <c r="G33" s="104"/>
      <c r="H33" s="104"/>
      <c r="I33" s="104"/>
      <c r="J33" s="142"/>
      <c r="K33" s="109"/>
    </row>
    <row r="34" spans="1:11" ht="15" customHeight="1">
      <c r="A34" s="102"/>
      <c r="B34" s="104" t="s">
        <v>212</v>
      </c>
      <c r="C34" s="139">
        <v>20</v>
      </c>
      <c r="D34" s="21"/>
      <c r="E34" s="138"/>
      <c r="F34" s="104"/>
      <c r="G34" s="104"/>
      <c r="H34" s="104"/>
      <c r="I34" s="104"/>
      <c r="J34" s="142"/>
      <c r="K34" s="109"/>
    </row>
    <row r="35" spans="1:11" ht="15" customHeight="1">
      <c r="A35" s="102"/>
      <c r="B35" s="104" t="s">
        <v>138</v>
      </c>
      <c r="C35" s="139">
        <v>21</v>
      </c>
      <c r="D35" s="21"/>
      <c r="E35" s="138"/>
      <c r="F35" s="104"/>
      <c r="G35" s="104"/>
      <c r="H35" s="104"/>
      <c r="I35" s="104"/>
      <c r="J35" s="142"/>
      <c r="K35" s="109"/>
    </row>
    <row r="36" spans="1:11" ht="15" customHeight="1">
      <c r="A36" s="102"/>
      <c r="B36" s="104" t="s">
        <v>139</v>
      </c>
      <c r="C36" s="139">
        <v>22</v>
      </c>
      <c r="D36" s="21"/>
      <c r="E36" s="138"/>
      <c r="F36" s="104"/>
      <c r="G36" s="104"/>
      <c r="H36" s="104"/>
      <c r="I36" s="104"/>
      <c r="J36" s="142"/>
      <c r="K36" s="109"/>
    </row>
    <row r="37" spans="1:11" ht="15" customHeight="1">
      <c r="A37" s="102"/>
      <c r="B37" s="104" t="s">
        <v>140</v>
      </c>
      <c r="C37" s="139">
        <v>23</v>
      </c>
      <c r="D37" s="21"/>
      <c r="E37" s="138"/>
      <c r="F37" s="104"/>
      <c r="G37" s="104"/>
      <c r="H37" s="104"/>
      <c r="I37" s="104"/>
      <c r="J37" s="142"/>
      <c r="K37" s="109"/>
    </row>
    <row r="38" spans="1:11" ht="15" customHeight="1">
      <c r="A38" s="102"/>
      <c r="B38" s="104" t="s">
        <v>141</v>
      </c>
      <c r="C38" s="139">
        <v>24</v>
      </c>
      <c r="D38" s="21"/>
      <c r="E38" s="138"/>
      <c r="F38" s="104"/>
      <c r="G38" s="104"/>
      <c r="H38" s="104"/>
      <c r="I38" s="104"/>
      <c r="J38" s="142"/>
      <c r="K38" s="109"/>
    </row>
    <row r="39" spans="1:11" ht="15" customHeight="1">
      <c r="A39" s="102"/>
      <c r="B39" s="104" t="s">
        <v>142</v>
      </c>
      <c r="C39" s="139">
        <v>25</v>
      </c>
      <c r="D39" s="21"/>
      <c r="E39" s="138"/>
      <c r="F39" s="104"/>
      <c r="G39" s="104"/>
      <c r="H39" s="104"/>
      <c r="I39" s="104"/>
      <c r="J39" s="142"/>
      <c r="K39" s="109"/>
    </row>
    <row r="40" spans="1:11" ht="15" customHeight="1">
      <c r="A40" s="102"/>
      <c r="B40" s="104" t="s">
        <v>143</v>
      </c>
      <c r="C40" s="139">
        <v>26</v>
      </c>
      <c r="D40" s="21"/>
      <c r="E40" s="138"/>
      <c r="F40" s="104"/>
      <c r="G40" s="104"/>
      <c r="H40" s="104"/>
      <c r="I40" s="104"/>
      <c r="J40" s="142"/>
      <c r="K40" s="109"/>
    </row>
    <row r="41" spans="1:11" ht="15" customHeight="1">
      <c r="A41" s="102"/>
      <c r="B41" s="104" t="s">
        <v>144</v>
      </c>
      <c r="C41" s="139">
        <v>27</v>
      </c>
      <c r="D41" s="21"/>
      <c r="E41" s="138"/>
      <c r="F41" s="104"/>
      <c r="G41" s="104"/>
      <c r="H41" s="104"/>
      <c r="I41" s="104"/>
      <c r="J41" s="142"/>
      <c r="K41" s="109"/>
    </row>
    <row r="42" spans="1:11" ht="15" customHeight="1">
      <c r="A42" s="102"/>
      <c r="B42" s="104" t="s">
        <v>408</v>
      </c>
      <c r="C42" s="139">
        <v>28</v>
      </c>
      <c r="D42" s="21"/>
      <c r="E42" s="138"/>
      <c r="F42" s="104"/>
      <c r="G42" s="104"/>
      <c r="H42" s="104"/>
      <c r="I42" s="104"/>
      <c r="J42" s="142"/>
      <c r="K42" s="109"/>
    </row>
    <row r="43" spans="1:11" ht="15" customHeight="1">
      <c r="A43" s="102"/>
      <c r="B43" s="104" t="s">
        <v>409</v>
      </c>
      <c r="C43" s="139">
        <v>29</v>
      </c>
      <c r="D43" s="143"/>
      <c r="E43" s="138"/>
      <c r="F43" s="104"/>
      <c r="G43" s="104"/>
      <c r="H43" s="104"/>
      <c r="I43" s="104"/>
      <c r="J43" s="142"/>
      <c r="K43" s="109"/>
    </row>
    <row r="44" spans="1:11" ht="15" customHeight="1">
      <c r="A44" s="102"/>
      <c r="B44" s="104" t="s">
        <v>410</v>
      </c>
      <c r="C44" s="139">
        <v>30</v>
      </c>
      <c r="D44" s="143"/>
      <c r="E44" s="138"/>
      <c r="F44" s="104"/>
      <c r="G44" s="104"/>
      <c r="H44" s="104"/>
      <c r="I44" s="104"/>
      <c r="J44" s="142"/>
      <c r="K44" s="109"/>
    </row>
    <row r="45" spans="1:11" ht="15" customHeight="1">
      <c r="A45" s="102"/>
      <c r="B45" s="101" t="s">
        <v>411</v>
      </c>
      <c r="C45" s="139">
        <v>31</v>
      </c>
      <c r="D45" s="21"/>
      <c r="E45" s="138"/>
      <c r="F45" s="104"/>
      <c r="G45" s="104"/>
      <c r="H45" s="104"/>
      <c r="I45" s="104"/>
      <c r="J45" s="142"/>
      <c r="K45" s="109"/>
    </row>
    <row r="46" spans="1:11" ht="15" customHeight="1">
      <c r="A46" s="102"/>
      <c r="B46" s="104" t="s">
        <v>247</v>
      </c>
      <c r="C46" s="139">
        <v>32</v>
      </c>
      <c r="D46" s="104"/>
      <c r="E46" s="144"/>
      <c r="F46" s="104"/>
      <c r="G46" s="104"/>
      <c r="H46" s="104"/>
      <c r="I46" s="104"/>
      <c r="J46" s="141"/>
      <c r="K46" s="109"/>
    </row>
    <row r="47" spans="1:11" ht="15" customHeight="1">
      <c r="A47" s="102"/>
      <c r="B47" s="101" t="s">
        <v>412</v>
      </c>
      <c r="C47" s="139">
        <v>33</v>
      </c>
      <c r="D47" s="104"/>
      <c r="E47" s="144"/>
      <c r="F47" s="104"/>
      <c r="G47" s="104"/>
      <c r="H47" s="104"/>
      <c r="I47" s="104"/>
      <c r="J47" s="141"/>
      <c r="K47" s="109"/>
    </row>
    <row r="48" spans="1:11" ht="15" customHeight="1">
      <c r="A48" s="102"/>
      <c r="B48" s="104" t="s">
        <v>413</v>
      </c>
      <c r="C48" s="139">
        <v>34</v>
      </c>
      <c r="D48" s="104"/>
      <c r="E48" s="144"/>
      <c r="F48" s="104"/>
      <c r="G48" s="104"/>
      <c r="H48" s="104"/>
      <c r="I48" s="104"/>
      <c r="J48" s="141"/>
      <c r="K48" s="109"/>
    </row>
    <row r="49" spans="1:11" ht="15" customHeight="1">
      <c r="A49" s="102"/>
      <c r="B49" s="104" t="s">
        <v>414</v>
      </c>
      <c r="C49" s="139">
        <v>35</v>
      </c>
      <c r="D49" s="104"/>
      <c r="E49" s="144"/>
      <c r="F49" s="104"/>
      <c r="G49" s="104"/>
      <c r="H49" s="104"/>
      <c r="I49" s="104"/>
      <c r="J49" s="141"/>
      <c r="K49" s="109"/>
    </row>
    <row r="50" spans="1:11" ht="13">
      <c r="A50" s="102"/>
      <c r="B50" s="104"/>
      <c r="C50" s="139"/>
      <c r="D50" s="104"/>
      <c r="E50" s="144"/>
      <c r="F50" s="104"/>
      <c r="G50" s="104"/>
      <c r="H50" s="104"/>
      <c r="I50" s="104"/>
      <c r="J50" s="141"/>
      <c r="K50" s="109"/>
    </row>
    <row r="51" spans="1:11" ht="13">
      <c r="A51" s="102"/>
      <c r="B51" s="104"/>
      <c r="C51" s="139"/>
      <c r="D51" s="104"/>
      <c r="E51" s="144"/>
      <c r="F51" s="104"/>
      <c r="G51" s="104"/>
      <c r="H51" s="104"/>
      <c r="I51" s="104"/>
      <c r="J51" s="141"/>
      <c r="K51" s="109"/>
    </row>
    <row r="52" spans="1:11" ht="12.75" customHeight="1">
      <c r="A52" s="145"/>
      <c r="B52" s="146"/>
      <c r="C52" s="50"/>
      <c r="D52" s="147"/>
      <c r="E52" s="147"/>
      <c r="F52" s="147"/>
      <c r="G52" s="147"/>
      <c r="H52" s="147"/>
      <c r="I52" s="147"/>
      <c r="J52" s="146"/>
      <c r="K52" s="148"/>
    </row>
    <row r="53" spans="1:11" ht="13">
      <c r="B53" s="149"/>
      <c r="C53" s="150"/>
      <c r="J53" s="149"/>
    </row>
    <row r="54" spans="1:11">
      <c r="B54" s="149"/>
      <c r="J54" s="149"/>
    </row>
    <row r="55" spans="1:11">
      <c r="B55" s="149"/>
      <c r="J55" s="149"/>
    </row>
    <row r="56" spans="1:11">
      <c r="B56" s="149"/>
      <c r="J56" s="149"/>
    </row>
    <row r="59" spans="1:11" ht="13">
      <c r="C59" s="150"/>
    </row>
    <row r="60" spans="1:11" ht="13">
      <c r="C60" s="150"/>
    </row>
    <row r="61" spans="1:11" ht="13">
      <c r="C61" s="150"/>
    </row>
    <row r="66" spans="3:3">
      <c r="C66" s="151"/>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81640625" style="143" customWidth="1"/>
    <col min="4" max="4" width="29.179687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29.179687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45820</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45824</v>
      </c>
      <c r="G3" s="112"/>
      <c r="H3" s="112"/>
      <c r="I3" s="112"/>
      <c r="J3" s="114"/>
      <c r="K3" s="124"/>
      <c r="M3" s="163"/>
      <c r="N3" s="21"/>
      <c r="O3" s="472"/>
      <c r="P3" s="21"/>
      <c r="Q3" s="21"/>
    </row>
    <row r="4" spans="1:17" s="101" customFormat="1" ht="13">
      <c r="A4" s="102"/>
      <c r="B4" s="156"/>
      <c r="C4" s="157"/>
      <c r="D4" s="111" t="str">
        <f>'Cover Sheet'!D4</f>
        <v>Period  No</v>
      </c>
      <c r="E4" s="112"/>
      <c r="F4" s="116">
        <f>'Cover Sheet'!F4</f>
        <v>43</v>
      </c>
      <c r="G4" s="112"/>
      <c r="H4" s="117"/>
      <c r="I4" s="112"/>
      <c r="J4" s="118"/>
      <c r="K4" s="358"/>
      <c r="M4" s="163"/>
      <c r="N4" s="21"/>
      <c r="O4" s="228"/>
      <c r="P4" s="21"/>
      <c r="Q4" s="163"/>
    </row>
    <row r="5" spans="1:17" s="101" customFormat="1" ht="18">
      <c r="A5" s="102"/>
      <c r="B5" s="159" t="s">
        <v>156</v>
      </c>
      <c r="C5" s="119"/>
      <c r="D5" s="111" t="str">
        <f>'Cover Sheet'!D5</f>
        <v>Monthly Period</v>
      </c>
      <c r="E5" s="112"/>
      <c r="F5" s="120">
        <f>'Cover Sheet'!F5</f>
        <v>45824</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71"/>
      <c r="C12" s="171"/>
      <c r="K12" s="109"/>
      <c r="M12" s="21"/>
      <c r="N12" s="21"/>
      <c r="O12" s="21"/>
      <c r="P12" s="21"/>
      <c r="Q12" s="21"/>
    </row>
    <row r="13" spans="1:17" ht="29">
      <c r="A13" s="179"/>
      <c r="B13" s="14"/>
      <c r="C13" s="13"/>
      <c r="D13" s="498" t="s">
        <v>72</v>
      </c>
      <c r="E13" s="533" t="s">
        <v>71</v>
      </c>
      <c r="F13" s="499" t="s">
        <v>118</v>
      </c>
      <c r="G13" s="500" t="s">
        <v>61</v>
      </c>
      <c r="H13" s="534" t="s">
        <v>119</v>
      </c>
      <c r="I13" s="101"/>
      <c r="K13" s="173"/>
      <c r="M13" s="213"/>
      <c r="N13" s="216"/>
      <c r="O13" s="214"/>
      <c r="P13" s="495"/>
      <c r="Q13" s="495"/>
    </row>
    <row r="14" spans="1:17" ht="13.5" customHeight="1">
      <c r="A14" s="179"/>
      <c r="B14" s="14"/>
      <c r="C14" s="13"/>
      <c r="D14" s="585" t="s">
        <v>656</v>
      </c>
      <c r="E14" s="586">
        <f>VLOOKUP(CONCATENATE("payment_",D14),Assets_21,3,0)</f>
        <v>483294650.61999798</v>
      </c>
      <c r="F14" s="587">
        <f>E14/$E$16</f>
        <v>0.94135489707871867</v>
      </c>
      <c r="G14" s="588">
        <f>VLOOKUP(CONCATENATE("payment_",D14),Assets_21,2,0)</f>
        <v>49136</v>
      </c>
      <c r="H14" s="589">
        <f>G14/$G$16</f>
        <v>0.94895614052028809</v>
      </c>
      <c r="I14" s="101"/>
      <c r="K14" s="173"/>
      <c r="M14" s="590"/>
      <c r="N14" s="591"/>
      <c r="O14" s="592"/>
      <c r="P14" s="593"/>
      <c r="Q14" s="592"/>
    </row>
    <row r="15" spans="1:17" ht="13" thickBot="1">
      <c r="A15" s="179"/>
      <c r="B15" s="14"/>
      <c r="C15" s="13"/>
      <c r="D15" s="594" t="s">
        <v>657</v>
      </c>
      <c r="E15" s="595">
        <f>VLOOKUP(CONCATENATE("payment_",D15),Assets_21,3,0)</f>
        <v>30108585.630000055</v>
      </c>
      <c r="F15" s="587">
        <f>E15/$E$16</f>
        <v>5.864510292128134E-2</v>
      </c>
      <c r="G15" s="596">
        <f>VLOOKUP(CONCATENATE("payment_",D15),Assets_21,2,0)</f>
        <v>2643</v>
      </c>
      <c r="H15" s="597">
        <f>G15/$G$16</f>
        <v>5.1043859479711851E-2</v>
      </c>
      <c r="I15" s="101"/>
      <c r="K15" s="173"/>
      <c r="M15" s="590"/>
      <c r="N15" s="591"/>
      <c r="O15" s="592"/>
      <c r="P15" s="593"/>
      <c r="Q15" s="592"/>
    </row>
    <row r="16" spans="1:17" ht="14" thickTop="1" thickBot="1">
      <c r="A16" s="179"/>
      <c r="B16" s="14"/>
      <c r="C16" s="13"/>
      <c r="D16" s="598" t="s">
        <v>36</v>
      </c>
      <c r="E16" s="599">
        <f>SUM(E14:E15)</f>
        <v>513403236.24999803</v>
      </c>
      <c r="F16" s="600">
        <f>SUM(F14:F15)</f>
        <v>1</v>
      </c>
      <c r="G16" s="601">
        <f>SUM(G14:G15)</f>
        <v>51779</v>
      </c>
      <c r="H16" s="602">
        <f>SUM(H14:H15)</f>
        <v>1</v>
      </c>
      <c r="I16" s="101"/>
      <c r="K16" s="173"/>
      <c r="M16" s="603"/>
      <c r="N16" s="604"/>
      <c r="O16" s="605"/>
      <c r="P16" s="606"/>
      <c r="Q16" s="605"/>
    </row>
    <row r="17" spans="1:17">
      <c r="A17" s="179"/>
      <c r="B17" s="14"/>
      <c r="C17" s="13"/>
      <c r="D17" s="607"/>
      <c r="E17" s="607"/>
      <c r="F17" s="607"/>
      <c r="G17" s="607"/>
      <c r="H17" s="607"/>
      <c r="I17" s="101"/>
      <c r="K17" s="173"/>
      <c r="M17" s="199"/>
      <c r="N17" s="199"/>
      <c r="O17" s="199"/>
      <c r="P17" s="199"/>
      <c r="Q17" s="199"/>
    </row>
    <row r="18" spans="1:17">
      <c r="A18" s="179"/>
      <c r="B18" s="14"/>
      <c r="C18" s="13"/>
      <c r="D18" s="607"/>
      <c r="E18" s="232"/>
      <c r="F18" s="607"/>
      <c r="G18" s="608"/>
      <c r="H18" s="607"/>
      <c r="I18" s="101"/>
      <c r="K18" s="173"/>
      <c r="M18" s="199"/>
      <c r="N18" s="232"/>
      <c r="O18" s="199"/>
      <c r="P18" s="202"/>
      <c r="Q18" s="199"/>
    </row>
    <row r="19" spans="1:17" ht="13" thickBot="1">
      <c r="A19" s="179"/>
      <c r="B19" s="14"/>
      <c r="C19" s="13"/>
      <c r="D19" s="607"/>
      <c r="E19" s="607"/>
      <c r="F19" s="607"/>
      <c r="G19" s="607"/>
      <c r="H19" s="607"/>
      <c r="I19" s="104"/>
      <c r="K19" s="173"/>
      <c r="M19" s="199"/>
      <c r="N19" s="199"/>
      <c r="O19" s="199"/>
      <c r="P19" s="199"/>
      <c r="Q19" s="199"/>
    </row>
    <row r="20" spans="1:17" ht="29">
      <c r="A20" s="179"/>
      <c r="B20" s="14"/>
      <c r="C20" s="13"/>
      <c r="D20" s="498" t="s">
        <v>73</v>
      </c>
      <c r="E20" s="533" t="s">
        <v>71</v>
      </c>
      <c r="F20" s="499" t="s">
        <v>118</v>
      </c>
      <c r="G20" s="500" t="s">
        <v>61</v>
      </c>
      <c r="H20" s="534" t="s">
        <v>119</v>
      </c>
      <c r="I20" s="562"/>
      <c r="K20" s="173"/>
      <c r="M20" s="213"/>
      <c r="N20" s="216"/>
      <c r="O20" s="214"/>
      <c r="P20" s="495"/>
      <c r="Q20" s="495"/>
    </row>
    <row r="21" spans="1:17" ht="13.5" customHeight="1">
      <c r="A21" s="179"/>
      <c r="B21" s="14"/>
      <c r="C21" s="13"/>
      <c r="D21" s="609" t="s">
        <v>658</v>
      </c>
      <c r="E21" s="586">
        <f>VLOOKUP(CONCATENATE("payment_",D21),Assets_21,3,0)</f>
        <v>133357055.26999962</v>
      </c>
      <c r="F21" s="587">
        <f>E21/$E$23</f>
        <v>0.25975109982567707</v>
      </c>
      <c r="G21" s="588">
        <f>VLOOKUP(CONCATENATE("payment_",D21),Assets_21,2,0)</f>
        <v>12746</v>
      </c>
      <c r="H21" s="589">
        <f>G21/$G$23</f>
        <v>0.24616157129338148</v>
      </c>
      <c r="I21" s="21"/>
      <c r="K21" s="173"/>
      <c r="M21" s="590"/>
      <c r="N21" s="591"/>
      <c r="O21" s="592"/>
      <c r="P21" s="593"/>
      <c r="Q21" s="592"/>
    </row>
    <row r="22" spans="1:17" ht="13.5" customHeight="1" thickBot="1">
      <c r="A22" s="179"/>
      <c r="B22" s="14"/>
      <c r="C22" s="13"/>
      <c r="D22" s="610" t="s">
        <v>659</v>
      </c>
      <c r="E22" s="595">
        <f>VLOOKUP(CONCATENATE("payment_",D22),Assets_21,3,0)</f>
        <v>380046180.98000121</v>
      </c>
      <c r="F22" s="611">
        <f>E22/$E$23</f>
        <v>0.74024890017432299</v>
      </c>
      <c r="G22" s="596">
        <f>VLOOKUP(CONCATENATE("payment_",D22),Assets_21,2,0)</f>
        <v>39033</v>
      </c>
      <c r="H22" s="612">
        <f>G22/$G$23</f>
        <v>0.75383842870661855</v>
      </c>
      <c r="I22" s="564"/>
      <c r="K22" s="173"/>
      <c r="M22" s="590"/>
      <c r="N22" s="591"/>
      <c r="O22" s="592"/>
      <c r="P22" s="593"/>
      <c r="Q22" s="592"/>
    </row>
    <row r="23" spans="1:17" ht="14" thickTop="1" thickBot="1">
      <c r="A23" s="179"/>
      <c r="B23" s="14"/>
      <c r="C23" s="13"/>
      <c r="D23" s="613" t="s">
        <v>36</v>
      </c>
      <c r="E23" s="599">
        <f>SUM(E21:E22)</f>
        <v>513403236.25000083</v>
      </c>
      <c r="F23" s="600">
        <f>SUM(F21:F22)</f>
        <v>1</v>
      </c>
      <c r="G23" s="601">
        <f>SUM(G21:G22)</f>
        <v>51779</v>
      </c>
      <c r="H23" s="602">
        <f>SUM(H21:H22)</f>
        <v>1</v>
      </c>
      <c r="I23" s="21"/>
      <c r="K23" s="173"/>
      <c r="M23" s="603"/>
      <c r="N23" s="604"/>
      <c r="O23" s="605"/>
      <c r="P23" s="606"/>
      <c r="Q23" s="605"/>
    </row>
    <row r="24" spans="1:17" ht="13">
      <c r="A24" s="179"/>
      <c r="B24" s="14"/>
      <c r="C24" s="13"/>
      <c r="D24" s="614"/>
      <c r="E24" s="615"/>
      <c r="F24" s="616"/>
      <c r="G24" s="617"/>
      <c r="H24" s="616"/>
      <c r="I24" s="21"/>
      <c r="K24" s="173"/>
      <c r="M24" s="603"/>
      <c r="N24" s="604"/>
      <c r="O24" s="605"/>
      <c r="P24" s="606"/>
      <c r="Q24" s="605"/>
    </row>
    <row r="25" spans="1:17" ht="13">
      <c r="A25" s="179"/>
      <c r="B25" s="14"/>
      <c r="C25" s="13"/>
      <c r="D25" s="614"/>
      <c r="E25" s="615"/>
      <c r="F25" s="616"/>
      <c r="G25" s="617"/>
      <c r="H25" s="616"/>
      <c r="I25" s="21"/>
      <c r="K25" s="173"/>
      <c r="M25" s="603"/>
      <c r="N25" s="604"/>
      <c r="O25" s="605"/>
      <c r="P25" s="606"/>
      <c r="Q25" s="605"/>
    </row>
    <row r="26" spans="1:17" ht="13">
      <c r="A26" s="179"/>
      <c r="B26" s="14"/>
      <c r="C26" s="13"/>
      <c r="D26" s="614"/>
      <c r="E26" s="615"/>
      <c r="F26" s="616"/>
      <c r="G26" s="617"/>
      <c r="H26" s="616"/>
      <c r="I26" s="21"/>
      <c r="K26" s="173"/>
      <c r="M26" s="603"/>
      <c r="N26" s="604"/>
      <c r="O26" s="605"/>
      <c r="P26" s="606"/>
      <c r="Q26" s="605"/>
    </row>
    <row r="27" spans="1:17" ht="13">
      <c r="A27" s="179"/>
      <c r="B27" s="14"/>
      <c r="C27" s="13"/>
      <c r="D27" s="614"/>
      <c r="E27" s="615"/>
      <c r="F27" s="616"/>
      <c r="G27" s="617"/>
      <c r="H27" s="616"/>
      <c r="I27" s="21"/>
      <c r="K27" s="173"/>
      <c r="M27" s="603"/>
      <c r="N27" s="604"/>
      <c r="O27" s="605"/>
      <c r="P27" s="606"/>
      <c r="Q27" s="605"/>
    </row>
    <row r="28" spans="1:17" ht="13">
      <c r="A28" s="179"/>
      <c r="B28" s="14"/>
      <c r="C28" s="13"/>
      <c r="D28" s="614"/>
      <c r="E28" s="615"/>
      <c r="F28" s="616"/>
      <c r="G28" s="617"/>
      <c r="H28" s="616"/>
      <c r="I28" s="21"/>
      <c r="K28" s="173"/>
      <c r="M28" s="603"/>
      <c r="N28" s="604"/>
      <c r="O28" s="605"/>
      <c r="P28" s="606"/>
      <c r="Q28" s="605"/>
    </row>
    <row r="29" spans="1:17" ht="13">
      <c r="A29" s="179"/>
      <c r="B29" s="14"/>
      <c r="C29" s="13"/>
      <c r="D29" s="614"/>
      <c r="E29" s="615"/>
      <c r="F29" s="616"/>
      <c r="G29" s="617"/>
      <c r="H29" s="616"/>
      <c r="I29" s="21"/>
      <c r="K29" s="173"/>
      <c r="M29" s="603"/>
      <c r="N29" s="604"/>
      <c r="O29" s="605"/>
      <c r="P29" s="606"/>
      <c r="Q29" s="605"/>
    </row>
    <row r="30" spans="1:17" ht="13">
      <c r="A30" s="179"/>
      <c r="B30" s="14"/>
      <c r="C30" s="13"/>
      <c r="D30" s="614"/>
      <c r="E30" s="615"/>
      <c r="F30" s="616"/>
      <c r="G30" s="617"/>
      <c r="H30" s="616"/>
      <c r="I30" s="21"/>
      <c r="K30" s="173"/>
      <c r="M30" s="603"/>
      <c r="N30" s="604"/>
      <c r="O30" s="605"/>
      <c r="P30" s="606"/>
      <c r="Q30" s="605"/>
    </row>
    <row r="31" spans="1:17" ht="13">
      <c r="A31" s="179"/>
      <c r="B31" s="14"/>
      <c r="C31" s="13"/>
      <c r="D31" s="614"/>
      <c r="E31" s="615"/>
      <c r="F31" s="616"/>
      <c r="G31" s="617"/>
      <c r="H31" s="616"/>
      <c r="I31" s="21"/>
      <c r="K31" s="173"/>
      <c r="M31" s="603"/>
      <c r="N31" s="604"/>
      <c r="O31" s="605"/>
      <c r="P31" s="606"/>
      <c r="Q31" s="605"/>
    </row>
    <row r="32" spans="1:17" ht="13">
      <c r="A32" s="179"/>
      <c r="B32" s="14"/>
      <c r="C32" s="13"/>
      <c r="D32" s="614"/>
      <c r="E32" s="615"/>
      <c r="F32" s="616"/>
      <c r="G32" s="617"/>
      <c r="H32" s="616"/>
      <c r="I32" s="21"/>
      <c r="K32" s="173"/>
      <c r="M32" s="603"/>
      <c r="N32" s="604"/>
      <c r="O32" s="605"/>
      <c r="P32" s="606"/>
      <c r="Q32" s="605"/>
    </row>
    <row r="33" spans="1:17" ht="13">
      <c r="A33" s="179"/>
      <c r="B33" s="14"/>
      <c r="C33" s="13"/>
      <c r="D33" s="614"/>
      <c r="E33" s="615"/>
      <c r="F33" s="616"/>
      <c r="G33" s="617"/>
      <c r="H33" s="616"/>
      <c r="I33" s="21"/>
      <c r="K33" s="173"/>
      <c r="M33" s="603"/>
      <c r="N33" s="604"/>
      <c r="O33" s="605"/>
      <c r="P33" s="606"/>
      <c r="Q33" s="605"/>
    </row>
    <row r="34" spans="1:17" ht="13">
      <c r="A34" s="179"/>
      <c r="B34" s="14"/>
      <c r="C34" s="13"/>
      <c r="D34" s="614"/>
      <c r="E34" s="615"/>
      <c r="F34" s="616"/>
      <c r="G34" s="617"/>
      <c r="H34" s="616"/>
      <c r="I34" s="21"/>
      <c r="K34" s="173"/>
      <c r="M34" s="603"/>
      <c r="N34" s="604"/>
      <c r="O34" s="605"/>
      <c r="P34" s="606"/>
      <c r="Q34" s="605"/>
    </row>
    <row r="35" spans="1:17" ht="13">
      <c r="A35" s="179"/>
      <c r="B35" s="14"/>
      <c r="C35" s="13"/>
      <c r="D35" s="614"/>
      <c r="E35" s="615"/>
      <c r="F35" s="616"/>
      <c r="G35" s="617"/>
      <c r="H35" s="616"/>
      <c r="I35" s="21"/>
      <c r="K35" s="173"/>
      <c r="M35" s="603"/>
      <c r="N35" s="604"/>
      <c r="O35" s="605"/>
      <c r="P35" s="606"/>
      <c r="Q35" s="605"/>
    </row>
    <row r="36" spans="1:17" ht="13">
      <c r="A36" s="179"/>
      <c r="B36" s="14"/>
      <c r="C36" s="13"/>
      <c r="D36" s="614"/>
      <c r="E36" s="615"/>
      <c r="F36" s="616"/>
      <c r="G36" s="617"/>
      <c r="H36" s="616"/>
      <c r="I36" s="21"/>
      <c r="K36" s="173"/>
      <c r="M36" s="603"/>
      <c r="N36" s="604"/>
      <c r="O36" s="605"/>
      <c r="P36" s="606"/>
      <c r="Q36" s="605"/>
    </row>
    <row r="37" spans="1:17" ht="13">
      <c r="A37" s="179"/>
      <c r="B37" s="14"/>
      <c r="C37" s="13"/>
      <c r="D37" s="614"/>
      <c r="E37" s="615"/>
      <c r="F37" s="616"/>
      <c r="G37" s="617"/>
      <c r="H37" s="616"/>
      <c r="I37" s="21"/>
      <c r="K37" s="173"/>
      <c r="M37" s="603"/>
      <c r="N37" s="604"/>
      <c r="O37" s="605"/>
      <c r="P37" s="606"/>
      <c r="Q37" s="605"/>
    </row>
    <row r="38" spans="1:17" ht="13">
      <c r="A38" s="179"/>
      <c r="B38" s="14"/>
      <c r="C38" s="13"/>
      <c r="D38" s="614"/>
      <c r="E38" s="615"/>
      <c r="F38" s="616"/>
      <c r="G38" s="617"/>
      <c r="H38" s="616"/>
      <c r="I38" s="21"/>
      <c r="K38" s="173"/>
      <c r="M38" s="603"/>
      <c r="N38" s="604"/>
      <c r="O38" s="605"/>
      <c r="P38" s="606"/>
      <c r="Q38" s="605"/>
    </row>
    <row r="39" spans="1:17" ht="13">
      <c r="A39" s="179"/>
      <c r="B39" s="14"/>
      <c r="C39" s="13"/>
      <c r="D39" s="614"/>
      <c r="E39" s="618"/>
      <c r="F39" s="618"/>
      <c r="G39" s="59"/>
      <c r="H39" s="59"/>
      <c r="I39" s="101"/>
      <c r="J39" s="21"/>
      <c r="K39" s="173"/>
      <c r="M39" s="603"/>
      <c r="N39" s="618"/>
      <c r="O39" s="618"/>
      <c r="P39" s="37"/>
      <c r="Q39" s="37"/>
    </row>
    <row r="40" spans="1:17" ht="13">
      <c r="A40" s="179"/>
      <c r="B40" s="14"/>
      <c r="C40" s="13"/>
      <c r="D40" s="614"/>
      <c r="E40" s="618"/>
      <c r="F40" s="618"/>
      <c r="G40" s="59"/>
      <c r="H40" s="59"/>
      <c r="I40" s="101"/>
      <c r="J40" s="21"/>
      <c r="K40" s="173"/>
      <c r="M40" s="603"/>
      <c r="N40" s="618"/>
      <c r="O40" s="618"/>
      <c r="P40" s="37"/>
      <c r="Q40" s="37"/>
    </row>
    <row r="41" spans="1:17" ht="13">
      <c r="A41" s="179"/>
      <c r="B41" s="14"/>
      <c r="C41" s="13"/>
      <c r="D41" s="614"/>
      <c r="E41" s="618"/>
      <c r="F41" s="618"/>
      <c r="G41" s="59"/>
      <c r="H41" s="59"/>
      <c r="I41" s="101"/>
      <c r="J41" s="21"/>
      <c r="K41" s="173"/>
      <c r="M41" s="603"/>
      <c r="N41" s="618"/>
      <c r="O41" s="618"/>
      <c r="P41" s="37"/>
      <c r="Q41" s="37"/>
    </row>
    <row r="42" spans="1:17" ht="13">
      <c r="A42" s="179"/>
      <c r="B42" s="14"/>
      <c r="C42" s="13"/>
      <c r="D42" s="614"/>
      <c r="E42" s="618"/>
      <c r="F42" s="618"/>
      <c r="G42" s="59"/>
      <c r="H42" s="59"/>
      <c r="I42" s="101"/>
      <c r="J42" s="21"/>
      <c r="K42" s="173"/>
      <c r="M42" s="603"/>
      <c r="N42" s="618"/>
      <c r="O42" s="618"/>
      <c r="P42" s="37"/>
      <c r="Q42" s="37"/>
    </row>
    <row r="43" spans="1:17" ht="13">
      <c r="A43" s="179"/>
      <c r="B43" s="14"/>
      <c r="C43" s="13"/>
      <c r="D43" s="614"/>
      <c r="E43" s="618"/>
      <c r="F43" s="618"/>
      <c r="G43" s="59"/>
      <c r="H43" s="59"/>
      <c r="I43" s="101"/>
      <c r="J43" s="21"/>
      <c r="K43" s="173"/>
      <c r="M43" s="603"/>
      <c r="N43" s="618"/>
      <c r="O43" s="618"/>
      <c r="P43" s="37"/>
      <c r="Q43" s="37"/>
    </row>
    <row r="44" spans="1:17" ht="13">
      <c r="A44" s="179"/>
      <c r="B44" s="14"/>
      <c r="C44" s="13"/>
      <c r="D44" s="614"/>
      <c r="E44" s="618"/>
      <c r="F44" s="618"/>
      <c r="G44" s="59"/>
      <c r="H44" s="59"/>
      <c r="I44" s="101"/>
      <c r="J44" s="21"/>
      <c r="K44" s="173"/>
      <c r="M44" s="603"/>
      <c r="N44" s="618"/>
      <c r="O44" s="618"/>
      <c r="P44" s="37"/>
      <c r="Q44" s="37"/>
    </row>
    <row r="45" spans="1:17" ht="13">
      <c r="A45" s="179"/>
      <c r="B45" s="14"/>
      <c r="C45" s="13"/>
      <c r="D45" s="614"/>
      <c r="E45" s="618"/>
      <c r="F45" s="618"/>
      <c r="G45" s="59"/>
      <c r="H45" s="59"/>
      <c r="I45" s="101"/>
      <c r="J45" s="21"/>
      <c r="K45" s="173"/>
      <c r="M45" s="603"/>
      <c r="N45" s="618"/>
      <c r="O45" s="618"/>
      <c r="P45" s="37"/>
      <c r="Q45" s="37"/>
    </row>
    <row r="46" spans="1:17" ht="13">
      <c r="A46" s="179"/>
      <c r="B46" s="14"/>
      <c r="C46" s="13"/>
      <c r="D46" s="614"/>
      <c r="E46" s="618"/>
      <c r="F46" s="618"/>
      <c r="G46" s="59"/>
      <c r="H46" s="59"/>
      <c r="I46" s="101"/>
      <c r="J46" s="21"/>
      <c r="K46" s="173"/>
      <c r="M46" s="603"/>
      <c r="N46" s="618"/>
      <c r="O46" s="618"/>
      <c r="P46" s="37"/>
      <c r="Q46" s="37"/>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1796875" style="143" customWidth="1"/>
    <col min="4" max="4" width="20.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29.179687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45820</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45824</v>
      </c>
      <c r="G3" s="112"/>
      <c r="H3" s="112"/>
      <c r="I3" s="112"/>
      <c r="J3" s="114"/>
      <c r="K3" s="124"/>
      <c r="M3" s="163"/>
      <c r="N3" s="21"/>
      <c r="O3" s="472"/>
      <c r="P3" s="21"/>
      <c r="Q3" s="21"/>
    </row>
    <row r="4" spans="1:17" s="101" customFormat="1" ht="13">
      <c r="A4" s="102"/>
      <c r="B4" s="156"/>
      <c r="C4" s="157"/>
      <c r="D4" s="111" t="str">
        <f>'Cover Sheet'!D4</f>
        <v>Period  No</v>
      </c>
      <c r="E4" s="112"/>
      <c r="F4" s="116">
        <f>'Cover Sheet'!F4</f>
        <v>43</v>
      </c>
      <c r="G4" s="112"/>
      <c r="H4" s="117"/>
      <c r="I4" s="112"/>
      <c r="J4" s="118"/>
      <c r="K4" s="358"/>
      <c r="M4" s="163"/>
      <c r="N4" s="21"/>
      <c r="O4" s="228"/>
      <c r="P4" s="21"/>
      <c r="Q4" s="163"/>
    </row>
    <row r="5" spans="1:17" s="101" customFormat="1" ht="18">
      <c r="A5" s="102"/>
      <c r="B5" s="159" t="s">
        <v>213</v>
      </c>
      <c r="C5" s="119"/>
      <c r="D5" s="111" t="str">
        <f>'Cover Sheet'!D5</f>
        <v>Monthly Period</v>
      </c>
      <c r="E5" s="112"/>
      <c r="F5" s="120">
        <f>'Cover Sheet'!F5</f>
        <v>45824</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71"/>
      <c r="C12" s="171"/>
      <c r="D12" s="21"/>
      <c r="E12" s="21"/>
      <c r="F12" s="21"/>
      <c r="G12" s="21"/>
      <c r="H12" s="21"/>
      <c r="I12" s="21"/>
      <c r="J12" s="21"/>
      <c r="K12" s="109"/>
      <c r="M12" s="21"/>
      <c r="N12" s="21"/>
      <c r="O12" s="21"/>
      <c r="P12" s="21"/>
      <c r="Q12" s="21"/>
    </row>
    <row r="13" spans="1:17" ht="29">
      <c r="A13" s="179"/>
      <c r="B13" s="14"/>
      <c r="C13" s="13"/>
      <c r="D13" s="498" t="s">
        <v>540</v>
      </c>
      <c r="E13" s="533" t="s">
        <v>71</v>
      </c>
      <c r="F13" s="499" t="s">
        <v>118</v>
      </c>
      <c r="G13" s="500" t="s">
        <v>61</v>
      </c>
      <c r="H13" s="534" t="s">
        <v>119</v>
      </c>
      <c r="I13" s="21"/>
      <c r="J13" s="21"/>
      <c r="K13" s="173"/>
      <c r="M13" s="213"/>
      <c r="N13" s="216"/>
      <c r="O13" s="214"/>
      <c r="P13" s="495"/>
      <c r="Q13" s="495"/>
    </row>
    <row r="14" spans="1:17">
      <c r="A14" s="179"/>
      <c r="B14" s="14"/>
      <c r="C14" s="13"/>
      <c r="D14" s="553" t="s">
        <v>660</v>
      </c>
      <c r="E14" s="554">
        <f t="shared" ref="E14:E27" si="0">VLOOKUP(CONCATENATE("interest_",D14),Assets_21,3,0)</f>
        <v>273229.56000000006</v>
      </c>
      <c r="F14" s="555">
        <f>E14/$E$28</f>
        <v>5.3219290551365301E-4</v>
      </c>
      <c r="G14" s="556">
        <f t="shared" ref="G14:G27" si="1">VLOOKUP(CONCATENATE("interest_",D14),Assets_21,2,0)</f>
        <v>294</v>
      </c>
      <c r="H14" s="557">
        <f>G14/$G$28</f>
        <v>5.6779775584696497E-3</v>
      </c>
      <c r="I14" s="21"/>
      <c r="J14" s="21"/>
      <c r="K14" s="173"/>
      <c r="M14" s="558"/>
      <c r="N14" s="559"/>
      <c r="O14" s="560"/>
      <c r="P14" s="561"/>
      <c r="Q14" s="560"/>
    </row>
    <row r="15" spans="1:17">
      <c r="A15" s="179"/>
      <c r="B15" s="14"/>
      <c r="C15" s="13"/>
      <c r="D15" s="553" t="s">
        <v>661</v>
      </c>
      <c r="E15" s="554">
        <f t="shared" si="0"/>
        <v>8406892.2299999986</v>
      </c>
      <c r="F15" s="555">
        <f t="shared" ref="F15:F27" si="2">E15/$E$28</f>
        <v>1.6374832950811952E-2</v>
      </c>
      <c r="G15" s="556">
        <f t="shared" si="1"/>
        <v>1484</v>
      </c>
      <c r="H15" s="557">
        <f t="shared" ref="H15:H27" si="3">G15/$G$28</f>
        <v>2.86602676760849E-2</v>
      </c>
      <c r="I15" s="21"/>
      <c r="J15" s="21"/>
      <c r="K15" s="173"/>
      <c r="M15" s="558"/>
      <c r="N15" s="559"/>
      <c r="O15" s="560"/>
      <c r="P15" s="561"/>
      <c r="Q15" s="560"/>
    </row>
    <row r="16" spans="1:17">
      <c r="A16" s="179"/>
      <c r="B16" s="14"/>
      <c r="C16" s="13"/>
      <c r="D16" s="553" t="s">
        <v>662</v>
      </c>
      <c r="E16" s="554">
        <f t="shared" si="0"/>
        <v>105590746.01000032</v>
      </c>
      <c r="F16" s="555">
        <f t="shared" si="2"/>
        <v>0.2056682516870291</v>
      </c>
      <c r="G16" s="556">
        <f t="shared" si="1"/>
        <v>13572</v>
      </c>
      <c r="H16" s="557">
        <f t="shared" si="3"/>
        <v>0.26211398443384382</v>
      </c>
      <c r="I16" s="21"/>
      <c r="J16" s="21"/>
      <c r="K16" s="173"/>
      <c r="M16" s="558"/>
      <c r="N16" s="559"/>
      <c r="O16" s="560"/>
      <c r="P16" s="561"/>
      <c r="Q16" s="560"/>
    </row>
    <row r="17" spans="1:17">
      <c r="A17" s="179"/>
      <c r="B17" s="14"/>
      <c r="C17" s="13"/>
      <c r="D17" s="553" t="s">
        <v>663</v>
      </c>
      <c r="E17" s="554">
        <f t="shared" si="0"/>
        <v>71738457.900000215</v>
      </c>
      <c r="F17" s="555">
        <f t="shared" si="2"/>
        <v>0.13973121483220913</v>
      </c>
      <c r="G17" s="556">
        <f t="shared" si="1"/>
        <v>6827</v>
      </c>
      <c r="H17" s="557">
        <f t="shared" si="3"/>
        <v>0.13184881901929354</v>
      </c>
      <c r="I17" s="21"/>
      <c r="J17" s="21"/>
      <c r="K17" s="173"/>
      <c r="M17" s="558"/>
      <c r="N17" s="559"/>
      <c r="O17" s="560"/>
      <c r="P17" s="561"/>
      <c r="Q17" s="560"/>
    </row>
    <row r="18" spans="1:17">
      <c r="A18" s="179"/>
      <c r="B18" s="14"/>
      <c r="C18" s="13"/>
      <c r="D18" s="553" t="s">
        <v>664</v>
      </c>
      <c r="E18" s="554">
        <f t="shared" si="0"/>
        <v>70728295.929999858</v>
      </c>
      <c r="F18" s="555">
        <f t="shared" si="2"/>
        <v>0.13776363477295828</v>
      </c>
      <c r="G18" s="556">
        <f t="shared" si="1"/>
        <v>6608</v>
      </c>
      <c r="H18" s="557">
        <f t="shared" si="3"/>
        <v>0.12761930512369879</v>
      </c>
      <c r="I18" s="21"/>
      <c r="J18" s="21"/>
      <c r="K18" s="173"/>
      <c r="M18" s="558"/>
      <c r="N18" s="559"/>
      <c r="O18" s="560"/>
      <c r="P18" s="561"/>
      <c r="Q18" s="560"/>
    </row>
    <row r="19" spans="1:17">
      <c r="A19" s="179"/>
      <c r="B19" s="14"/>
      <c r="C19" s="13"/>
      <c r="D19" s="553" t="s">
        <v>665</v>
      </c>
      <c r="E19" s="554">
        <f t="shared" si="0"/>
        <v>71571813.970000163</v>
      </c>
      <c r="F19" s="555">
        <f t="shared" si="2"/>
        <v>0.13940662800019527</v>
      </c>
      <c r="G19" s="556">
        <f t="shared" si="1"/>
        <v>6651</v>
      </c>
      <c r="H19" s="557">
        <f t="shared" si="3"/>
        <v>0.12844975762374708</v>
      </c>
      <c r="I19" s="21"/>
      <c r="J19" s="21"/>
      <c r="K19" s="173"/>
      <c r="M19" s="558"/>
      <c r="N19" s="559"/>
      <c r="O19" s="560"/>
      <c r="P19" s="561"/>
      <c r="Q19" s="560"/>
    </row>
    <row r="20" spans="1:17">
      <c r="A20" s="179"/>
      <c r="B20" s="14"/>
      <c r="C20" s="13"/>
      <c r="D20" s="553" t="s">
        <v>666</v>
      </c>
      <c r="E20" s="554">
        <f t="shared" si="0"/>
        <v>111834704.1899998</v>
      </c>
      <c r="F20" s="555">
        <f t="shared" si="2"/>
        <v>0.21783015044249196</v>
      </c>
      <c r="G20" s="556">
        <f t="shared" si="1"/>
        <v>9210</v>
      </c>
      <c r="H20" s="557">
        <f t="shared" si="3"/>
        <v>0.17787133780103903</v>
      </c>
      <c r="I20" s="21"/>
      <c r="J20" s="21"/>
      <c r="K20" s="173"/>
      <c r="M20" s="558"/>
      <c r="N20" s="559"/>
      <c r="O20" s="560"/>
      <c r="P20" s="561"/>
      <c r="Q20" s="560"/>
    </row>
    <row r="21" spans="1:17">
      <c r="A21" s="179"/>
      <c r="B21" s="14"/>
      <c r="C21" s="13"/>
      <c r="D21" s="553" t="s">
        <v>667</v>
      </c>
      <c r="E21" s="554">
        <f t="shared" si="0"/>
        <v>54779000.469999932</v>
      </c>
      <c r="F21" s="555">
        <f t="shared" si="2"/>
        <v>0.10669780905573693</v>
      </c>
      <c r="G21" s="556">
        <f t="shared" si="1"/>
        <v>5279</v>
      </c>
      <c r="H21" s="557">
        <f t="shared" si="3"/>
        <v>0.10195252901755537</v>
      </c>
      <c r="I21" s="562"/>
      <c r="J21" s="21"/>
      <c r="K21" s="173"/>
      <c r="M21" s="558"/>
      <c r="N21" s="559"/>
      <c r="O21" s="560"/>
      <c r="P21" s="561"/>
      <c r="Q21" s="560"/>
    </row>
    <row r="22" spans="1:17">
      <c r="A22" s="179"/>
      <c r="B22" s="14"/>
      <c r="C22" s="13"/>
      <c r="D22" s="553" t="s">
        <v>668</v>
      </c>
      <c r="E22" s="554">
        <f t="shared" si="0"/>
        <v>12755384.749999998</v>
      </c>
      <c r="F22" s="555">
        <f t="shared" si="2"/>
        <v>2.4844768886086256E-2</v>
      </c>
      <c r="G22" s="556">
        <f t="shared" si="1"/>
        <v>1227</v>
      </c>
      <c r="H22" s="557">
        <f t="shared" si="3"/>
        <v>2.3696865524633539E-2</v>
      </c>
      <c r="I22" s="21"/>
      <c r="J22" s="21"/>
      <c r="K22" s="173"/>
      <c r="M22" s="558"/>
      <c r="N22" s="559"/>
      <c r="O22" s="560"/>
      <c r="P22" s="561"/>
      <c r="Q22" s="560"/>
    </row>
    <row r="23" spans="1:17">
      <c r="A23" s="179"/>
      <c r="B23" s="14"/>
      <c r="C23" s="13"/>
      <c r="D23" s="553" t="s">
        <v>669</v>
      </c>
      <c r="E23" s="554">
        <f t="shared" si="0"/>
        <v>4556042.459999999</v>
      </c>
      <c r="F23" s="555">
        <f t="shared" si="2"/>
        <v>8.8741989498902323E-3</v>
      </c>
      <c r="G23" s="556">
        <f t="shared" si="1"/>
        <v>467</v>
      </c>
      <c r="H23" s="557">
        <f t="shared" si="3"/>
        <v>9.0191004075011096E-3</v>
      </c>
      <c r="I23" s="21"/>
      <c r="J23" s="21"/>
      <c r="K23" s="173"/>
      <c r="M23" s="558"/>
      <c r="N23" s="559"/>
      <c r="O23" s="560"/>
      <c r="P23" s="561"/>
      <c r="Q23" s="560"/>
    </row>
    <row r="24" spans="1:17" ht="12.75" customHeight="1">
      <c r="A24" s="179"/>
      <c r="B24" s="14"/>
      <c r="C24" s="13"/>
      <c r="D24" s="563" t="s">
        <v>670</v>
      </c>
      <c r="E24" s="554">
        <f t="shared" si="0"/>
        <v>613304.0399999998</v>
      </c>
      <c r="F24" s="555">
        <f t="shared" si="2"/>
        <v>1.1945854577771946E-3</v>
      </c>
      <c r="G24" s="556">
        <f t="shared" si="1"/>
        <v>88</v>
      </c>
      <c r="H24" s="557">
        <f t="shared" si="3"/>
        <v>1.6995306977732286E-3</v>
      </c>
      <c r="I24" s="564"/>
      <c r="J24" s="21"/>
      <c r="K24" s="173"/>
      <c r="M24" s="565"/>
      <c r="N24" s="559"/>
      <c r="O24" s="560"/>
      <c r="P24" s="561"/>
      <c r="Q24" s="560"/>
    </row>
    <row r="25" spans="1:17">
      <c r="A25" s="179"/>
      <c r="B25" s="14"/>
      <c r="C25" s="13"/>
      <c r="D25" s="563" t="s">
        <v>671</v>
      </c>
      <c r="E25" s="554">
        <f t="shared" si="0"/>
        <v>435043.42999999988</v>
      </c>
      <c r="F25" s="555">
        <f t="shared" si="2"/>
        <v>8.4737181085503847E-4</v>
      </c>
      <c r="G25" s="556">
        <f t="shared" si="1"/>
        <v>51</v>
      </c>
      <c r="H25" s="557">
        <f t="shared" si="3"/>
        <v>9.8495529075493925E-4</v>
      </c>
      <c r="I25" s="21"/>
      <c r="J25" s="21"/>
      <c r="K25" s="173"/>
      <c r="M25" s="565"/>
      <c r="N25" s="559"/>
      <c r="O25" s="560"/>
      <c r="P25" s="561"/>
      <c r="Q25" s="560"/>
    </row>
    <row r="26" spans="1:17">
      <c r="A26" s="179"/>
      <c r="B26" s="14"/>
      <c r="C26" s="13"/>
      <c r="D26" s="563" t="s">
        <v>672</v>
      </c>
      <c r="E26" s="554">
        <f t="shared" si="0"/>
        <v>104539.1</v>
      </c>
      <c r="F26" s="555">
        <f t="shared" si="2"/>
        <v>2.0361986956602467E-4</v>
      </c>
      <c r="G26" s="556">
        <f t="shared" si="1"/>
        <v>18</v>
      </c>
      <c r="H26" s="557">
        <f t="shared" si="3"/>
        <v>3.4763127908997855E-4</v>
      </c>
      <c r="I26" s="21"/>
      <c r="J26" s="21"/>
      <c r="K26" s="173"/>
      <c r="M26" s="565"/>
      <c r="N26" s="559"/>
      <c r="O26" s="560"/>
      <c r="P26" s="561"/>
      <c r="Q26" s="560"/>
    </row>
    <row r="27" spans="1:17" ht="13" thickBot="1">
      <c r="A27" s="179"/>
      <c r="B27" s="14"/>
      <c r="C27" s="13"/>
      <c r="D27" s="563" t="s">
        <v>673</v>
      </c>
      <c r="E27" s="554">
        <f t="shared" si="0"/>
        <v>15782.21</v>
      </c>
      <c r="F27" s="555">
        <f t="shared" si="2"/>
        <v>3.0740378878942042E-5</v>
      </c>
      <c r="G27" s="556">
        <f t="shared" si="1"/>
        <v>3</v>
      </c>
      <c r="H27" s="557">
        <f t="shared" si="3"/>
        <v>5.7938546514996425E-5</v>
      </c>
      <c r="I27" s="566"/>
      <c r="J27" s="21"/>
      <c r="K27" s="173"/>
      <c r="M27" s="565"/>
      <c r="N27" s="559"/>
      <c r="O27" s="560"/>
      <c r="P27" s="561"/>
      <c r="Q27" s="560"/>
    </row>
    <row r="28" spans="1:17" ht="14" thickTop="1" thickBot="1">
      <c r="A28" s="179"/>
      <c r="B28" s="14"/>
      <c r="C28" s="13"/>
      <c r="D28" s="528" t="s">
        <v>36</v>
      </c>
      <c r="E28" s="488">
        <f>SUM(E14:E27)</f>
        <v>513403236.2500003</v>
      </c>
      <c r="F28" s="567">
        <f>SUM(F14:F27)</f>
        <v>1</v>
      </c>
      <c r="G28" s="568">
        <f>SUM(G14:G27)</f>
        <v>51779</v>
      </c>
      <c r="H28" s="569">
        <f>SUM(H14:H27)</f>
        <v>1</v>
      </c>
      <c r="I28" s="21"/>
      <c r="J28" s="21"/>
      <c r="K28" s="173"/>
      <c r="M28" s="37"/>
      <c r="N28" s="509"/>
      <c r="O28" s="570"/>
      <c r="P28" s="571"/>
      <c r="Q28" s="570"/>
    </row>
    <row r="29" spans="1:17">
      <c r="A29" s="179"/>
      <c r="B29" s="14"/>
      <c r="C29" s="13"/>
      <c r="D29" s="101"/>
      <c r="E29" s="572"/>
      <c r="F29" s="101"/>
      <c r="G29" s="101"/>
      <c r="H29" s="101"/>
      <c r="I29" s="21"/>
      <c r="J29" s="172"/>
      <c r="K29" s="173"/>
      <c r="N29" s="209"/>
    </row>
    <row r="30" spans="1:17">
      <c r="A30" s="179"/>
      <c r="B30" s="14"/>
      <c r="C30" s="13"/>
      <c r="E30" s="232"/>
      <c r="F30" s="101"/>
      <c r="G30" s="573"/>
      <c r="H30" s="101"/>
      <c r="I30" s="21"/>
      <c r="J30" s="172"/>
      <c r="K30" s="173"/>
      <c r="N30" s="232"/>
      <c r="P30" s="574"/>
    </row>
    <row r="31" spans="1:17" ht="13.5" thickBot="1">
      <c r="A31" s="179"/>
      <c r="B31" s="14"/>
      <c r="C31" s="13"/>
      <c r="D31" s="575" t="s">
        <v>69</v>
      </c>
      <c r="E31" s="575" t="s">
        <v>8</v>
      </c>
      <c r="F31" s="101"/>
      <c r="G31" s="101"/>
      <c r="H31" s="101"/>
      <c r="I31" s="21"/>
      <c r="J31" s="172"/>
      <c r="K31" s="173"/>
      <c r="M31" s="508"/>
      <c r="N31" s="508"/>
    </row>
    <row r="32" spans="1:17" ht="13" thickBot="1">
      <c r="A32" s="179"/>
      <c r="B32" s="14"/>
      <c r="C32" s="13"/>
      <c r="D32" s="515" t="s">
        <v>64</v>
      </c>
      <c r="E32" s="576">
        <f>VLOOKUP(CONCATENATE("interest_",D32),Assets_21,3,0)</f>
        <v>5.2845896803925874E-2</v>
      </c>
      <c r="F32" s="101"/>
      <c r="G32" s="577"/>
      <c r="H32" s="577"/>
      <c r="I32" s="21"/>
      <c r="J32" s="172"/>
      <c r="K32" s="173"/>
      <c r="M32" s="578"/>
      <c r="N32" s="579"/>
      <c r="P32" s="577"/>
      <c r="Q32" s="577"/>
    </row>
    <row r="33" spans="1:17">
      <c r="A33" s="179"/>
      <c r="B33" s="14"/>
      <c r="C33" s="13"/>
      <c r="D33" s="580"/>
      <c r="E33" s="579"/>
      <c r="F33" s="101"/>
      <c r="G33" s="581"/>
      <c r="H33" s="581"/>
      <c r="I33" s="21"/>
      <c r="J33" s="172"/>
      <c r="K33" s="173"/>
      <c r="M33" s="580"/>
      <c r="N33" s="579"/>
      <c r="P33" s="581"/>
      <c r="Q33" s="581"/>
    </row>
    <row r="34" spans="1:17" ht="14.5">
      <c r="A34" s="179"/>
      <c r="B34" s="14"/>
      <c r="C34" s="13"/>
      <c r="D34" s="552" t="s">
        <v>539</v>
      </c>
      <c r="E34" s="579"/>
      <c r="F34" s="101"/>
      <c r="G34" s="101"/>
      <c r="H34" s="101"/>
      <c r="I34" s="21"/>
      <c r="J34" s="172"/>
      <c r="K34" s="173"/>
      <c r="M34" s="163"/>
      <c r="N34" s="579"/>
    </row>
    <row r="35" spans="1:17">
      <c r="A35" s="179"/>
      <c r="B35" s="14"/>
      <c r="C35" s="13"/>
      <c r="D35" s="163"/>
      <c r="E35" s="582"/>
      <c r="F35" s="101"/>
      <c r="G35" s="101"/>
      <c r="H35" s="101"/>
      <c r="I35" s="21"/>
      <c r="J35" s="172"/>
      <c r="K35" s="173"/>
      <c r="M35" s="163"/>
      <c r="N35" s="579"/>
    </row>
    <row r="36" spans="1:17">
      <c r="A36" s="179"/>
      <c r="B36" s="14"/>
      <c r="C36" s="13"/>
      <c r="D36" s="163"/>
      <c r="E36" s="582"/>
      <c r="F36" s="101"/>
      <c r="G36" s="101"/>
      <c r="H36" s="101"/>
      <c r="I36" s="21"/>
      <c r="J36" s="172"/>
      <c r="K36" s="173"/>
      <c r="M36" s="163"/>
      <c r="N36" s="579"/>
    </row>
    <row r="37" spans="1:17">
      <c r="A37" s="179"/>
      <c r="B37" s="14"/>
      <c r="C37" s="13"/>
      <c r="D37" s="21"/>
      <c r="E37" s="21"/>
      <c r="F37" s="21"/>
      <c r="G37" s="21"/>
      <c r="H37" s="21"/>
      <c r="I37" s="21"/>
      <c r="J37" s="172"/>
      <c r="K37" s="173"/>
    </row>
    <row r="38" spans="1:17" ht="12" customHeight="1">
      <c r="A38" s="179"/>
      <c r="B38" s="14"/>
      <c r="C38" s="13"/>
      <c r="D38" s="583"/>
      <c r="E38" s="21"/>
      <c r="F38" s="21"/>
      <c r="G38" s="21"/>
      <c r="H38" s="21"/>
      <c r="I38" s="21"/>
      <c r="J38" s="21"/>
      <c r="K38" s="173"/>
      <c r="M38" s="583"/>
    </row>
    <row r="39" spans="1:17">
      <c r="A39" s="179"/>
      <c r="B39" s="14"/>
      <c r="C39" s="13"/>
      <c r="D39" s="21"/>
      <c r="E39" s="21"/>
      <c r="F39" s="21"/>
      <c r="G39" s="21"/>
      <c r="H39" s="21"/>
      <c r="I39" s="172"/>
      <c r="J39" s="21"/>
      <c r="K39" s="173"/>
    </row>
    <row r="40" spans="1:17" ht="14.5">
      <c r="A40" s="179"/>
      <c r="B40" s="14"/>
      <c r="C40" s="13"/>
      <c r="D40" s="213"/>
      <c r="E40" s="216"/>
      <c r="F40" s="214"/>
      <c r="G40" s="495"/>
      <c r="H40" s="495"/>
      <c r="I40" s="172"/>
      <c r="J40" s="21"/>
      <c r="K40" s="173"/>
      <c r="L40" s="21"/>
      <c r="M40" s="213"/>
      <c r="N40" s="216"/>
      <c r="O40" s="214"/>
      <c r="P40" s="495"/>
      <c r="Q40" s="495"/>
    </row>
    <row r="41" spans="1:17" s="21" customFormat="1">
      <c r="A41" s="179"/>
      <c r="B41" s="14"/>
      <c r="C41" s="13"/>
      <c r="D41" s="584"/>
      <c r="E41" s="559"/>
      <c r="F41" s="560"/>
      <c r="G41" s="561"/>
      <c r="H41" s="560"/>
      <c r="I41" s="172"/>
      <c r="K41" s="173"/>
      <c r="M41" s="584"/>
      <c r="N41" s="559"/>
      <c r="O41" s="560"/>
      <c r="P41" s="561"/>
      <c r="Q41" s="560"/>
    </row>
    <row r="42" spans="1:17" s="21" customFormat="1">
      <c r="A42" s="179"/>
      <c r="B42" s="14"/>
      <c r="C42" s="13"/>
      <c r="D42" s="584"/>
      <c r="E42" s="559"/>
      <c r="F42" s="560"/>
      <c r="G42" s="561"/>
      <c r="H42" s="560"/>
      <c r="I42" s="172"/>
      <c r="K42" s="173"/>
      <c r="M42" s="584"/>
      <c r="N42" s="559"/>
      <c r="O42" s="560"/>
      <c r="P42" s="561"/>
      <c r="Q42" s="560"/>
    </row>
    <row r="43" spans="1:17" s="104" customFormat="1" ht="15" customHeight="1">
      <c r="A43" s="102"/>
      <c r="B43" s="14"/>
      <c r="C43" s="13"/>
      <c r="D43" s="37"/>
      <c r="E43" s="509"/>
      <c r="F43" s="570"/>
      <c r="G43" s="571"/>
      <c r="H43" s="570"/>
      <c r="I43" s="172"/>
      <c r="K43" s="109"/>
      <c r="M43" s="37"/>
      <c r="N43" s="509"/>
      <c r="O43" s="570"/>
      <c r="P43" s="571"/>
      <c r="Q43" s="570"/>
    </row>
    <row r="44" spans="1:17" s="104" customFormat="1">
      <c r="A44" s="102"/>
      <c r="B44" s="14"/>
      <c r="C44" s="13"/>
      <c r="D44" s="196"/>
      <c r="E44" s="13"/>
      <c r="F44" s="197"/>
      <c r="G44" s="198"/>
      <c r="H44" s="197"/>
      <c r="I44" s="172"/>
      <c r="K44" s="109"/>
      <c r="M44" s="196"/>
      <c r="N44" s="13"/>
      <c r="O44" s="197"/>
      <c r="P44" s="198"/>
      <c r="Q44" s="197"/>
    </row>
    <row r="45" spans="1:17" s="104" customFormat="1">
      <c r="A45" s="102"/>
      <c r="B45" s="14"/>
      <c r="C45" s="13"/>
      <c r="D45" s="196"/>
      <c r="E45" s="13"/>
      <c r="F45" s="197"/>
      <c r="G45" s="198"/>
      <c r="H45" s="197"/>
      <c r="I45" s="172"/>
      <c r="K45" s="109"/>
      <c r="M45" s="196"/>
      <c r="N45" s="13"/>
      <c r="O45" s="197"/>
      <c r="P45" s="198"/>
      <c r="Q45" s="197"/>
    </row>
    <row r="46" spans="1:17" s="104" customFormat="1">
      <c r="A46" s="102"/>
      <c r="B46" s="14"/>
      <c r="C46" s="13"/>
      <c r="D46" s="196"/>
      <c r="E46" s="13"/>
      <c r="F46" s="197"/>
      <c r="G46" s="198"/>
      <c r="H46" s="197"/>
      <c r="I46" s="172"/>
      <c r="K46" s="109"/>
      <c r="M46" s="196"/>
      <c r="N46" s="13"/>
      <c r="O46" s="197"/>
      <c r="P46" s="198"/>
      <c r="Q46" s="197"/>
    </row>
    <row r="47" spans="1:17" s="21" customFormat="1">
      <c r="A47" s="194"/>
      <c r="B47" s="29"/>
      <c r="C47" s="11"/>
      <c r="D47" s="348"/>
      <c r="E47" s="11"/>
      <c r="F47" s="315"/>
      <c r="G47" s="349"/>
      <c r="H47" s="315"/>
      <c r="I47" s="389"/>
      <c r="J47" s="50"/>
      <c r="K47" s="195"/>
      <c r="M47" s="196"/>
      <c r="N47" s="13"/>
      <c r="O47" s="197"/>
      <c r="P47" s="198"/>
      <c r="Q47" s="197"/>
    </row>
    <row r="48" spans="1:17" s="21" customFormat="1">
      <c r="B48" s="14"/>
      <c r="C48" s="13"/>
      <c r="D48" s="196"/>
      <c r="E48" s="13"/>
      <c r="F48" s="197"/>
      <c r="G48" s="198"/>
      <c r="H48" s="197"/>
      <c r="I48" s="172"/>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21" customFormat="1">
      <c r="B51" s="14"/>
      <c r="C51" s="13"/>
      <c r="D51" s="196"/>
      <c r="E51" s="13"/>
      <c r="F51" s="197"/>
      <c r="G51" s="198"/>
      <c r="H51" s="197"/>
      <c r="I51" s="172"/>
      <c r="M51" s="196"/>
      <c r="N51" s="13"/>
      <c r="O51" s="197"/>
      <c r="P51" s="198"/>
      <c r="Q51" s="197"/>
    </row>
    <row r="52" spans="2:17" s="21" customFormat="1">
      <c r="B52" s="14"/>
      <c r="C52" s="13"/>
      <c r="D52" s="196"/>
      <c r="E52" s="13"/>
      <c r="F52" s="197"/>
      <c r="G52" s="198"/>
      <c r="H52" s="197"/>
      <c r="I52" s="172"/>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9"/>
      <c r="E75" s="200"/>
      <c r="F75" s="231"/>
      <c r="G75" s="202"/>
      <c r="H75" s="231"/>
      <c r="I75" s="172"/>
      <c r="M75" s="199"/>
      <c r="N75" s="200"/>
      <c r="O75" s="231"/>
      <c r="P75" s="202"/>
      <c r="Q75" s="231"/>
    </row>
    <row r="76" spans="2:17" s="21" customFormat="1">
      <c r="B76" s="14"/>
      <c r="C76" s="13"/>
      <c r="D76" s="199"/>
      <c r="E76" s="199"/>
      <c r="F76" s="199"/>
      <c r="G76" s="199"/>
      <c r="H76" s="199"/>
      <c r="I76" s="172"/>
      <c r="M76" s="199"/>
      <c r="N76" s="199"/>
      <c r="O76" s="199"/>
      <c r="P76" s="199"/>
      <c r="Q76" s="199"/>
    </row>
    <row r="77" spans="2:17" s="21" customFormat="1">
      <c r="B77" s="14"/>
      <c r="C77" s="13"/>
      <c r="D77" s="199"/>
      <c r="E77" s="199"/>
      <c r="F77" s="199"/>
      <c r="G77" s="199"/>
      <c r="H77" s="199"/>
      <c r="I77" s="172"/>
      <c r="M77" s="199"/>
      <c r="N77" s="199"/>
      <c r="O77" s="199"/>
      <c r="P77" s="199"/>
      <c r="Q77" s="199"/>
    </row>
    <row r="78" spans="2:17" s="21" customFormat="1">
      <c r="B78" s="14"/>
      <c r="C78" s="13"/>
      <c r="D78" s="203"/>
      <c r="E78" s="232"/>
      <c r="F78" s="199"/>
      <c r="G78" s="199"/>
      <c r="H78" s="199"/>
      <c r="I78" s="172"/>
      <c r="M78" s="203"/>
      <c r="N78" s="232"/>
      <c r="O78" s="199"/>
      <c r="P78" s="199"/>
      <c r="Q78" s="199"/>
    </row>
    <row r="79" spans="2:17" s="21" customFormat="1">
      <c r="B79" s="14"/>
      <c r="C79" s="13"/>
      <c r="D79" s="200"/>
      <c r="E79" s="232"/>
      <c r="F79" s="199"/>
      <c r="G79" s="199"/>
      <c r="H79" s="199"/>
      <c r="I79" s="172"/>
      <c r="M79" s="200"/>
      <c r="N79" s="232"/>
      <c r="O79" s="199"/>
      <c r="P79" s="199"/>
      <c r="Q79" s="199"/>
    </row>
    <row r="80" spans="2:17" s="21" customFormat="1">
      <c r="B80" s="14"/>
      <c r="C80" s="13"/>
      <c r="D80" s="199"/>
      <c r="E80" s="232"/>
      <c r="F80" s="199"/>
      <c r="G80" s="199"/>
      <c r="H80" s="199"/>
      <c r="I80" s="172"/>
      <c r="M80" s="199"/>
      <c r="N80" s="232"/>
      <c r="O80" s="199"/>
      <c r="P80" s="199"/>
      <c r="Q80" s="199"/>
    </row>
    <row r="81" spans="2:17" s="21" customFormat="1" ht="14">
      <c r="B81" s="199"/>
      <c r="C81" s="200"/>
      <c r="D81" s="205"/>
      <c r="E81" s="205"/>
      <c r="F81" s="205"/>
      <c r="G81" s="205"/>
      <c r="H81" s="205"/>
      <c r="I81" s="172"/>
      <c r="M81" s="205"/>
      <c r="N81" s="205"/>
      <c r="O81" s="205"/>
      <c r="P81" s="205"/>
      <c r="Q81" s="205"/>
    </row>
    <row r="82" spans="2:17" s="21" customFormat="1" ht="14">
      <c r="B82" s="104"/>
      <c r="C82" s="104"/>
      <c r="D82" s="205"/>
      <c r="E82" s="205"/>
      <c r="F82" s="205"/>
      <c r="G82" s="205"/>
      <c r="H82" s="205"/>
      <c r="I82" s="172"/>
      <c r="M82" s="205"/>
      <c r="N82" s="205"/>
      <c r="O82" s="205"/>
      <c r="P82" s="205"/>
      <c r="Q82" s="205"/>
    </row>
    <row r="83" spans="2:17" s="21" customFormat="1" ht="14">
      <c r="B83" s="104"/>
      <c r="C83" s="104"/>
      <c r="D83" s="206"/>
      <c r="E83" s="233"/>
      <c r="F83" s="205"/>
      <c r="G83" s="205"/>
      <c r="H83" s="205"/>
      <c r="I83" s="172"/>
      <c r="M83" s="206"/>
      <c r="N83" s="233"/>
      <c r="O83" s="205"/>
      <c r="P83" s="205"/>
      <c r="Q83" s="205"/>
    </row>
    <row r="84" spans="2:17" s="21" customFormat="1" ht="14">
      <c r="B84" s="203"/>
      <c r="C84" s="232"/>
      <c r="D84" s="208"/>
      <c r="E84" s="233"/>
      <c r="F84" s="205"/>
      <c r="G84" s="205"/>
      <c r="H84" s="205"/>
      <c r="I84" s="172"/>
      <c r="M84" s="208"/>
      <c r="N84" s="233"/>
      <c r="O84" s="205"/>
      <c r="P84" s="205"/>
      <c r="Q84" s="205"/>
    </row>
    <row r="85" spans="2:17" s="21" customFormat="1" ht="14">
      <c r="B85" s="209"/>
      <c r="C85" s="232"/>
      <c r="D85" s="205"/>
      <c r="E85" s="233"/>
      <c r="F85" s="205"/>
      <c r="G85" s="205"/>
      <c r="H85" s="205"/>
      <c r="I85" s="172"/>
      <c r="M85" s="205"/>
      <c r="N85" s="233"/>
      <c r="O85" s="205"/>
      <c r="P85" s="205"/>
      <c r="Q85" s="205"/>
    </row>
    <row r="86" spans="2:17" s="21" customFormat="1">
      <c r="C86" s="232"/>
      <c r="I86" s="172"/>
    </row>
    <row r="87" spans="2:17" s="21" customFormat="1">
      <c r="I87" s="172"/>
    </row>
    <row r="88" spans="2:17" s="21" customFormat="1">
      <c r="I88" s="172"/>
    </row>
    <row r="89" spans="2:17" s="21" customFormat="1">
      <c r="I89" s="172"/>
    </row>
    <row r="90" spans="2:17" s="21" customFormat="1">
      <c r="I90" s="172"/>
    </row>
    <row r="91" spans="2:17" s="21" customFormat="1">
      <c r="I91" s="172"/>
    </row>
    <row r="92" spans="2:17" s="21" customFormat="1">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45820</v>
      </c>
      <c r="G2" s="106"/>
      <c r="H2" s="106"/>
      <c r="I2" s="106"/>
      <c r="J2" s="108"/>
      <c r="K2" s="358"/>
    </row>
    <row r="3" spans="1:13" s="101" customFormat="1" ht="18">
      <c r="A3" s="102"/>
      <c r="B3" s="103" t="str">
        <f>'Cover Sheet'!B3</f>
        <v>Monthly Investor Report</v>
      </c>
      <c r="C3" s="103"/>
      <c r="D3" s="111" t="str">
        <f>'Cover Sheet'!D3</f>
        <v>Payment Date</v>
      </c>
      <c r="E3" s="112"/>
      <c r="F3" s="113">
        <f>'Cover Sheet'!F3</f>
        <v>45824</v>
      </c>
      <c r="G3" s="112"/>
      <c r="H3" s="112"/>
      <c r="I3" s="112"/>
      <c r="J3" s="114"/>
      <c r="K3" s="124"/>
    </row>
    <row r="4" spans="1:13" s="101" customFormat="1" ht="13">
      <c r="A4" s="102"/>
      <c r="B4" s="156"/>
      <c r="C4" s="157"/>
      <c r="D4" s="111" t="str">
        <f>'Cover Sheet'!D4</f>
        <v>Period  No</v>
      </c>
      <c r="E4" s="112"/>
      <c r="F4" s="116">
        <f>'Cover Sheet'!F4</f>
        <v>43</v>
      </c>
      <c r="G4" s="112"/>
      <c r="H4" s="117"/>
      <c r="I4" s="112"/>
      <c r="J4" s="118"/>
      <c r="K4" s="358"/>
    </row>
    <row r="5" spans="1:13" s="101" customFormat="1" ht="18">
      <c r="A5" s="102"/>
      <c r="B5" s="159" t="s">
        <v>214</v>
      </c>
      <c r="C5" s="119"/>
      <c r="D5" s="111" t="str">
        <f>'Cover Sheet'!D5</f>
        <v>Monthly Period</v>
      </c>
      <c r="E5" s="112"/>
      <c r="F5" s="120">
        <f>'Cover Sheet'!F5</f>
        <v>45824</v>
      </c>
      <c r="G5" s="112"/>
      <c r="H5" s="117"/>
      <c r="I5" s="112"/>
      <c r="J5" s="118"/>
      <c r="K5" s="124"/>
    </row>
    <row r="6" spans="1:13"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25"/>
    </row>
    <row r="7" spans="1:13"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552" t="s">
        <v>539</v>
      </c>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6.1796875" style="143" customWidth="1"/>
    <col min="4" max="4" width="18.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45820</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45824</v>
      </c>
      <c r="G3" s="112"/>
      <c r="H3" s="112"/>
      <c r="I3" s="112"/>
      <c r="J3" s="114"/>
      <c r="K3" s="124"/>
      <c r="M3" s="163"/>
      <c r="N3" s="21"/>
      <c r="O3" s="472"/>
      <c r="P3" s="21"/>
      <c r="Q3" s="21"/>
    </row>
    <row r="4" spans="1:17" s="101" customFormat="1" ht="13">
      <c r="A4" s="102"/>
      <c r="B4" s="156"/>
      <c r="C4" s="157"/>
      <c r="D4" s="111" t="str">
        <f>'Cover Sheet'!D4</f>
        <v>Period  No</v>
      </c>
      <c r="E4" s="112"/>
      <c r="F4" s="116">
        <f>'Cover Sheet'!F4</f>
        <v>43</v>
      </c>
      <c r="G4" s="112"/>
      <c r="H4" s="117"/>
      <c r="I4" s="112"/>
      <c r="J4" s="118"/>
      <c r="K4" s="358"/>
      <c r="M4" s="163"/>
      <c r="N4" s="21"/>
      <c r="O4" s="228"/>
      <c r="P4" s="21"/>
      <c r="Q4" s="163"/>
    </row>
    <row r="5" spans="1:17" s="101" customFormat="1" ht="18">
      <c r="A5" s="102"/>
      <c r="B5" s="159" t="s">
        <v>157</v>
      </c>
      <c r="C5" s="119"/>
      <c r="D5" s="111" t="str">
        <f>'Cover Sheet'!D5</f>
        <v>Monthly Period</v>
      </c>
      <c r="E5" s="112"/>
      <c r="F5" s="120">
        <f>'Cover Sheet'!F5</f>
        <v>45824</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K12" s="109"/>
      <c r="M12" s="21"/>
      <c r="N12" s="21"/>
      <c r="O12" s="21"/>
      <c r="P12" s="361"/>
      <c r="Q12" s="361"/>
    </row>
    <row r="13" spans="1:17" s="101" customFormat="1" ht="29">
      <c r="A13" s="102"/>
      <c r="B13" s="494"/>
      <c r="C13" s="21"/>
      <c r="D13" s="498" t="s">
        <v>76</v>
      </c>
      <c r="E13" s="533" t="s">
        <v>71</v>
      </c>
      <c r="F13" s="499" t="s">
        <v>118</v>
      </c>
      <c r="G13" s="500" t="s">
        <v>61</v>
      </c>
      <c r="H13" s="534" t="s">
        <v>119</v>
      </c>
      <c r="I13" s="172"/>
      <c r="K13" s="109"/>
      <c r="M13" s="213"/>
      <c r="N13" s="216"/>
      <c r="O13" s="214"/>
      <c r="P13" s="495"/>
      <c r="Q13" s="495"/>
    </row>
    <row r="14" spans="1:17" s="101" customFormat="1">
      <c r="A14" s="102"/>
      <c r="B14" s="171"/>
      <c r="C14" s="171"/>
      <c r="D14" s="535" t="s">
        <v>674</v>
      </c>
      <c r="E14" s="536">
        <f t="shared" ref="E14:E41" si="0">VLOOKUP(CONCATENATE("seasoning_",D14),Assets_21,3,0)</f>
        <v>0</v>
      </c>
      <c r="F14" s="537">
        <f>E14/$E$42</f>
        <v>0</v>
      </c>
      <c r="G14" s="538">
        <f t="shared" ref="G14:G41" si="1">VLOOKUP(CONCATENATE("seasoning_",D14),Assets_21,2,0)</f>
        <v>0</v>
      </c>
      <c r="H14" s="539">
        <f>G14/$G$42</f>
        <v>0</v>
      </c>
      <c r="I14" s="172"/>
      <c r="K14" s="109"/>
      <c r="M14" s="540"/>
      <c r="N14" s="532"/>
      <c r="O14" s="529"/>
      <c r="P14" s="530"/>
      <c r="Q14" s="529"/>
    </row>
    <row r="15" spans="1:17">
      <c r="A15" s="179"/>
      <c r="B15" s="14"/>
      <c r="C15" s="13"/>
      <c r="D15" s="535" t="s">
        <v>675</v>
      </c>
      <c r="E15" s="536">
        <f t="shared" si="0"/>
        <v>0</v>
      </c>
      <c r="F15" s="537">
        <f t="shared" ref="F15:F41" si="2">E15/$E$42</f>
        <v>0</v>
      </c>
      <c r="G15" s="538">
        <f t="shared" si="1"/>
        <v>0</v>
      </c>
      <c r="H15" s="539">
        <f t="shared" ref="H15:H41" si="3">G15/$G$42</f>
        <v>0</v>
      </c>
      <c r="I15" s="172"/>
      <c r="K15" s="173"/>
      <c r="M15" s="540"/>
      <c r="N15" s="532"/>
      <c r="O15" s="529"/>
      <c r="P15" s="530"/>
      <c r="Q15" s="529"/>
    </row>
    <row r="16" spans="1:17">
      <c r="A16" s="179"/>
      <c r="B16" s="14"/>
      <c r="C16" s="13"/>
      <c r="D16" s="535" t="s">
        <v>676</v>
      </c>
      <c r="E16" s="536">
        <f t="shared" si="0"/>
        <v>0</v>
      </c>
      <c r="F16" s="537">
        <f t="shared" si="2"/>
        <v>0</v>
      </c>
      <c r="G16" s="538">
        <f t="shared" si="1"/>
        <v>0</v>
      </c>
      <c r="H16" s="539">
        <f t="shared" si="3"/>
        <v>0</v>
      </c>
      <c r="I16" s="172"/>
      <c r="K16" s="173"/>
      <c r="M16" s="540"/>
      <c r="N16" s="532"/>
      <c r="O16" s="529"/>
      <c r="P16" s="530"/>
      <c r="Q16" s="529"/>
    </row>
    <row r="17" spans="1:17">
      <c r="A17" s="179"/>
      <c r="B17" s="14"/>
      <c r="C17" s="13"/>
      <c r="D17" s="535" t="s">
        <v>677</v>
      </c>
      <c r="E17" s="536">
        <f t="shared" si="0"/>
        <v>0</v>
      </c>
      <c r="F17" s="537">
        <f t="shared" si="2"/>
        <v>0</v>
      </c>
      <c r="G17" s="538">
        <f t="shared" si="1"/>
        <v>0</v>
      </c>
      <c r="H17" s="539">
        <f t="shared" si="3"/>
        <v>0</v>
      </c>
      <c r="I17" s="172"/>
      <c r="K17" s="173"/>
      <c r="M17" s="541"/>
      <c r="N17" s="532"/>
      <c r="O17" s="529"/>
      <c r="P17" s="530"/>
      <c r="Q17" s="529"/>
    </row>
    <row r="18" spans="1:17">
      <c r="A18" s="179"/>
      <c r="B18" s="14"/>
      <c r="C18" s="13"/>
      <c r="D18" s="535" t="s">
        <v>678</v>
      </c>
      <c r="E18" s="536">
        <f t="shared" si="0"/>
        <v>0</v>
      </c>
      <c r="F18" s="537">
        <f t="shared" si="2"/>
        <v>0</v>
      </c>
      <c r="G18" s="538">
        <f t="shared" si="1"/>
        <v>0</v>
      </c>
      <c r="H18" s="539">
        <f t="shared" si="3"/>
        <v>0</v>
      </c>
      <c r="I18" s="172"/>
      <c r="K18" s="173"/>
      <c r="M18" s="541"/>
      <c r="N18" s="532"/>
      <c r="O18" s="529"/>
      <c r="P18" s="530"/>
      <c r="Q18" s="529"/>
    </row>
    <row r="19" spans="1:17">
      <c r="A19" s="179"/>
      <c r="B19" s="14"/>
      <c r="C19" s="13"/>
      <c r="D19" s="535" t="s">
        <v>679</v>
      </c>
      <c r="E19" s="536">
        <f t="shared" si="0"/>
        <v>0</v>
      </c>
      <c r="F19" s="537">
        <f t="shared" si="2"/>
        <v>0</v>
      </c>
      <c r="G19" s="538">
        <f t="shared" si="1"/>
        <v>0</v>
      </c>
      <c r="H19" s="539">
        <f t="shared" si="3"/>
        <v>0</v>
      </c>
      <c r="I19" s="172"/>
      <c r="K19" s="173"/>
      <c r="M19" s="541"/>
      <c r="N19" s="532"/>
      <c r="O19" s="529"/>
      <c r="P19" s="530"/>
      <c r="Q19" s="529"/>
    </row>
    <row r="20" spans="1:17">
      <c r="A20" s="179"/>
      <c r="B20" s="14"/>
      <c r="C20" s="13"/>
      <c r="D20" s="535" t="s">
        <v>680</v>
      </c>
      <c r="E20" s="536">
        <f t="shared" si="0"/>
        <v>0</v>
      </c>
      <c r="F20" s="537">
        <f t="shared" si="2"/>
        <v>0</v>
      </c>
      <c r="G20" s="538">
        <f t="shared" si="1"/>
        <v>0</v>
      </c>
      <c r="H20" s="539">
        <f t="shared" si="3"/>
        <v>0</v>
      </c>
      <c r="I20" s="172"/>
      <c r="K20" s="173"/>
      <c r="M20" s="541"/>
      <c r="N20" s="532"/>
      <c r="O20" s="529"/>
      <c r="P20" s="530"/>
      <c r="Q20" s="529"/>
    </row>
    <row r="21" spans="1:17">
      <c r="A21" s="179"/>
      <c r="B21" s="14"/>
      <c r="C21" s="13"/>
      <c r="D21" s="535" t="s">
        <v>681</v>
      </c>
      <c r="E21" s="536">
        <f t="shared" si="0"/>
        <v>0</v>
      </c>
      <c r="F21" s="537">
        <f t="shared" si="2"/>
        <v>0</v>
      </c>
      <c r="G21" s="538">
        <f t="shared" si="1"/>
        <v>0</v>
      </c>
      <c r="H21" s="539">
        <f t="shared" si="3"/>
        <v>0</v>
      </c>
      <c r="I21" s="172"/>
      <c r="K21" s="173"/>
      <c r="M21" s="541"/>
      <c r="N21" s="532"/>
      <c r="O21" s="529"/>
      <c r="P21" s="530"/>
      <c r="Q21" s="529"/>
    </row>
    <row r="22" spans="1:17">
      <c r="A22" s="179"/>
      <c r="B22" s="14"/>
      <c r="C22" s="13"/>
      <c r="D22" s="535" t="s">
        <v>682</v>
      </c>
      <c r="E22" s="536">
        <f t="shared" si="0"/>
        <v>0</v>
      </c>
      <c r="F22" s="537">
        <f t="shared" si="2"/>
        <v>0</v>
      </c>
      <c r="G22" s="538">
        <f t="shared" si="1"/>
        <v>0</v>
      </c>
      <c r="H22" s="539">
        <f t="shared" si="3"/>
        <v>0</v>
      </c>
      <c r="I22" s="172"/>
      <c r="K22" s="173"/>
      <c r="M22" s="542"/>
      <c r="N22" s="532"/>
      <c r="O22" s="529"/>
      <c r="P22" s="530"/>
      <c r="Q22" s="529"/>
    </row>
    <row r="23" spans="1:17">
      <c r="A23" s="179"/>
      <c r="B23" s="14"/>
      <c r="C23" s="13"/>
      <c r="D23" s="535" t="s">
        <v>683</v>
      </c>
      <c r="E23" s="536">
        <f t="shared" si="0"/>
        <v>0</v>
      </c>
      <c r="F23" s="537">
        <f t="shared" si="2"/>
        <v>0</v>
      </c>
      <c r="G23" s="538">
        <f t="shared" si="1"/>
        <v>0</v>
      </c>
      <c r="H23" s="539">
        <f t="shared" si="3"/>
        <v>0</v>
      </c>
      <c r="I23" s="172"/>
      <c r="K23" s="173"/>
      <c r="M23" s="543"/>
      <c r="N23" s="532"/>
      <c r="O23" s="529"/>
      <c r="P23" s="530"/>
      <c r="Q23" s="529"/>
    </row>
    <row r="24" spans="1:17" ht="12.75" customHeight="1">
      <c r="A24" s="179"/>
      <c r="B24" s="14"/>
      <c r="C24" s="13"/>
      <c r="D24" s="535" t="s">
        <v>684</v>
      </c>
      <c r="E24" s="536">
        <f t="shared" si="0"/>
        <v>119911.50999999998</v>
      </c>
      <c r="F24" s="537">
        <f t="shared" si="2"/>
        <v>2.3356204545155898E-4</v>
      </c>
      <c r="G24" s="538">
        <f t="shared" si="1"/>
        <v>16</v>
      </c>
      <c r="H24" s="539">
        <f t="shared" si="3"/>
        <v>3.090055814133143E-4</v>
      </c>
      <c r="I24" s="172"/>
      <c r="K24" s="173"/>
      <c r="M24" s="543"/>
      <c r="N24" s="532"/>
      <c r="O24" s="529"/>
      <c r="P24" s="530"/>
      <c r="Q24" s="529"/>
    </row>
    <row r="25" spans="1:17" ht="12.75" customHeight="1">
      <c r="A25" s="179"/>
      <c r="B25" s="14"/>
      <c r="C25" s="13"/>
      <c r="D25" s="535" t="s">
        <v>685</v>
      </c>
      <c r="E25" s="536">
        <f t="shared" si="0"/>
        <v>17477717.320000004</v>
      </c>
      <c r="F25" s="537">
        <f t="shared" si="2"/>
        <v>3.4042865502096849E-2</v>
      </c>
      <c r="G25" s="538">
        <f t="shared" si="1"/>
        <v>1488</v>
      </c>
      <c r="H25" s="539">
        <f t="shared" si="3"/>
        <v>2.8737519071438226E-2</v>
      </c>
      <c r="I25" s="172"/>
      <c r="K25" s="173"/>
      <c r="M25" s="543"/>
      <c r="N25" s="532"/>
      <c r="O25" s="529"/>
      <c r="P25" s="530"/>
      <c r="Q25" s="529"/>
    </row>
    <row r="26" spans="1:17" ht="12.75" customHeight="1">
      <c r="A26" s="179"/>
      <c r="B26" s="14"/>
      <c r="C26" s="13"/>
      <c r="D26" s="535" t="s">
        <v>686</v>
      </c>
      <c r="E26" s="536">
        <f t="shared" si="0"/>
        <v>44750548.830000073</v>
      </c>
      <c r="F26" s="537">
        <f t="shared" si="2"/>
        <v>8.7164524238037597E-2</v>
      </c>
      <c r="G26" s="538">
        <f t="shared" si="1"/>
        <v>3648</v>
      </c>
      <c r="H26" s="539">
        <f t="shared" si="3"/>
        <v>7.0453272562235658E-2</v>
      </c>
      <c r="I26" s="172"/>
      <c r="K26" s="173"/>
      <c r="M26" s="543"/>
      <c r="N26" s="532"/>
      <c r="O26" s="529"/>
      <c r="P26" s="530"/>
      <c r="Q26" s="529"/>
    </row>
    <row r="27" spans="1:17" ht="12.75" customHeight="1">
      <c r="A27" s="179"/>
      <c r="B27" s="14"/>
      <c r="C27" s="13"/>
      <c r="D27" s="535" t="s">
        <v>687</v>
      </c>
      <c r="E27" s="536">
        <f t="shared" si="0"/>
        <v>54988710.709999852</v>
      </c>
      <c r="F27" s="537">
        <f t="shared" si="2"/>
        <v>0.10710627987398053</v>
      </c>
      <c r="G27" s="538">
        <f t="shared" si="1"/>
        <v>4963</v>
      </c>
      <c r="H27" s="539">
        <f t="shared" si="3"/>
        <v>9.5849668784642419E-2</v>
      </c>
      <c r="I27" s="172"/>
      <c r="K27" s="173"/>
      <c r="M27" s="543"/>
      <c r="N27" s="532"/>
      <c r="O27" s="529"/>
      <c r="P27" s="530"/>
      <c r="Q27" s="529"/>
    </row>
    <row r="28" spans="1:17" ht="12.75" customHeight="1">
      <c r="A28" s="179"/>
      <c r="B28" s="14"/>
      <c r="C28" s="13"/>
      <c r="D28" s="535" t="s">
        <v>688</v>
      </c>
      <c r="E28" s="536">
        <f t="shared" si="0"/>
        <v>82702337.55000028</v>
      </c>
      <c r="F28" s="537">
        <f t="shared" si="2"/>
        <v>0.16108651389514936</v>
      </c>
      <c r="G28" s="538">
        <f t="shared" si="1"/>
        <v>8825</v>
      </c>
      <c r="H28" s="539">
        <f t="shared" si="3"/>
        <v>0.17043589099828116</v>
      </c>
      <c r="I28" s="172"/>
      <c r="K28" s="173"/>
      <c r="M28" s="543"/>
      <c r="N28" s="532"/>
      <c r="O28" s="529"/>
      <c r="P28" s="530"/>
      <c r="Q28" s="529"/>
    </row>
    <row r="29" spans="1:17" ht="12.75" customHeight="1">
      <c r="A29" s="179"/>
      <c r="B29" s="14"/>
      <c r="C29" s="13"/>
      <c r="D29" s="535" t="s">
        <v>689</v>
      </c>
      <c r="E29" s="536">
        <f t="shared" si="0"/>
        <v>140559689.71999967</v>
      </c>
      <c r="F29" s="537">
        <f t="shared" si="2"/>
        <v>0.27378029547822053</v>
      </c>
      <c r="G29" s="538">
        <f t="shared" si="1"/>
        <v>14352</v>
      </c>
      <c r="H29" s="539">
        <f t="shared" si="3"/>
        <v>0.27717800652774288</v>
      </c>
      <c r="I29" s="172"/>
      <c r="K29" s="173"/>
      <c r="M29" s="543"/>
      <c r="N29" s="532"/>
      <c r="O29" s="529"/>
      <c r="P29" s="530"/>
      <c r="Q29" s="529"/>
    </row>
    <row r="30" spans="1:17" ht="12.75" customHeight="1">
      <c r="A30" s="179"/>
      <c r="B30" s="14"/>
      <c r="C30" s="13"/>
      <c r="D30" s="535" t="s">
        <v>690</v>
      </c>
      <c r="E30" s="536">
        <f t="shared" si="0"/>
        <v>87647205.270000085</v>
      </c>
      <c r="F30" s="537">
        <f t="shared" si="2"/>
        <v>0.17071806151864721</v>
      </c>
      <c r="G30" s="538">
        <f t="shared" si="1"/>
        <v>8677</v>
      </c>
      <c r="H30" s="539">
        <f t="shared" si="3"/>
        <v>0.167577589370208</v>
      </c>
      <c r="I30" s="172"/>
      <c r="K30" s="173"/>
      <c r="M30" s="543"/>
      <c r="N30" s="532"/>
      <c r="O30" s="529"/>
      <c r="P30" s="530"/>
      <c r="Q30" s="529"/>
    </row>
    <row r="31" spans="1:17" ht="12.75" customHeight="1">
      <c r="A31" s="179"/>
      <c r="B31" s="14"/>
      <c r="C31" s="13"/>
      <c r="D31" s="535" t="s">
        <v>691</v>
      </c>
      <c r="E31" s="536">
        <f t="shared" si="0"/>
        <v>46319311.110000074</v>
      </c>
      <c r="F31" s="537">
        <f t="shared" si="2"/>
        <v>9.0220138556830282E-2</v>
      </c>
      <c r="G31" s="538">
        <f t="shared" si="1"/>
        <v>4855</v>
      </c>
      <c r="H31" s="539">
        <f t="shared" si="3"/>
        <v>9.3763881110102545E-2</v>
      </c>
      <c r="I31" s="172"/>
      <c r="K31" s="173"/>
      <c r="M31" s="543"/>
      <c r="N31" s="532"/>
      <c r="O31" s="529"/>
      <c r="P31" s="530"/>
      <c r="Q31" s="529"/>
    </row>
    <row r="32" spans="1:17" ht="12.75" customHeight="1">
      <c r="A32" s="179"/>
      <c r="B32" s="14"/>
      <c r="C32" s="13"/>
      <c r="D32" s="535" t="s">
        <v>692</v>
      </c>
      <c r="E32" s="536">
        <f t="shared" si="0"/>
        <v>29480944.270000048</v>
      </c>
      <c r="F32" s="537">
        <f t="shared" si="2"/>
        <v>5.742259142216314E-2</v>
      </c>
      <c r="G32" s="538">
        <f t="shared" si="1"/>
        <v>3648</v>
      </c>
      <c r="H32" s="539">
        <f t="shared" si="3"/>
        <v>7.0453272562235658E-2</v>
      </c>
      <c r="I32" s="172"/>
      <c r="K32" s="173"/>
      <c r="M32" s="543"/>
      <c r="N32" s="532"/>
      <c r="O32" s="529"/>
      <c r="P32" s="530"/>
      <c r="Q32" s="529"/>
    </row>
    <row r="33" spans="1:17" ht="12.75" customHeight="1">
      <c r="A33" s="179"/>
      <c r="B33" s="14"/>
      <c r="C33" s="13"/>
      <c r="D33" s="535" t="s">
        <v>693</v>
      </c>
      <c r="E33" s="536">
        <f t="shared" si="0"/>
        <v>5548161.459999999</v>
      </c>
      <c r="F33" s="537">
        <f t="shared" si="2"/>
        <v>1.0806635151980888E-2</v>
      </c>
      <c r="G33" s="538">
        <f t="shared" si="1"/>
        <v>672</v>
      </c>
      <c r="H33" s="539">
        <f t="shared" si="3"/>
        <v>1.29782344193592E-2</v>
      </c>
      <c r="I33" s="172"/>
      <c r="K33" s="173"/>
      <c r="M33" s="543"/>
      <c r="N33" s="532"/>
      <c r="O33" s="529"/>
      <c r="P33" s="530"/>
      <c r="Q33" s="529"/>
    </row>
    <row r="34" spans="1:17" ht="12.75" customHeight="1">
      <c r="A34" s="179"/>
      <c r="B34" s="14"/>
      <c r="C34" s="13"/>
      <c r="D34" s="535" t="s">
        <v>694</v>
      </c>
      <c r="E34" s="536">
        <f t="shared" si="0"/>
        <v>1111223.7000000002</v>
      </c>
      <c r="F34" s="537">
        <f t="shared" si="2"/>
        <v>2.1644267537474062E-3</v>
      </c>
      <c r="G34" s="538">
        <f t="shared" si="1"/>
        <v>172</v>
      </c>
      <c r="H34" s="539">
        <f t="shared" si="3"/>
        <v>3.3218100001931286E-3</v>
      </c>
      <c r="I34" s="172"/>
      <c r="K34" s="173"/>
      <c r="M34" s="543"/>
      <c r="N34" s="532"/>
      <c r="O34" s="529"/>
      <c r="P34" s="530"/>
      <c r="Q34" s="529"/>
    </row>
    <row r="35" spans="1:17" ht="12.75" customHeight="1">
      <c r="A35" s="179"/>
      <c r="B35" s="14"/>
      <c r="C35" s="13"/>
      <c r="D35" s="535" t="s">
        <v>695</v>
      </c>
      <c r="E35" s="536">
        <f t="shared" si="0"/>
        <v>1197155.27</v>
      </c>
      <c r="F35" s="537">
        <f t="shared" si="2"/>
        <v>2.3318031236894054E-3</v>
      </c>
      <c r="G35" s="538">
        <f t="shared" si="1"/>
        <v>181</v>
      </c>
      <c r="H35" s="539">
        <f t="shared" si="3"/>
        <v>3.495625639738118E-3</v>
      </c>
      <c r="I35" s="172"/>
      <c r="K35" s="173"/>
      <c r="M35" s="543"/>
      <c r="N35" s="532"/>
      <c r="O35" s="529"/>
      <c r="P35" s="530"/>
      <c r="Q35" s="529"/>
    </row>
    <row r="36" spans="1:17" ht="12.75" customHeight="1">
      <c r="A36" s="179"/>
      <c r="B36" s="14"/>
      <c r="C36" s="13"/>
      <c r="D36" s="535" t="s">
        <v>696</v>
      </c>
      <c r="E36" s="536">
        <f t="shared" si="0"/>
        <v>940236.95999999961</v>
      </c>
      <c r="F36" s="537">
        <f t="shared" si="2"/>
        <v>1.8313810541353002E-3</v>
      </c>
      <c r="G36" s="538">
        <f t="shared" si="1"/>
        <v>143</v>
      </c>
      <c r="H36" s="539">
        <f t="shared" si="3"/>
        <v>2.7617373838814963E-3</v>
      </c>
      <c r="I36" s="172"/>
      <c r="K36" s="173"/>
      <c r="M36" s="543"/>
      <c r="N36" s="532"/>
      <c r="O36" s="529"/>
      <c r="P36" s="530"/>
      <c r="Q36" s="529"/>
    </row>
    <row r="37" spans="1:17" ht="12.75" customHeight="1">
      <c r="A37" s="179"/>
      <c r="B37" s="14"/>
      <c r="C37" s="13"/>
      <c r="D37" s="535" t="s">
        <v>697</v>
      </c>
      <c r="E37" s="536">
        <f t="shared" si="0"/>
        <v>67090.7</v>
      </c>
      <c r="F37" s="537">
        <f t="shared" si="2"/>
        <v>1.3067837376726311E-4</v>
      </c>
      <c r="G37" s="538">
        <f t="shared" si="1"/>
        <v>17</v>
      </c>
      <c r="H37" s="539">
        <f t="shared" si="3"/>
        <v>3.283184302516464E-4</v>
      </c>
      <c r="I37" s="172"/>
      <c r="K37" s="173"/>
      <c r="M37" s="543"/>
      <c r="N37" s="532"/>
      <c r="O37" s="529"/>
      <c r="P37" s="530"/>
      <c r="Q37" s="529"/>
    </row>
    <row r="38" spans="1:17" ht="12.75" customHeight="1">
      <c r="A38" s="179"/>
      <c r="B38" s="14"/>
      <c r="C38" s="13"/>
      <c r="D38" s="535" t="s">
        <v>698</v>
      </c>
      <c r="E38" s="536">
        <f t="shared" si="0"/>
        <v>158888.90999999995</v>
      </c>
      <c r="F38" s="537">
        <f t="shared" si="2"/>
        <v>3.094817071286039E-4</v>
      </c>
      <c r="G38" s="538">
        <f t="shared" si="1"/>
        <v>33</v>
      </c>
      <c r="H38" s="539">
        <f t="shared" si="3"/>
        <v>6.3732401166496065E-4</v>
      </c>
      <c r="I38" s="172"/>
      <c r="K38" s="173"/>
      <c r="M38" s="543"/>
      <c r="N38" s="532"/>
      <c r="O38" s="529"/>
      <c r="P38" s="530"/>
      <c r="Q38" s="529"/>
    </row>
    <row r="39" spans="1:17" ht="12.75" customHeight="1">
      <c r="A39" s="179"/>
      <c r="B39" s="14"/>
      <c r="C39" s="13"/>
      <c r="D39" s="535" t="s">
        <v>699</v>
      </c>
      <c r="E39" s="536">
        <f t="shared" si="0"/>
        <v>189269.3</v>
      </c>
      <c r="F39" s="537">
        <f t="shared" si="2"/>
        <v>3.6865622698925864E-4</v>
      </c>
      <c r="G39" s="538">
        <f t="shared" si="1"/>
        <v>42</v>
      </c>
      <c r="H39" s="539">
        <f t="shared" si="3"/>
        <v>8.1113965120995001E-4</v>
      </c>
      <c r="I39" s="172"/>
      <c r="K39" s="173"/>
      <c r="M39" s="543"/>
      <c r="N39" s="532"/>
      <c r="O39" s="529"/>
      <c r="P39" s="530"/>
      <c r="Q39" s="529"/>
    </row>
    <row r="40" spans="1:17" ht="12.75" customHeight="1">
      <c r="A40" s="179"/>
      <c r="B40" s="14"/>
      <c r="C40" s="13"/>
      <c r="D40" s="535" t="s">
        <v>700</v>
      </c>
      <c r="E40" s="536">
        <f t="shared" si="0"/>
        <v>106999.61</v>
      </c>
      <c r="F40" s="537">
        <f t="shared" si="2"/>
        <v>2.0841241824174416E-4</v>
      </c>
      <c r="G40" s="538">
        <f t="shared" si="1"/>
        <v>31</v>
      </c>
      <c r="H40" s="539">
        <f t="shared" si="3"/>
        <v>5.9869831398829646E-4</v>
      </c>
      <c r="I40" s="172"/>
      <c r="K40" s="173"/>
      <c r="M40" s="543"/>
      <c r="N40" s="532"/>
      <c r="O40" s="529"/>
      <c r="P40" s="530"/>
      <c r="Q40" s="529"/>
    </row>
    <row r="41" spans="1:17" ht="12.75" customHeight="1" thickBot="1">
      <c r="A41" s="179"/>
      <c r="B41" s="14"/>
      <c r="C41" s="13"/>
      <c r="D41" s="535" t="s">
        <v>701</v>
      </c>
      <c r="E41" s="536">
        <f t="shared" si="0"/>
        <v>37834.050000000003</v>
      </c>
      <c r="F41" s="537">
        <f t="shared" si="2"/>
        <v>7.3692659743143565E-5</v>
      </c>
      <c r="G41" s="538">
        <f t="shared" si="1"/>
        <v>16</v>
      </c>
      <c r="H41" s="539">
        <f t="shared" si="3"/>
        <v>3.090055814133143E-4</v>
      </c>
      <c r="I41" s="172"/>
      <c r="K41" s="173"/>
      <c r="M41" s="543"/>
      <c r="N41" s="532"/>
      <c r="O41" s="529"/>
      <c r="P41" s="530"/>
      <c r="Q41" s="529"/>
    </row>
    <row r="42" spans="1:17" ht="14" thickTop="1" thickBot="1">
      <c r="A42" s="179"/>
      <c r="B42" s="14"/>
      <c r="C42" s="13"/>
      <c r="D42" s="544" t="s">
        <v>36</v>
      </c>
      <c r="E42" s="545">
        <f>SUM(E14:E41)</f>
        <v>513403236.25000006</v>
      </c>
      <c r="F42" s="546">
        <f>SUM(F14:F41)</f>
        <v>0.99999999999999989</v>
      </c>
      <c r="G42" s="547">
        <f>SUM(G14:G41)</f>
        <v>51779</v>
      </c>
      <c r="H42" s="548">
        <f>SUM(H14:H41)</f>
        <v>1</v>
      </c>
      <c r="I42" s="172"/>
      <c r="J42" s="172"/>
      <c r="K42" s="173"/>
      <c r="M42" s="37"/>
      <c r="N42" s="509"/>
      <c r="O42" s="549"/>
      <c r="P42" s="511"/>
      <c r="Q42" s="510"/>
    </row>
    <row r="43" spans="1:17" ht="13">
      <c r="A43" s="179"/>
      <c r="B43" s="14"/>
      <c r="C43" s="13"/>
      <c r="D43" s="550"/>
      <c r="E43" s="551"/>
      <c r="F43" s="549"/>
      <c r="G43" s="493"/>
      <c r="H43" s="226"/>
      <c r="I43" s="172"/>
      <c r="J43" s="172"/>
      <c r="K43" s="173"/>
      <c r="M43" s="37"/>
      <c r="N43" s="509"/>
      <c r="O43" s="549"/>
      <c r="P43" s="511"/>
      <c r="Q43" s="510"/>
    </row>
    <row r="44" spans="1:17" ht="13">
      <c r="A44" s="179"/>
      <c r="B44" s="14"/>
      <c r="C44" s="13"/>
      <c r="D44" s="37"/>
      <c r="E44" s="509"/>
      <c r="F44" s="549"/>
      <c r="G44" s="493"/>
      <c r="H44" s="226"/>
      <c r="I44" s="172"/>
      <c r="J44" s="172"/>
      <c r="K44" s="173"/>
      <c r="M44" s="37"/>
      <c r="N44" s="509"/>
      <c r="O44" s="549"/>
      <c r="P44" s="511"/>
      <c r="Q44" s="510"/>
    </row>
    <row r="45" spans="1:17" ht="13.5" thickBot="1">
      <c r="A45" s="179"/>
      <c r="B45" s="14"/>
      <c r="C45" s="13"/>
      <c r="D45" s="514" t="s">
        <v>69</v>
      </c>
      <c r="E45" s="514"/>
      <c r="F45" s="101"/>
      <c r="G45" s="101"/>
      <c r="H45" s="101"/>
      <c r="I45" s="172"/>
      <c r="J45" s="172"/>
      <c r="K45" s="173"/>
      <c r="N45" s="513"/>
    </row>
    <row r="46" spans="1:17" ht="13" thickBot="1">
      <c r="A46" s="179"/>
      <c r="B46" s="14"/>
      <c r="C46" s="13"/>
      <c r="D46" s="515" t="s">
        <v>74</v>
      </c>
      <c r="E46" s="516">
        <f>VLOOKUP(CONCATENATE("seasoning_",D46),Assets_21,3,0)</f>
        <v>45.494462790172911</v>
      </c>
      <c r="F46" s="101"/>
      <c r="G46" s="101"/>
      <c r="H46" s="101"/>
      <c r="I46" s="172"/>
      <c r="J46" s="172"/>
      <c r="K46" s="173"/>
      <c r="N46" s="513"/>
    </row>
    <row r="47" spans="1:17">
      <c r="A47" s="179"/>
      <c r="B47" s="14"/>
      <c r="C47" s="13"/>
      <c r="D47" s="200"/>
      <c r="E47" s="232"/>
      <c r="F47" s="101"/>
      <c r="G47" s="101"/>
      <c r="H47" s="101"/>
      <c r="I47" s="172"/>
      <c r="J47" s="172"/>
      <c r="K47" s="173"/>
      <c r="N47" s="513"/>
    </row>
    <row r="48" spans="1:17">
      <c r="A48" s="179"/>
      <c r="B48" s="14"/>
      <c r="C48" s="13"/>
      <c r="D48" s="199"/>
      <c r="E48" s="232"/>
      <c r="F48" s="101"/>
      <c r="G48" s="101"/>
      <c r="H48" s="101"/>
      <c r="I48" s="172"/>
      <c r="J48" s="172"/>
      <c r="K48" s="173"/>
      <c r="N48" s="513"/>
    </row>
    <row r="49" spans="1:17">
      <c r="A49" s="179"/>
      <c r="B49" s="14"/>
      <c r="C49" s="13"/>
      <c r="D49" s="104"/>
      <c r="E49" s="513"/>
      <c r="F49" s="101"/>
      <c r="G49" s="101"/>
      <c r="H49" s="101"/>
      <c r="I49" s="172"/>
      <c r="J49" s="172"/>
      <c r="K49" s="173"/>
      <c r="N49" s="513"/>
    </row>
    <row r="50" spans="1:17">
      <c r="A50" s="179"/>
      <c r="B50" s="14"/>
      <c r="C50" s="13"/>
      <c r="D50" s="104"/>
      <c r="E50" s="513"/>
      <c r="F50" s="101"/>
      <c r="G50" s="101"/>
      <c r="H50" s="101"/>
      <c r="I50" s="172"/>
      <c r="J50" s="172"/>
      <c r="K50" s="173"/>
      <c r="N50" s="513"/>
    </row>
    <row r="51" spans="1:17">
      <c r="A51" s="179"/>
      <c r="B51" s="14"/>
      <c r="C51" s="13"/>
      <c r="D51" s="104"/>
      <c r="E51" s="513"/>
      <c r="F51" s="101"/>
      <c r="G51" s="101"/>
      <c r="H51" s="101"/>
      <c r="I51" s="172"/>
      <c r="J51" s="172"/>
      <c r="K51" s="173"/>
      <c r="N51" s="513"/>
    </row>
    <row r="52" spans="1:17">
      <c r="A52" s="179"/>
      <c r="B52" s="14"/>
      <c r="C52" s="13"/>
      <c r="D52" s="104"/>
      <c r="E52" s="513"/>
      <c r="F52" s="101"/>
      <c r="G52" s="101"/>
      <c r="H52" s="101"/>
      <c r="I52" s="172"/>
      <c r="J52" s="172"/>
      <c r="K52" s="173"/>
      <c r="N52" s="513"/>
    </row>
    <row r="53" spans="1:17">
      <c r="A53" s="179"/>
      <c r="B53" s="14"/>
      <c r="C53" s="13"/>
      <c r="D53" s="104"/>
      <c r="E53" s="513"/>
      <c r="F53" s="101"/>
      <c r="G53" s="101"/>
      <c r="H53" s="101"/>
      <c r="I53" s="172"/>
      <c r="J53" s="172"/>
      <c r="K53" s="173"/>
      <c r="N53" s="513"/>
    </row>
    <row r="54" spans="1:17">
      <c r="A54" s="194"/>
      <c r="B54" s="29"/>
      <c r="C54" s="11"/>
      <c r="D54" s="348"/>
      <c r="E54" s="11"/>
      <c r="F54" s="315"/>
      <c r="G54" s="349"/>
      <c r="H54" s="315"/>
      <c r="I54" s="389"/>
      <c r="J54" s="50"/>
      <c r="K54" s="195"/>
      <c r="M54" s="196"/>
      <c r="N54" s="13"/>
      <c r="O54" s="197"/>
      <c r="P54" s="198"/>
      <c r="Q54" s="197"/>
    </row>
    <row r="55" spans="1:17">
      <c r="A55" s="49"/>
      <c r="B55" s="14"/>
      <c r="C55" s="13"/>
      <c r="D55" s="196"/>
      <c r="E55" s="13"/>
      <c r="F55" s="197"/>
      <c r="G55" s="198"/>
      <c r="H55" s="197"/>
      <c r="I55" s="172"/>
      <c r="J55" s="21"/>
      <c r="K55" s="21"/>
      <c r="L55" s="21"/>
      <c r="M55" s="196"/>
      <c r="N55" s="13"/>
      <c r="O55" s="197"/>
      <c r="P55" s="198"/>
      <c r="Q55" s="197"/>
    </row>
    <row r="56" spans="1:17" s="21" customFormat="1">
      <c r="B56" s="14"/>
      <c r="C56" s="13"/>
      <c r="D56" s="196"/>
      <c r="E56" s="13"/>
      <c r="F56" s="197"/>
      <c r="G56" s="198"/>
      <c r="H56" s="197"/>
      <c r="I56" s="172"/>
      <c r="M56" s="196"/>
      <c r="N56" s="13"/>
      <c r="O56" s="197"/>
      <c r="P56" s="198"/>
      <c r="Q56" s="197"/>
    </row>
    <row r="57" spans="1:17" s="21" customFormat="1">
      <c r="B57" s="14"/>
      <c r="C57" s="13"/>
      <c r="D57" s="196"/>
      <c r="E57" s="13"/>
      <c r="F57" s="197"/>
      <c r="G57" s="198"/>
      <c r="H57" s="197"/>
      <c r="I57" s="172"/>
      <c r="M57" s="196"/>
      <c r="N57" s="13"/>
      <c r="O57" s="197"/>
      <c r="P57" s="198"/>
      <c r="Q57" s="197"/>
    </row>
    <row r="58" spans="1:17" s="104" customFormat="1" ht="15" customHeight="1">
      <c r="B58" s="14"/>
      <c r="C58" s="13"/>
      <c r="D58" s="196"/>
      <c r="E58" s="13"/>
      <c r="F58" s="197"/>
      <c r="G58" s="198"/>
      <c r="H58" s="197"/>
      <c r="I58" s="144"/>
      <c r="M58" s="196"/>
      <c r="N58" s="13"/>
      <c r="O58" s="197"/>
      <c r="P58" s="198"/>
      <c r="Q58" s="197"/>
    </row>
    <row r="59" spans="1:17" s="104" customFormat="1">
      <c r="B59" s="14"/>
      <c r="C59" s="13"/>
      <c r="D59" s="196"/>
      <c r="E59" s="13"/>
      <c r="F59" s="197"/>
      <c r="G59" s="198"/>
      <c r="H59" s="197"/>
      <c r="I59" s="144"/>
      <c r="M59" s="196"/>
      <c r="N59" s="13"/>
      <c r="O59" s="197"/>
      <c r="P59" s="198"/>
      <c r="Q59" s="197"/>
    </row>
    <row r="60" spans="1:17" s="21" customFormat="1">
      <c r="B60" s="14"/>
      <c r="C60" s="13"/>
      <c r="D60" s="196"/>
      <c r="E60" s="13"/>
      <c r="F60" s="197"/>
      <c r="G60" s="198"/>
      <c r="H60" s="197"/>
      <c r="I60" s="172"/>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6"/>
      <c r="E82" s="13"/>
      <c r="F82" s="197"/>
      <c r="G82" s="198"/>
      <c r="H82" s="197"/>
      <c r="I82" s="172"/>
      <c r="M82" s="196"/>
      <c r="N82" s="13"/>
      <c r="O82" s="197"/>
      <c r="P82" s="198"/>
      <c r="Q82" s="197"/>
    </row>
    <row r="83" spans="2:17" s="21" customFormat="1">
      <c r="B83" s="14"/>
      <c r="C83" s="13"/>
      <c r="D83" s="196"/>
      <c r="E83" s="13"/>
      <c r="F83" s="197"/>
      <c r="G83" s="198"/>
      <c r="H83" s="197"/>
      <c r="I83" s="172"/>
      <c r="M83" s="196"/>
      <c r="N83" s="13"/>
      <c r="O83" s="197"/>
      <c r="P83" s="198"/>
      <c r="Q83" s="197"/>
    </row>
    <row r="84" spans="2:17" s="21" customFormat="1">
      <c r="B84" s="14"/>
      <c r="C84" s="13"/>
      <c r="D84" s="196"/>
      <c r="E84" s="13"/>
      <c r="F84" s="197"/>
      <c r="G84" s="198"/>
      <c r="H84" s="197"/>
      <c r="I84" s="172"/>
      <c r="M84" s="196"/>
      <c r="N84" s="13"/>
      <c r="O84" s="197"/>
      <c r="P84" s="198"/>
      <c r="Q84" s="197"/>
    </row>
    <row r="85" spans="2:17" s="21" customFormat="1">
      <c r="B85" s="14"/>
      <c r="C85" s="13"/>
      <c r="D85" s="196"/>
      <c r="E85" s="13"/>
      <c r="F85" s="197"/>
      <c r="G85" s="198"/>
      <c r="H85" s="197"/>
      <c r="I85" s="172"/>
      <c r="M85" s="196"/>
      <c r="N85" s="13"/>
      <c r="O85" s="197"/>
      <c r="P85" s="198"/>
      <c r="Q85" s="197"/>
    </row>
    <row r="86" spans="2:17" s="21" customFormat="1">
      <c r="B86" s="14"/>
      <c r="C86" s="13"/>
      <c r="D86" s="196"/>
      <c r="E86" s="13"/>
      <c r="F86" s="197"/>
      <c r="G86" s="198"/>
      <c r="H86" s="197"/>
      <c r="I86" s="172"/>
      <c r="M86" s="196"/>
      <c r="N86" s="13"/>
      <c r="O86" s="197"/>
      <c r="P86" s="198"/>
      <c r="Q86" s="197"/>
    </row>
    <row r="87" spans="2:17" s="21" customFormat="1">
      <c r="B87" s="14"/>
      <c r="C87" s="13"/>
      <c r="D87" s="196"/>
      <c r="E87" s="13"/>
      <c r="F87" s="197"/>
      <c r="G87" s="198"/>
      <c r="H87" s="197"/>
      <c r="I87" s="172"/>
      <c r="M87" s="196"/>
      <c r="N87" s="13"/>
      <c r="O87" s="197"/>
      <c r="P87" s="198"/>
      <c r="Q87" s="197"/>
    </row>
    <row r="88" spans="2:17" s="21" customFormat="1">
      <c r="B88" s="14"/>
      <c r="C88" s="13"/>
      <c r="D88" s="199"/>
      <c r="E88" s="200"/>
      <c r="F88" s="231"/>
      <c r="G88" s="202"/>
      <c r="H88" s="231"/>
      <c r="I88" s="172"/>
      <c r="M88" s="199"/>
      <c r="N88" s="200"/>
      <c r="O88" s="231"/>
      <c r="P88" s="202"/>
      <c r="Q88" s="231"/>
    </row>
    <row r="89" spans="2:17" s="21" customFormat="1">
      <c r="B89" s="14"/>
      <c r="C89" s="13"/>
      <c r="D89" s="199"/>
      <c r="E89" s="199"/>
      <c r="F89" s="199"/>
      <c r="G89" s="199"/>
      <c r="H89" s="199"/>
      <c r="I89" s="172"/>
      <c r="M89" s="199"/>
      <c r="N89" s="199"/>
      <c r="O89" s="199"/>
      <c r="P89" s="199"/>
      <c r="Q89" s="199"/>
    </row>
    <row r="90" spans="2:17" s="21" customFormat="1">
      <c r="B90" s="14"/>
      <c r="C90" s="13"/>
      <c r="D90" s="199"/>
      <c r="E90" s="199"/>
      <c r="F90" s="199"/>
      <c r="G90" s="199"/>
      <c r="H90" s="199"/>
      <c r="I90" s="172"/>
      <c r="M90" s="199"/>
      <c r="N90" s="199"/>
      <c r="O90" s="199"/>
      <c r="P90" s="199"/>
      <c r="Q90" s="199"/>
    </row>
    <row r="91" spans="2:17" s="21" customFormat="1">
      <c r="B91" s="14"/>
      <c r="C91" s="13"/>
      <c r="D91" s="203"/>
      <c r="E91" s="232"/>
      <c r="F91" s="199"/>
      <c r="G91" s="199"/>
      <c r="H91" s="199"/>
      <c r="I91" s="172"/>
      <c r="M91" s="203"/>
      <c r="N91" s="232"/>
      <c r="O91" s="199"/>
      <c r="P91" s="199"/>
      <c r="Q91" s="199"/>
    </row>
    <row r="92" spans="2:17" s="21" customFormat="1">
      <c r="B92" s="14"/>
      <c r="C92" s="13"/>
      <c r="D92" s="200"/>
      <c r="E92" s="232"/>
      <c r="F92" s="199"/>
      <c r="G92" s="199"/>
      <c r="H92" s="199"/>
      <c r="I92" s="172"/>
      <c r="M92" s="200"/>
      <c r="N92" s="232"/>
      <c r="O92" s="199"/>
      <c r="P92" s="199"/>
      <c r="Q92" s="199"/>
    </row>
    <row r="93" spans="2:17" s="21" customFormat="1">
      <c r="B93" s="14"/>
      <c r="C93" s="13"/>
      <c r="D93" s="199"/>
      <c r="E93" s="232"/>
      <c r="F93" s="199"/>
      <c r="G93" s="199"/>
      <c r="H93" s="199"/>
      <c r="I93" s="172"/>
      <c r="M93" s="199"/>
      <c r="N93" s="232"/>
      <c r="O93" s="199"/>
      <c r="P93" s="199"/>
      <c r="Q93" s="199"/>
    </row>
    <row r="94" spans="2:17" s="21" customFormat="1" ht="14">
      <c r="B94" s="199"/>
      <c r="C94" s="200"/>
      <c r="D94" s="205"/>
      <c r="E94" s="205"/>
      <c r="F94" s="205"/>
      <c r="G94" s="205"/>
      <c r="H94" s="205"/>
      <c r="I94" s="172"/>
      <c r="M94" s="205"/>
      <c r="N94" s="205"/>
      <c r="O94" s="205"/>
      <c r="P94" s="205"/>
      <c r="Q94" s="205"/>
    </row>
    <row r="95" spans="2:17" s="21" customFormat="1" ht="14">
      <c r="B95" s="104"/>
      <c r="C95" s="104"/>
      <c r="D95" s="205"/>
      <c r="E95" s="205"/>
      <c r="F95" s="205"/>
      <c r="G95" s="205"/>
      <c r="H95" s="205"/>
      <c r="I95" s="172"/>
      <c r="M95" s="205"/>
      <c r="N95" s="205"/>
      <c r="O95" s="205"/>
      <c r="P95" s="205"/>
      <c r="Q95" s="205"/>
    </row>
    <row r="96" spans="2:17" s="21" customFormat="1" ht="14">
      <c r="B96" s="104"/>
      <c r="C96" s="104"/>
      <c r="D96" s="206"/>
      <c r="E96" s="233"/>
      <c r="F96" s="205"/>
      <c r="G96" s="205"/>
      <c r="H96" s="205"/>
      <c r="I96" s="172"/>
      <c r="M96" s="206"/>
      <c r="N96" s="233"/>
      <c r="O96" s="205"/>
      <c r="P96" s="205"/>
      <c r="Q96" s="205"/>
    </row>
    <row r="97" spans="2:17" s="21" customFormat="1" ht="14">
      <c r="B97" s="203"/>
      <c r="C97" s="232"/>
      <c r="D97" s="208"/>
      <c r="E97" s="233"/>
      <c r="F97" s="205"/>
      <c r="G97" s="205"/>
      <c r="H97" s="205"/>
      <c r="I97" s="172"/>
      <c r="M97" s="208"/>
      <c r="N97" s="233"/>
      <c r="O97" s="205"/>
      <c r="P97" s="205"/>
      <c r="Q97" s="205"/>
    </row>
    <row r="98" spans="2:17" s="21" customFormat="1" ht="14">
      <c r="B98" s="209"/>
      <c r="C98" s="232"/>
      <c r="D98" s="205"/>
      <c r="E98" s="233"/>
      <c r="F98" s="205"/>
      <c r="G98" s="205"/>
      <c r="H98" s="205"/>
      <c r="I98" s="172"/>
      <c r="M98" s="205"/>
      <c r="N98" s="233"/>
      <c r="O98" s="205"/>
      <c r="P98" s="205"/>
      <c r="Q98" s="205"/>
    </row>
    <row r="99" spans="2:17" s="21" customFormat="1">
      <c r="C99" s="232"/>
      <c r="I99" s="172"/>
    </row>
    <row r="100" spans="2:17" s="21" customFormat="1">
      <c r="I100" s="172"/>
    </row>
    <row r="101" spans="2:17" s="21" customFormat="1">
      <c r="I101" s="172"/>
    </row>
    <row r="102" spans="2:17" s="21" customFormat="1">
      <c r="I102" s="172"/>
    </row>
    <row r="103" spans="2:17" s="21" customFormat="1">
      <c r="I103" s="172"/>
    </row>
    <row r="104" spans="2:17" s="21" customFormat="1">
      <c r="I104" s="172"/>
    </row>
    <row r="105" spans="2:17" s="21" customFormat="1">
      <c r="I105" s="172"/>
    </row>
    <row r="106" spans="2:17" s="21" customFormat="1">
      <c r="I106" s="172"/>
    </row>
    <row r="107" spans="2:17" s="21" customFormat="1">
      <c r="I107" s="172"/>
    </row>
    <row r="108" spans="2:17" s="21" customFormat="1">
      <c r="I108" s="172"/>
    </row>
    <row r="109" spans="2:17" s="21" customFormat="1">
      <c r="I109" s="172"/>
    </row>
    <row r="110" spans="2:17" s="21" customFormat="1">
      <c r="I110" s="172"/>
    </row>
    <row r="111" spans="2:17" s="21" customFormat="1">
      <c r="I111" s="172"/>
    </row>
    <row r="112" spans="2:17"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c r="I312" s="172"/>
    </row>
    <row r="313" spans="9:9" s="21" customFormat="1">
      <c r="I313" s="172"/>
    </row>
    <row r="314" spans="9:9" s="21" customFormat="1">
      <c r="I314" s="172"/>
    </row>
    <row r="315" spans="9:9" s="21" customFormat="1">
      <c r="I315" s="172"/>
    </row>
    <row r="316" spans="9:9" s="21" customFormat="1">
      <c r="I316" s="172"/>
    </row>
    <row r="317" spans="9:9" s="21" customFormat="1">
      <c r="I317" s="172"/>
    </row>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45820</v>
      </c>
      <c r="G2" s="106"/>
      <c r="H2" s="106"/>
      <c r="I2" s="106"/>
      <c r="J2" s="108"/>
      <c r="K2" s="358"/>
    </row>
    <row r="3" spans="1:13" s="101" customFormat="1" ht="18">
      <c r="A3" s="102"/>
      <c r="B3" s="103" t="str">
        <f>'Cover Sheet'!B3</f>
        <v>Monthly Investor Report</v>
      </c>
      <c r="C3" s="103"/>
      <c r="D3" s="111" t="str">
        <f>'Cover Sheet'!D3</f>
        <v>Payment Date</v>
      </c>
      <c r="E3" s="112"/>
      <c r="F3" s="113">
        <f>'Cover Sheet'!F3</f>
        <v>45824</v>
      </c>
      <c r="G3" s="112"/>
      <c r="H3" s="112"/>
      <c r="I3" s="112"/>
      <c r="J3" s="114"/>
      <c r="K3" s="124"/>
    </row>
    <row r="4" spans="1:13" s="101" customFormat="1" ht="13">
      <c r="A4" s="102"/>
      <c r="B4" s="156"/>
      <c r="C4" s="157"/>
      <c r="D4" s="111" t="str">
        <f>'Cover Sheet'!D4</f>
        <v>Period  No</v>
      </c>
      <c r="E4" s="112"/>
      <c r="F4" s="116">
        <f>'Cover Sheet'!F4</f>
        <v>43</v>
      </c>
      <c r="G4" s="112"/>
      <c r="H4" s="117"/>
      <c r="I4" s="112"/>
      <c r="J4" s="118"/>
      <c r="K4" s="358"/>
    </row>
    <row r="5" spans="1:13" s="101" customFormat="1" ht="18">
      <c r="A5" s="102"/>
      <c r="B5" s="159" t="s">
        <v>158</v>
      </c>
      <c r="C5" s="119"/>
      <c r="D5" s="111" t="str">
        <f>'Cover Sheet'!D5</f>
        <v>Monthly Period</v>
      </c>
      <c r="E5" s="112"/>
      <c r="F5" s="120">
        <f>'Cover Sheet'!F5</f>
        <v>45824</v>
      </c>
      <c r="G5" s="112"/>
      <c r="H5" s="117"/>
      <c r="I5" s="112"/>
      <c r="J5" s="118"/>
      <c r="K5" s="124"/>
    </row>
    <row r="6" spans="1:13"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25"/>
    </row>
    <row r="7" spans="1:13"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1796875" style="143" customWidth="1"/>
    <col min="4" max="4" width="18.81640625" style="143" customWidth="1"/>
    <col min="5" max="5" width="18.54296875" style="143" customWidth="1"/>
    <col min="6" max="6" width="19.54296875" style="143" customWidth="1"/>
    <col min="7" max="8" width="19" style="143" customWidth="1"/>
    <col min="9"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45820</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45824</v>
      </c>
      <c r="G3" s="112"/>
      <c r="H3" s="112"/>
      <c r="I3" s="112"/>
      <c r="J3" s="114"/>
      <c r="K3" s="124"/>
      <c r="M3" s="163"/>
      <c r="N3" s="21"/>
      <c r="O3" s="472"/>
      <c r="P3" s="21"/>
      <c r="Q3" s="21"/>
    </row>
    <row r="4" spans="1:17" s="101" customFormat="1" ht="13">
      <c r="A4" s="102"/>
      <c r="B4" s="156"/>
      <c r="C4" s="157"/>
      <c r="D4" s="111" t="str">
        <f>'Cover Sheet'!D4</f>
        <v>Period  No</v>
      </c>
      <c r="E4" s="112"/>
      <c r="F4" s="116">
        <f>'Cover Sheet'!F4</f>
        <v>43</v>
      </c>
      <c r="G4" s="112"/>
      <c r="H4" s="117"/>
      <c r="I4" s="112"/>
      <c r="J4" s="118"/>
      <c r="K4" s="358"/>
      <c r="M4" s="163"/>
      <c r="N4" s="21"/>
      <c r="O4" s="228"/>
      <c r="P4" s="21"/>
      <c r="Q4" s="163"/>
    </row>
    <row r="5" spans="1:17" s="101" customFormat="1" ht="18">
      <c r="A5" s="102"/>
      <c r="B5" s="159" t="s">
        <v>159</v>
      </c>
      <c r="C5" s="119"/>
      <c r="D5" s="111" t="str">
        <f>'Cover Sheet'!D5</f>
        <v>Monthly Period</v>
      </c>
      <c r="E5" s="112"/>
      <c r="F5" s="120">
        <f>'Cover Sheet'!F5</f>
        <v>45824</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K12" s="109"/>
      <c r="M12" s="21"/>
      <c r="N12" s="21"/>
      <c r="O12" s="21"/>
      <c r="P12" s="361"/>
      <c r="Q12" s="361"/>
    </row>
    <row r="13" spans="1:17" s="101" customFormat="1" ht="29">
      <c r="A13" s="102"/>
      <c r="B13" s="171"/>
      <c r="C13" s="171"/>
      <c r="D13" s="517" t="s">
        <v>75</v>
      </c>
      <c r="E13" s="499" t="s">
        <v>71</v>
      </c>
      <c r="F13" s="500" t="s">
        <v>118</v>
      </c>
      <c r="G13" s="501" t="s">
        <v>61</v>
      </c>
      <c r="H13" s="502" t="s">
        <v>119</v>
      </c>
      <c r="I13" s="213"/>
      <c r="K13" s="109"/>
      <c r="M13" s="518"/>
      <c r="N13" s="214"/>
      <c r="O13" s="495"/>
      <c r="P13" s="495"/>
      <c r="Q13" s="213"/>
    </row>
    <row r="14" spans="1:17">
      <c r="A14" s="179"/>
      <c r="B14" s="14"/>
      <c r="C14" s="13"/>
      <c r="D14" s="519" t="s">
        <v>702</v>
      </c>
      <c r="E14" s="520">
        <f t="shared" ref="E14:E28" si="0">VLOOKUP(CONCATENATE("remaining_",D14),Assets_21,3,0)</f>
        <v>2525575.7799999989</v>
      </c>
      <c r="F14" s="521">
        <f>E14/$E$29</f>
        <v>4.9192829372235918E-3</v>
      </c>
      <c r="G14" s="522">
        <f t="shared" ref="G14:G28" si="1">VLOOKUP(CONCATENATE("remaining_",D14),Assets_21,2,0)</f>
        <v>4224</v>
      </c>
      <c r="H14" s="523">
        <f>G14/$G$29</f>
        <v>8.1577473493114963E-2</v>
      </c>
      <c r="I14" s="524"/>
      <c r="K14" s="173"/>
      <c r="M14" s="525"/>
      <c r="N14" s="526"/>
      <c r="O14" s="524"/>
      <c r="P14" s="527"/>
      <c r="Q14" s="524"/>
    </row>
    <row r="15" spans="1:17">
      <c r="A15" s="179"/>
      <c r="B15" s="14"/>
      <c r="C15" s="13"/>
      <c r="D15" s="519" t="s">
        <v>703</v>
      </c>
      <c r="E15" s="520">
        <f t="shared" si="0"/>
        <v>7965358.6700000167</v>
      </c>
      <c r="F15" s="521">
        <f t="shared" ref="F15:F28" si="2">E15/$E$29</f>
        <v>1.5514819751002325E-2</v>
      </c>
      <c r="G15" s="522">
        <f t="shared" si="1"/>
        <v>3799</v>
      </c>
      <c r="H15" s="523">
        <f t="shared" ref="H15:H28" si="3">G15/$G$29</f>
        <v>7.3369512736823808E-2</v>
      </c>
      <c r="I15" s="524"/>
      <c r="K15" s="173"/>
      <c r="M15" s="525"/>
      <c r="N15" s="526"/>
      <c r="O15" s="524"/>
      <c r="P15" s="527"/>
      <c r="Q15" s="524"/>
    </row>
    <row r="16" spans="1:17">
      <c r="A16" s="179"/>
      <c r="B16" s="14"/>
      <c r="C16" s="13"/>
      <c r="D16" s="519" t="s">
        <v>704</v>
      </c>
      <c r="E16" s="520">
        <f t="shared" si="0"/>
        <v>14934871.309999974</v>
      </c>
      <c r="F16" s="521">
        <f t="shared" si="2"/>
        <v>2.9089943840415296E-2</v>
      </c>
      <c r="G16" s="522">
        <f t="shared" si="1"/>
        <v>4336</v>
      </c>
      <c r="H16" s="523">
        <f t="shared" si="3"/>
        <v>8.3740512563008171E-2</v>
      </c>
      <c r="I16" s="524"/>
      <c r="K16" s="173"/>
      <c r="M16" s="525"/>
      <c r="N16" s="526"/>
      <c r="O16" s="524"/>
      <c r="P16" s="527"/>
      <c r="Q16" s="524"/>
    </row>
    <row r="17" spans="1:17">
      <c r="A17" s="179"/>
      <c r="B17" s="14"/>
      <c r="C17" s="13"/>
      <c r="D17" s="519" t="s">
        <v>705</v>
      </c>
      <c r="E17" s="520">
        <f t="shared" si="0"/>
        <v>19182495.560000002</v>
      </c>
      <c r="F17" s="521">
        <f t="shared" si="2"/>
        <v>3.7363409900009165E-2</v>
      </c>
      <c r="G17" s="522">
        <f t="shared" si="1"/>
        <v>3363</v>
      </c>
      <c r="H17" s="523">
        <f t="shared" si="3"/>
        <v>6.4949110643310992E-2</v>
      </c>
      <c r="I17" s="524"/>
      <c r="K17" s="173"/>
      <c r="M17" s="525"/>
      <c r="N17" s="526"/>
      <c r="O17" s="524"/>
      <c r="P17" s="527"/>
      <c r="Q17" s="524"/>
    </row>
    <row r="18" spans="1:17">
      <c r="A18" s="179"/>
      <c r="B18" s="14"/>
      <c r="C18" s="13"/>
      <c r="D18" s="519" t="s">
        <v>706</v>
      </c>
      <c r="E18" s="520">
        <f t="shared" si="0"/>
        <v>32624717.650000017</v>
      </c>
      <c r="F18" s="521">
        <f t="shared" si="2"/>
        <v>6.3545991428292259E-2</v>
      </c>
      <c r="G18" s="522">
        <f t="shared" si="1"/>
        <v>4565</v>
      </c>
      <c r="H18" s="523">
        <f t="shared" si="3"/>
        <v>8.8163154946986233E-2</v>
      </c>
      <c r="I18" s="524"/>
      <c r="K18" s="173"/>
      <c r="M18" s="525"/>
      <c r="N18" s="526"/>
      <c r="O18" s="524"/>
      <c r="P18" s="527"/>
      <c r="Q18" s="524"/>
    </row>
    <row r="19" spans="1:17">
      <c r="A19" s="179"/>
      <c r="B19" s="14"/>
      <c r="C19" s="13"/>
      <c r="D19" s="519" t="s">
        <v>707</v>
      </c>
      <c r="E19" s="520">
        <f t="shared" si="0"/>
        <v>57979600.619999856</v>
      </c>
      <c r="F19" s="521">
        <f t="shared" si="2"/>
        <v>0.11293189548919566</v>
      </c>
      <c r="G19" s="522">
        <f t="shared" si="1"/>
        <v>6557</v>
      </c>
      <c r="H19" s="523">
        <f t="shared" si="3"/>
        <v>0.12663434983294386</v>
      </c>
      <c r="I19" s="524"/>
      <c r="K19" s="173"/>
      <c r="M19" s="525"/>
      <c r="N19" s="526"/>
      <c r="O19" s="524"/>
      <c r="P19" s="527"/>
      <c r="Q19" s="524"/>
    </row>
    <row r="20" spans="1:17">
      <c r="A20" s="179"/>
      <c r="B20" s="14"/>
      <c r="C20" s="13"/>
      <c r="D20" s="519" t="s">
        <v>708</v>
      </c>
      <c r="E20" s="520">
        <f t="shared" si="0"/>
        <v>95576119.020000085</v>
      </c>
      <c r="F20" s="521">
        <f t="shared" si="2"/>
        <v>0.1861618943388576</v>
      </c>
      <c r="G20" s="522">
        <f t="shared" si="1"/>
        <v>7818</v>
      </c>
      <c r="H20" s="523">
        <f t="shared" si="3"/>
        <v>0.1509878522180807</v>
      </c>
      <c r="I20" s="524"/>
      <c r="K20" s="173"/>
      <c r="M20" s="525"/>
      <c r="N20" s="526"/>
      <c r="O20" s="524"/>
      <c r="P20" s="527"/>
      <c r="Q20" s="524"/>
    </row>
    <row r="21" spans="1:17">
      <c r="A21" s="179"/>
      <c r="B21" s="14"/>
      <c r="C21" s="13"/>
      <c r="D21" s="519" t="s">
        <v>709</v>
      </c>
      <c r="E21" s="520">
        <f t="shared" si="0"/>
        <v>165598611.12999991</v>
      </c>
      <c r="F21" s="521">
        <f t="shared" si="2"/>
        <v>0.32255077381195574</v>
      </c>
      <c r="G21" s="522">
        <f t="shared" si="1"/>
        <v>10894</v>
      </c>
      <c r="H21" s="523">
        <f t="shared" si="3"/>
        <v>0.21039417524479037</v>
      </c>
      <c r="I21" s="524"/>
      <c r="K21" s="173"/>
      <c r="M21" s="525"/>
      <c r="N21" s="526"/>
      <c r="O21" s="524"/>
      <c r="P21" s="527"/>
      <c r="Q21" s="524"/>
    </row>
    <row r="22" spans="1:17">
      <c r="A22" s="179"/>
      <c r="B22" s="14"/>
      <c r="C22" s="13"/>
      <c r="D22" s="519" t="s">
        <v>710</v>
      </c>
      <c r="E22" s="520">
        <f t="shared" si="0"/>
        <v>89395626.510000274</v>
      </c>
      <c r="F22" s="521">
        <f t="shared" si="2"/>
        <v>0.17412361317190711</v>
      </c>
      <c r="G22" s="522">
        <f t="shared" si="1"/>
        <v>5023</v>
      </c>
      <c r="H22" s="523">
        <f t="shared" si="3"/>
        <v>9.7008439714942357E-2</v>
      </c>
      <c r="I22" s="524"/>
      <c r="K22" s="173"/>
      <c r="M22" s="525"/>
      <c r="N22" s="526"/>
      <c r="O22" s="524"/>
      <c r="P22" s="527"/>
      <c r="Q22" s="524"/>
    </row>
    <row r="23" spans="1:17">
      <c r="A23" s="179"/>
      <c r="B23" s="14"/>
      <c r="C23" s="13"/>
      <c r="D23" s="519" t="s">
        <v>711</v>
      </c>
      <c r="E23" s="520">
        <f t="shared" si="0"/>
        <v>22176585.850000042</v>
      </c>
      <c r="F23" s="521">
        <f t="shared" si="2"/>
        <v>4.3195259172852621E-2</v>
      </c>
      <c r="G23" s="522">
        <f t="shared" si="1"/>
        <v>1021</v>
      </c>
      <c r="H23" s="523">
        <f t="shared" si="3"/>
        <v>1.9718418663937119E-2</v>
      </c>
      <c r="I23" s="524"/>
      <c r="K23" s="173"/>
      <c r="M23" s="525"/>
      <c r="N23" s="526"/>
      <c r="O23" s="524"/>
      <c r="P23" s="527"/>
      <c r="Q23" s="524"/>
    </row>
    <row r="24" spans="1:17">
      <c r="A24" s="179"/>
      <c r="B24" s="14"/>
      <c r="C24" s="13"/>
      <c r="D24" s="519" t="s">
        <v>712</v>
      </c>
      <c r="E24" s="520">
        <f t="shared" si="0"/>
        <v>3996430.4200000009</v>
      </c>
      <c r="F24" s="521">
        <f t="shared" si="2"/>
        <v>7.7841940561004771E-3</v>
      </c>
      <c r="G24" s="522">
        <f t="shared" si="1"/>
        <v>130</v>
      </c>
      <c r="H24" s="523">
        <f t="shared" si="3"/>
        <v>2.5106703489831783E-3</v>
      </c>
      <c r="I24" s="524"/>
      <c r="K24" s="173"/>
      <c r="M24" s="525"/>
      <c r="N24" s="526"/>
      <c r="O24" s="524"/>
      <c r="P24" s="527"/>
      <c r="Q24" s="524"/>
    </row>
    <row r="25" spans="1:17">
      <c r="A25" s="179"/>
      <c r="B25" s="14"/>
      <c r="C25" s="13"/>
      <c r="D25" s="519" t="s">
        <v>713</v>
      </c>
      <c r="E25" s="520">
        <f t="shared" si="0"/>
        <v>663837.43000000005</v>
      </c>
      <c r="F25" s="521">
        <f t="shared" si="2"/>
        <v>1.2930137231872577E-3</v>
      </c>
      <c r="G25" s="522">
        <f t="shared" si="1"/>
        <v>23</v>
      </c>
      <c r="H25" s="523">
        <f t="shared" si="3"/>
        <v>4.4419552328163925E-4</v>
      </c>
      <c r="I25" s="524"/>
      <c r="K25" s="173"/>
      <c r="M25" s="525"/>
      <c r="N25" s="526"/>
      <c r="O25" s="524"/>
      <c r="P25" s="527"/>
      <c r="Q25" s="524"/>
    </row>
    <row r="26" spans="1:17">
      <c r="A26" s="179"/>
      <c r="B26" s="14"/>
      <c r="C26" s="13"/>
      <c r="D26" s="519" t="s">
        <v>714</v>
      </c>
      <c r="E26" s="520">
        <f t="shared" si="0"/>
        <v>138624.96000000002</v>
      </c>
      <c r="F26" s="521">
        <f t="shared" si="2"/>
        <v>2.7001185464381645E-4</v>
      </c>
      <c r="G26" s="522">
        <f t="shared" si="1"/>
        <v>4</v>
      </c>
      <c r="H26" s="523">
        <f t="shared" si="3"/>
        <v>7.7251395353328576E-5</v>
      </c>
      <c r="I26" s="524"/>
      <c r="K26" s="173"/>
      <c r="M26" s="525"/>
      <c r="N26" s="526"/>
      <c r="O26" s="524"/>
      <c r="P26" s="527"/>
      <c r="Q26" s="524"/>
    </row>
    <row r="27" spans="1:17" ht="12.75" customHeight="1">
      <c r="A27" s="179"/>
      <c r="B27" s="14"/>
      <c r="C27" s="13"/>
      <c r="D27" s="519" t="s">
        <v>715</v>
      </c>
      <c r="E27" s="520">
        <f t="shared" si="0"/>
        <v>168811.37</v>
      </c>
      <c r="F27" s="521">
        <f t="shared" si="2"/>
        <v>3.2880854283863102E-4</v>
      </c>
      <c r="G27" s="522">
        <f t="shared" si="1"/>
        <v>5</v>
      </c>
      <c r="H27" s="523">
        <f t="shared" si="3"/>
        <v>9.6564244191660713E-5</v>
      </c>
      <c r="I27" s="524"/>
      <c r="K27" s="173"/>
      <c r="M27" s="525"/>
      <c r="N27" s="526"/>
      <c r="O27" s="524"/>
      <c r="P27" s="527"/>
      <c r="Q27" s="524"/>
    </row>
    <row r="28" spans="1:17" ht="13" thickBot="1">
      <c r="A28" s="179"/>
      <c r="B28" s="14"/>
      <c r="C28" s="13"/>
      <c r="D28" s="519" t="s">
        <v>716</v>
      </c>
      <c r="E28" s="520">
        <f t="shared" si="0"/>
        <v>475969.97</v>
      </c>
      <c r="F28" s="521">
        <f t="shared" si="2"/>
        <v>9.2708798151834744E-4</v>
      </c>
      <c r="G28" s="522">
        <f t="shared" si="1"/>
        <v>17</v>
      </c>
      <c r="H28" s="523">
        <f t="shared" si="3"/>
        <v>3.283184302516464E-4</v>
      </c>
      <c r="I28" s="524"/>
      <c r="K28" s="173"/>
      <c r="M28" s="525"/>
      <c r="N28" s="526"/>
      <c r="O28" s="524"/>
      <c r="P28" s="527"/>
      <c r="Q28" s="524"/>
    </row>
    <row r="29" spans="1:17" ht="14" thickTop="1" thickBot="1">
      <c r="A29" s="179"/>
      <c r="B29" s="14"/>
      <c r="C29" s="13"/>
      <c r="D29" s="528" t="s">
        <v>36</v>
      </c>
      <c r="E29" s="488">
        <f>SUM(E14:E28)</f>
        <v>513403236.25000024</v>
      </c>
      <c r="F29" s="489">
        <f>SUM(F14:F28)</f>
        <v>0.99999999999999978</v>
      </c>
      <c r="G29" s="490">
        <f>SUM(G14:G28)</f>
        <v>51779</v>
      </c>
      <c r="H29" s="491">
        <f>SUM(H14:H28)</f>
        <v>1</v>
      </c>
      <c r="I29" s="510"/>
      <c r="K29" s="173"/>
      <c r="M29" s="37"/>
      <c r="N29" s="509"/>
      <c r="O29" s="510"/>
      <c r="P29" s="511"/>
      <c r="Q29" s="510"/>
    </row>
    <row r="30" spans="1:17" ht="13">
      <c r="A30" s="179"/>
      <c r="B30" s="14"/>
      <c r="C30" s="13"/>
      <c r="D30" s="141"/>
      <c r="E30" s="492"/>
      <c r="F30" s="226"/>
      <c r="G30" s="493"/>
      <c r="H30" s="226"/>
      <c r="I30" s="510"/>
      <c r="K30" s="173"/>
      <c r="M30" s="37"/>
      <c r="N30" s="509"/>
      <c r="O30" s="510"/>
      <c r="P30" s="511"/>
      <c r="Q30" s="510"/>
    </row>
    <row r="31" spans="1:17" ht="13">
      <c r="A31" s="179"/>
      <c r="B31" s="14"/>
      <c r="C31" s="13"/>
      <c r="D31" s="141"/>
      <c r="E31" s="492"/>
      <c r="F31" s="226"/>
      <c r="G31" s="493"/>
      <c r="H31" s="226"/>
      <c r="I31" s="510"/>
      <c r="K31" s="173"/>
      <c r="M31" s="37"/>
      <c r="N31" s="509"/>
      <c r="O31" s="510"/>
      <c r="P31" s="511"/>
      <c r="Q31" s="510"/>
    </row>
    <row r="32" spans="1:17">
      <c r="A32" s="179"/>
      <c r="B32" s="14"/>
      <c r="C32" s="13"/>
      <c r="D32" s="101"/>
      <c r="E32" s="101"/>
      <c r="F32" s="101"/>
      <c r="G32" s="101"/>
      <c r="H32" s="101"/>
      <c r="I32" s="21"/>
      <c r="J32" s="172"/>
      <c r="K32" s="173"/>
    </row>
    <row r="33" spans="1:17" ht="13.5" thickBot="1">
      <c r="A33" s="179"/>
      <c r="B33" s="14"/>
      <c r="C33" s="13"/>
      <c r="D33" s="514" t="s">
        <v>69</v>
      </c>
      <c r="E33" s="514"/>
      <c r="F33" s="101"/>
      <c r="G33" s="101"/>
      <c r="H33" s="101"/>
      <c r="I33" s="21"/>
      <c r="J33" s="172"/>
      <c r="K33" s="173"/>
      <c r="N33" s="513"/>
    </row>
    <row r="34" spans="1:17" ht="13" thickBot="1">
      <c r="A34" s="179"/>
      <c r="B34" s="14"/>
      <c r="C34" s="13"/>
      <c r="D34" s="515" t="s">
        <v>65</v>
      </c>
      <c r="E34" s="516">
        <f>VLOOKUP(CONCATENATE("remaining_",D34),Assets_21,3,0)</f>
        <v>46.906722897074737</v>
      </c>
      <c r="F34" s="529"/>
      <c r="G34" s="530"/>
      <c r="H34" s="529"/>
      <c r="I34" s="172"/>
      <c r="J34" s="172"/>
      <c r="K34" s="173"/>
      <c r="M34" s="531"/>
      <c r="N34" s="532"/>
      <c r="O34" s="529"/>
      <c r="P34" s="530"/>
      <c r="Q34" s="529"/>
    </row>
    <row r="35" spans="1:17">
      <c r="A35" s="179"/>
      <c r="B35" s="14"/>
      <c r="C35" s="13"/>
      <c r="D35" s="200"/>
      <c r="E35" s="232"/>
      <c r="F35" s="529"/>
      <c r="G35" s="530"/>
      <c r="H35" s="529"/>
      <c r="I35" s="172"/>
      <c r="J35" s="172"/>
      <c r="K35" s="173"/>
      <c r="M35" s="531"/>
      <c r="N35" s="532"/>
      <c r="O35" s="529"/>
      <c r="P35" s="530"/>
      <c r="Q35" s="529"/>
    </row>
    <row r="36" spans="1:17">
      <c r="A36" s="179"/>
      <c r="B36" s="14"/>
      <c r="C36" s="13"/>
      <c r="D36" s="199"/>
      <c r="E36" s="232"/>
      <c r="F36" s="529"/>
      <c r="G36" s="530"/>
      <c r="H36" s="529"/>
      <c r="I36" s="172"/>
      <c r="J36" s="172"/>
      <c r="K36" s="173"/>
      <c r="M36" s="531"/>
      <c r="N36" s="532"/>
      <c r="O36" s="529"/>
      <c r="P36" s="530"/>
      <c r="Q36" s="529"/>
    </row>
    <row r="37" spans="1:17">
      <c r="A37" s="179"/>
      <c r="B37" s="14"/>
      <c r="C37" s="13"/>
      <c r="D37" s="531"/>
      <c r="E37" s="532"/>
      <c r="F37" s="529"/>
      <c r="G37" s="530"/>
      <c r="H37" s="529"/>
      <c r="I37" s="172"/>
      <c r="J37" s="172"/>
      <c r="K37" s="173"/>
      <c r="M37" s="531"/>
      <c r="N37" s="532"/>
      <c r="O37" s="529"/>
      <c r="P37" s="530"/>
      <c r="Q37" s="529"/>
    </row>
    <row r="38" spans="1:17">
      <c r="A38" s="179"/>
      <c r="B38" s="14"/>
      <c r="C38" s="13"/>
      <c r="D38" s="531"/>
      <c r="E38" s="532"/>
      <c r="F38" s="529"/>
      <c r="G38" s="530"/>
      <c r="H38" s="529"/>
      <c r="I38" s="172"/>
      <c r="J38" s="172"/>
      <c r="K38" s="173"/>
      <c r="M38" s="531"/>
      <c r="N38" s="532"/>
      <c r="O38" s="529"/>
      <c r="P38" s="530"/>
      <c r="Q38" s="529"/>
    </row>
    <row r="39" spans="1:17">
      <c r="A39" s="179"/>
      <c r="B39" s="14"/>
      <c r="C39" s="13"/>
      <c r="D39" s="531"/>
      <c r="E39" s="532"/>
      <c r="F39" s="529"/>
      <c r="G39" s="530"/>
      <c r="H39" s="529"/>
      <c r="I39" s="172"/>
      <c r="J39" s="172"/>
      <c r="K39" s="173"/>
      <c r="M39" s="531"/>
      <c r="N39" s="532"/>
      <c r="O39" s="529"/>
      <c r="P39" s="530"/>
      <c r="Q39" s="529"/>
    </row>
    <row r="40" spans="1:17">
      <c r="A40" s="179"/>
      <c r="B40" s="14"/>
      <c r="C40" s="13"/>
      <c r="D40" s="531"/>
      <c r="E40" s="532"/>
      <c r="F40" s="529"/>
      <c r="G40" s="530"/>
      <c r="H40" s="529"/>
      <c r="I40" s="172"/>
      <c r="J40" s="172"/>
      <c r="K40" s="173"/>
      <c r="M40" s="531"/>
      <c r="N40" s="532"/>
      <c r="O40" s="529"/>
      <c r="P40" s="530"/>
      <c r="Q40" s="529"/>
    </row>
    <row r="41" spans="1:17">
      <c r="A41" s="179"/>
      <c r="B41" s="14"/>
      <c r="C41" s="13"/>
      <c r="D41" s="531"/>
      <c r="E41" s="532"/>
      <c r="F41" s="529"/>
      <c r="G41" s="530"/>
      <c r="H41" s="529"/>
      <c r="I41" s="172"/>
      <c r="J41" s="172"/>
      <c r="K41" s="173"/>
      <c r="M41" s="531"/>
      <c r="N41" s="532"/>
      <c r="O41" s="529"/>
      <c r="P41" s="530"/>
      <c r="Q41" s="529"/>
    </row>
    <row r="42" spans="1:17">
      <c r="A42" s="179"/>
      <c r="B42" s="14"/>
      <c r="C42" s="13"/>
      <c r="D42" s="531"/>
      <c r="E42" s="532"/>
      <c r="F42" s="529"/>
      <c r="G42" s="530"/>
      <c r="H42" s="529"/>
      <c r="I42" s="172"/>
      <c r="J42" s="172"/>
      <c r="K42" s="173"/>
      <c r="M42" s="531"/>
      <c r="N42" s="532"/>
      <c r="O42" s="529"/>
      <c r="P42" s="530"/>
      <c r="Q42" s="529"/>
    </row>
    <row r="43" spans="1:17">
      <c r="A43" s="179"/>
      <c r="B43" s="14"/>
      <c r="C43" s="13"/>
      <c r="D43" s="531"/>
      <c r="E43" s="532"/>
      <c r="F43" s="529"/>
      <c r="G43" s="530"/>
      <c r="H43" s="529"/>
      <c r="I43" s="172"/>
      <c r="J43" s="172"/>
      <c r="K43" s="173"/>
      <c r="M43" s="531"/>
      <c r="N43" s="532"/>
      <c r="O43" s="529"/>
      <c r="P43" s="530"/>
      <c r="Q43" s="529"/>
    </row>
    <row r="44" spans="1:17">
      <c r="A44" s="179"/>
      <c r="B44" s="14"/>
      <c r="C44" s="13"/>
      <c r="D44" s="531"/>
      <c r="E44" s="532"/>
      <c r="F44" s="529"/>
      <c r="G44" s="530"/>
      <c r="H44" s="529"/>
      <c r="I44" s="172"/>
      <c r="J44" s="172"/>
      <c r="K44" s="173"/>
      <c r="M44" s="531"/>
      <c r="N44" s="532"/>
      <c r="O44" s="529"/>
      <c r="P44" s="530"/>
      <c r="Q44" s="529"/>
    </row>
    <row r="45" spans="1:17">
      <c r="A45" s="179"/>
      <c r="B45" s="14"/>
      <c r="C45" s="13"/>
      <c r="D45" s="531"/>
      <c r="E45" s="532"/>
      <c r="F45" s="529"/>
      <c r="G45" s="530"/>
      <c r="H45" s="529"/>
      <c r="I45" s="172"/>
      <c r="J45" s="172"/>
      <c r="K45" s="173"/>
      <c r="M45" s="531"/>
      <c r="N45" s="532"/>
      <c r="O45" s="529"/>
      <c r="P45" s="530"/>
      <c r="Q45" s="529"/>
    </row>
    <row r="46" spans="1:17">
      <c r="A46" s="179"/>
      <c r="B46" s="14"/>
      <c r="C46" s="13"/>
      <c r="D46" s="531"/>
      <c r="E46" s="532"/>
      <c r="F46" s="529"/>
      <c r="G46" s="530"/>
      <c r="H46" s="529"/>
      <c r="I46" s="172"/>
      <c r="J46" s="172"/>
      <c r="K46" s="173"/>
      <c r="M46" s="531"/>
      <c r="N46" s="532"/>
      <c r="O46" s="529"/>
      <c r="P46" s="530"/>
      <c r="Q46" s="529"/>
    </row>
    <row r="47" spans="1:17">
      <c r="A47" s="179"/>
      <c r="B47" s="14"/>
      <c r="C47" s="13"/>
      <c r="D47" s="531"/>
      <c r="E47" s="532"/>
      <c r="F47" s="529"/>
      <c r="G47" s="530"/>
      <c r="H47" s="529"/>
      <c r="I47" s="172"/>
      <c r="J47" s="172"/>
      <c r="K47" s="173"/>
      <c r="M47" s="531"/>
      <c r="N47" s="532"/>
      <c r="O47" s="529"/>
      <c r="P47" s="530"/>
      <c r="Q47" s="529"/>
    </row>
    <row r="48" spans="1:17">
      <c r="A48" s="194"/>
      <c r="B48" s="29"/>
      <c r="C48" s="11"/>
      <c r="D48" s="348"/>
      <c r="E48" s="11"/>
      <c r="F48" s="315"/>
      <c r="G48" s="349"/>
      <c r="H48" s="315"/>
      <c r="I48" s="389"/>
      <c r="J48" s="50"/>
      <c r="K48" s="195"/>
      <c r="M48" s="196"/>
      <c r="N48" s="13"/>
      <c r="O48" s="197"/>
      <c r="P48" s="198"/>
      <c r="Q48" s="197"/>
    </row>
    <row r="49" spans="1:17">
      <c r="A49" s="49"/>
      <c r="B49" s="14"/>
      <c r="C49" s="13"/>
      <c r="D49" s="196"/>
      <c r="E49" s="13"/>
      <c r="F49" s="197"/>
      <c r="G49" s="198"/>
      <c r="H49" s="197"/>
      <c r="I49" s="172"/>
      <c r="J49" s="21"/>
      <c r="K49" s="21"/>
      <c r="L49" s="21"/>
      <c r="M49" s="196"/>
      <c r="N49" s="13"/>
      <c r="O49" s="197"/>
      <c r="P49" s="198"/>
      <c r="Q49" s="197"/>
    </row>
    <row r="50" spans="1:17" s="21" customFormat="1">
      <c r="B50" s="14"/>
      <c r="C50" s="13"/>
      <c r="D50" s="196"/>
      <c r="E50" s="13"/>
      <c r="F50" s="197"/>
      <c r="G50" s="198"/>
      <c r="H50" s="197"/>
      <c r="I50" s="172"/>
      <c r="M50" s="196"/>
      <c r="N50" s="13"/>
      <c r="O50" s="197"/>
      <c r="P50" s="198"/>
      <c r="Q50" s="197"/>
    </row>
    <row r="51" spans="1:17" s="21" customFormat="1">
      <c r="B51" s="14"/>
      <c r="C51" s="13"/>
      <c r="D51" s="196"/>
      <c r="E51" s="13"/>
      <c r="F51" s="197"/>
      <c r="G51" s="198"/>
      <c r="H51" s="197"/>
      <c r="I51" s="172"/>
      <c r="M51" s="196"/>
      <c r="N51" s="13"/>
      <c r="O51" s="197"/>
      <c r="P51" s="198"/>
      <c r="Q51" s="197"/>
    </row>
    <row r="52" spans="1:17" s="104" customFormat="1" ht="15" customHeight="1">
      <c r="B52" s="14"/>
      <c r="C52" s="13"/>
      <c r="D52" s="196"/>
      <c r="E52" s="13"/>
      <c r="F52" s="197"/>
      <c r="G52" s="198"/>
      <c r="H52" s="197"/>
      <c r="I52" s="144"/>
      <c r="M52" s="196"/>
      <c r="N52" s="13"/>
      <c r="O52" s="197"/>
      <c r="P52" s="198"/>
      <c r="Q52" s="197"/>
    </row>
    <row r="53" spans="1:17" s="104" customFormat="1">
      <c r="B53" s="14"/>
      <c r="C53" s="13"/>
      <c r="D53" s="196"/>
      <c r="E53" s="13"/>
      <c r="F53" s="197"/>
      <c r="G53" s="198"/>
      <c r="H53" s="197"/>
      <c r="I53" s="144"/>
      <c r="M53" s="196"/>
      <c r="N53" s="13"/>
      <c r="O53" s="197"/>
      <c r="P53" s="198"/>
      <c r="Q53" s="197"/>
    </row>
    <row r="54" spans="1:17" s="21" customFormat="1">
      <c r="B54" s="14"/>
      <c r="C54" s="13"/>
      <c r="D54" s="196"/>
      <c r="E54" s="13"/>
      <c r="F54" s="197"/>
      <c r="G54" s="198"/>
      <c r="H54" s="197"/>
      <c r="I54" s="172"/>
      <c r="M54" s="196"/>
      <c r="N54" s="13"/>
      <c r="O54" s="197"/>
      <c r="P54" s="198"/>
      <c r="Q54" s="197"/>
    </row>
    <row r="55" spans="1:17" s="21" customFormat="1">
      <c r="B55" s="14"/>
      <c r="C55" s="13"/>
      <c r="D55" s="196"/>
      <c r="E55" s="13"/>
      <c r="F55" s="197"/>
      <c r="G55" s="198"/>
      <c r="H55" s="197"/>
      <c r="I55" s="172"/>
      <c r="M55" s="196"/>
      <c r="N55" s="13"/>
      <c r="O55" s="197"/>
      <c r="P55" s="198"/>
      <c r="Q55" s="197"/>
    </row>
    <row r="56" spans="1:17" s="21" customFormat="1">
      <c r="B56" s="14"/>
      <c r="C56" s="13"/>
      <c r="D56" s="196"/>
      <c r="E56" s="13"/>
      <c r="F56" s="197"/>
      <c r="G56" s="198"/>
      <c r="H56" s="197"/>
      <c r="I56" s="172"/>
      <c r="M56" s="196"/>
      <c r="N56" s="13"/>
      <c r="O56" s="197"/>
      <c r="P56" s="198"/>
      <c r="Q56" s="197"/>
    </row>
    <row r="57" spans="1:17" s="21" customFormat="1">
      <c r="B57" s="14"/>
      <c r="C57" s="13"/>
      <c r="D57" s="196"/>
      <c r="E57" s="13"/>
      <c r="F57" s="197"/>
      <c r="G57" s="198"/>
      <c r="H57" s="197"/>
      <c r="I57" s="172"/>
      <c r="M57" s="196"/>
      <c r="N57" s="13"/>
      <c r="O57" s="197"/>
      <c r="P57" s="198"/>
      <c r="Q57" s="197"/>
    </row>
    <row r="58" spans="1:17" s="21" customFormat="1">
      <c r="B58" s="14"/>
      <c r="C58" s="13"/>
      <c r="D58" s="196"/>
      <c r="E58" s="13"/>
      <c r="F58" s="197"/>
      <c r="G58" s="198"/>
      <c r="H58" s="197"/>
      <c r="I58" s="172"/>
      <c r="M58" s="196"/>
      <c r="N58" s="13"/>
      <c r="O58" s="197"/>
      <c r="P58" s="198"/>
      <c r="Q58" s="197"/>
    </row>
    <row r="59" spans="1:17" s="21" customFormat="1">
      <c r="B59" s="14"/>
      <c r="C59" s="13"/>
      <c r="D59" s="196"/>
      <c r="E59" s="13"/>
      <c r="F59" s="197"/>
      <c r="G59" s="198"/>
      <c r="H59" s="197"/>
      <c r="I59" s="172"/>
      <c r="M59" s="196"/>
      <c r="N59" s="13"/>
      <c r="O59" s="197"/>
      <c r="P59" s="198"/>
      <c r="Q59" s="197"/>
    </row>
    <row r="60" spans="1:17" s="21" customFormat="1">
      <c r="B60" s="14"/>
      <c r="C60" s="13"/>
      <c r="D60" s="196"/>
      <c r="E60" s="13"/>
      <c r="F60" s="197"/>
      <c r="G60" s="198"/>
      <c r="H60" s="197"/>
      <c r="I60" s="172"/>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9"/>
      <c r="E82" s="200"/>
      <c r="F82" s="231"/>
      <c r="G82" s="202"/>
      <c r="H82" s="231"/>
      <c r="I82" s="172"/>
      <c r="M82" s="199"/>
      <c r="N82" s="200"/>
      <c r="O82" s="231"/>
      <c r="P82" s="202"/>
      <c r="Q82" s="231"/>
    </row>
    <row r="83" spans="2:17" s="21" customFormat="1">
      <c r="B83" s="14"/>
      <c r="C83" s="13"/>
      <c r="D83" s="199"/>
      <c r="E83" s="199"/>
      <c r="F83" s="199"/>
      <c r="G83" s="199"/>
      <c r="H83" s="199"/>
      <c r="I83" s="172"/>
      <c r="M83" s="199"/>
      <c r="N83" s="199"/>
      <c r="O83" s="199"/>
      <c r="P83" s="199"/>
      <c r="Q83" s="199"/>
    </row>
    <row r="84" spans="2:17" s="21" customFormat="1">
      <c r="B84" s="14"/>
      <c r="C84" s="13"/>
      <c r="D84" s="199"/>
      <c r="E84" s="199"/>
      <c r="F84" s="199"/>
      <c r="G84" s="199"/>
      <c r="H84" s="199"/>
      <c r="I84" s="172"/>
      <c r="M84" s="199"/>
      <c r="N84" s="199"/>
      <c r="O84" s="199"/>
      <c r="P84" s="199"/>
      <c r="Q84" s="199"/>
    </row>
    <row r="85" spans="2:17" s="21" customFormat="1">
      <c r="B85" s="14"/>
      <c r="C85" s="13"/>
      <c r="D85" s="203"/>
      <c r="E85" s="232"/>
      <c r="F85" s="199"/>
      <c r="G85" s="199"/>
      <c r="H85" s="199"/>
      <c r="I85" s="172"/>
      <c r="M85" s="203"/>
      <c r="N85" s="232"/>
      <c r="O85" s="199"/>
      <c r="P85" s="199"/>
      <c r="Q85" s="199"/>
    </row>
    <row r="86" spans="2:17" s="21" customFormat="1">
      <c r="B86" s="14"/>
      <c r="C86" s="13"/>
      <c r="D86" s="200"/>
      <c r="E86" s="232"/>
      <c r="F86" s="199"/>
      <c r="G86" s="199"/>
      <c r="H86" s="199"/>
      <c r="I86" s="172"/>
      <c r="M86" s="200"/>
      <c r="N86" s="232"/>
      <c r="O86" s="199"/>
      <c r="P86" s="199"/>
      <c r="Q86" s="199"/>
    </row>
    <row r="87" spans="2:17" s="21" customFormat="1">
      <c r="B87" s="14"/>
      <c r="C87" s="13"/>
      <c r="D87" s="199"/>
      <c r="E87" s="232"/>
      <c r="F87" s="199"/>
      <c r="G87" s="199"/>
      <c r="H87" s="199"/>
      <c r="I87" s="172"/>
      <c r="M87" s="199"/>
      <c r="N87" s="232"/>
      <c r="O87" s="199"/>
      <c r="P87" s="199"/>
      <c r="Q87" s="199"/>
    </row>
    <row r="88" spans="2:17" s="21" customFormat="1" ht="14">
      <c r="B88" s="199"/>
      <c r="C88" s="200"/>
      <c r="D88" s="205"/>
      <c r="E88" s="205"/>
      <c r="F88" s="205"/>
      <c r="G88" s="205"/>
      <c r="H88" s="205"/>
      <c r="I88" s="172"/>
      <c r="M88" s="205"/>
      <c r="N88" s="205"/>
      <c r="O88" s="205"/>
      <c r="P88" s="205"/>
      <c r="Q88" s="205"/>
    </row>
    <row r="89" spans="2:17" s="21" customFormat="1" ht="14">
      <c r="B89" s="104"/>
      <c r="C89" s="104"/>
      <c r="D89" s="205"/>
      <c r="E89" s="205"/>
      <c r="F89" s="205"/>
      <c r="G89" s="205"/>
      <c r="H89" s="205"/>
      <c r="I89" s="172"/>
      <c r="M89" s="205"/>
      <c r="N89" s="205"/>
      <c r="O89" s="205"/>
      <c r="P89" s="205"/>
      <c r="Q89" s="205"/>
    </row>
    <row r="90" spans="2:17" s="21" customFormat="1" ht="14">
      <c r="B90" s="104"/>
      <c r="C90" s="104"/>
      <c r="D90" s="206"/>
      <c r="E90" s="233"/>
      <c r="F90" s="205"/>
      <c r="G90" s="205"/>
      <c r="H90" s="205"/>
      <c r="I90" s="172"/>
      <c r="M90" s="206"/>
      <c r="N90" s="233"/>
      <c r="O90" s="205"/>
      <c r="P90" s="205"/>
      <c r="Q90" s="205"/>
    </row>
    <row r="91" spans="2:17" s="21" customFormat="1" ht="14">
      <c r="B91" s="203"/>
      <c r="C91" s="232"/>
      <c r="D91" s="208"/>
      <c r="E91" s="233"/>
      <c r="F91" s="205"/>
      <c r="G91" s="205"/>
      <c r="H91" s="205"/>
      <c r="I91" s="172"/>
      <c r="M91" s="208"/>
      <c r="N91" s="233"/>
      <c r="O91" s="205"/>
      <c r="P91" s="205"/>
      <c r="Q91" s="205"/>
    </row>
    <row r="92" spans="2:17" s="21" customFormat="1" ht="14">
      <c r="B92" s="209"/>
      <c r="C92" s="232"/>
      <c r="D92" s="205"/>
      <c r="E92" s="233"/>
      <c r="F92" s="205"/>
      <c r="G92" s="205"/>
      <c r="H92" s="205"/>
      <c r="I92" s="172"/>
      <c r="M92" s="205"/>
      <c r="N92" s="233"/>
      <c r="O92" s="205"/>
      <c r="P92" s="205"/>
      <c r="Q92" s="205"/>
    </row>
    <row r="93" spans="2:17" s="21" customFormat="1">
      <c r="C93" s="232"/>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45820</v>
      </c>
      <c r="G2" s="106"/>
      <c r="H2" s="106"/>
      <c r="I2" s="106"/>
      <c r="J2" s="108"/>
      <c r="K2" s="358"/>
    </row>
    <row r="3" spans="1:13" s="101" customFormat="1" ht="18">
      <c r="A3" s="102"/>
      <c r="B3" s="103" t="str">
        <f>'Cover Sheet'!B3</f>
        <v>Monthly Investor Report</v>
      </c>
      <c r="C3" s="103"/>
      <c r="D3" s="111" t="str">
        <f>'Cover Sheet'!D3</f>
        <v>Payment Date</v>
      </c>
      <c r="E3" s="112"/>
      <c r="F3" s="113">
        <f>'Cover Sheet'!F3</f>
        <v>45824</v>
      </c>
      <c r="G3" s="112"/>
      <c r="H3" s="112"/>
      <c r="I3" s="112"/>
      <c r="J3" s="114"/>
      <c r="K3" s="124"/>
    </row>
    <row r="4" spans="1:13" s="101" customFormat="1" ht="13">
      <c r="A4" s="102"/>
      <c r="B4" s="156"/>
      <c r="C4" s="157"/>
      <c r="D4" s="111" t="str">
        <f>'Cover Sheet'!D4</f>
        <v>Period  No</v>
      </c>
      <c r="E4" s="112"/>
      <c r="F4" s="116">
        <f>'Cover Sheet'!F4</f>
        <v>43</v>
      </c>
      <c r="G4" s="112"/>
      <c r="H4" s="117"/>
      <c r="I4" s="112"/>
      <c r="J4" s="118"/>
      <c r="K4" s="358"/>
    </row>
    <row r="5" spans="1:13" s="101" customFormat="1" ht="18">
      <c r="A5" s="102"/>
      <c r="B5" s="159" t="s">
        <v>160</v>
      </c>
      <c r="C5" s="119"/>
      <c r="D5" s="111" t="str">
        <f>'Cover Sheet'!D5</f>
        <v>Monthly Period</v>
      </c>
      <c r="E5" s="112"/>
      <c r="F5" s="120">
        <f>'Cover Sheet'!F5</f>
        <v>45824</v>
      </c>
      <c r="G5" s="112"/>
      <c r="H5" s="117"/>
      <c r="I5" s="112"/>
      <c r="J5" s="118"/>
      <c r="K5" s="124"/>
    </row>
    <row r="6" spans="1:13"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25"/>
    </row>
    <row r="7" spans="1:13"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453125" style="143" customWidth="1"/>
    <col min="4" max="4" width="18.81640625" style="143" customWidth="1"/>
    <col min="5" max="5" width="20.81640625" style="143" customWidth="1"/>
    <col min="6" max="6" width="19.54296875" style="143" customWidth="1"/>
    <col min="7" max="8" width="19" style="143" customWidth="1"/>
    <col min="9"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45820</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45824</v>
      </c>
      <c r="G3" s="112"/>
      <c r="H3" s="112"/>
      <c r="I3" s="112"/>
      <c r="J3" s="114"/>
      <c r="K3" s="124"/>
      <c r="M3" s="163"/>
      <c r="N3" s="21"/>
      <c r="O3" s="472"/>
      <c r="P3" s="21"/>
      <c r="Q3" s="21"/>
    </row>
    <row r="4" spans="1:17" s="101" customFormat="1" ht="13">
      <c r="A4" s="102"/>
      <c r="B4" s="156"/>
      <c r="C4" s="157"/>
      <c r="D4" s="111" t="str">
        <f>'Cover Sheet'!D4</f>
        <v>Period  No</v>
      </c>
      <c r="E4" s="112"/>
      <c r="F4" s="116">
        <f>'Cover Sheet'!F4</f>
        <v>43</v>
      </c>
      <c r="G4" s="112"/>
      <c r="H4" s="117"/>
      <c r="I4" s="112"/>
      <c r="J4" s="118"/>
      <c r="K4" s="358"/>
      <c r="M4" s="163"/>
      <c r="N4" s="21"/>
      <c r="O4" s="228"/>
      <c r="P4" s="21"/>
      <c r="Q4" s="163"/>
    </row>
    <row r="5" spans="1:17" s="101" customFormat="1" ht="18">
      <c r="A5" s="102"/>
      <c r="B5" s="159" t="s">
        <v>161</v>
      </c>
      <c r="C5" s="119"/>
      <c r="D5" s="111" t="str">
        <f>'Cover Sheet'!D5</f>
        <v>Monthly Period</v>
      </c>
      <c r="E5" s="112"/>
      <c r="F5" s="120">
        <f>'Cover Sheet'!F5</f>
        <v>45824</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21"/>
      <c r="E10" s="104"/>
      <c r="F10" s="144"/>
      <c r="G10" s="104"/>
      <c r="H10" s="104"/>
      <c r="I10" s="21"/>
      <c r="J10" s="21"/>
      <c r="K10" s="109"/>
      <c r="M10" s="21"/>
      <c r="N10" s="21"/>
      <c r="O10" s="172"/>
      <c r="P10" s="21"/>
      <c r="Q10" s="21"/>
    </row>
    <row r="11" spans="1:17" s="101" customFormat="1" ht="18">
      <c r="A11" s="102"/>
      <c r="B11" s="168"/>
      <c r="C11" s="104"/>
      <c r="D11" s="21"/>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J12" s="21"/>
      <c r="K12" s="109"/>
      <c r="M12" s="21"/>
      <c r="N12" s="21"/>
      <c r="O12" s="21"/>
      <c r="P12" s="361"/>
      <c r="Q12" s="361"/>
    </row>
    <row r="13" spans="1:17" s="101" customFormat="1" ht="31.5" customHeight="1">
      <c r="A13" s="102"/>
      <c r="B13" s="171"/>
      <c r="C13" s="171"/>
      <c r="D13" s="498" t="s">
        <v>77</v>
      </c>
      <c r="E13" s="499" t="s">
        <v>71</v>
      </c>
      <c r="F13" s="500" t="s">
        <v>118</v>
      </c>
      <c r="G13" s="501" t="s">
        <v>61</v>
      </c>
      <c r="H13" s="502" t="s">
        <v>119</v>
      </c>
      <c r="I13" s="171"/>
      <c r="J13" s="21"/>
      <c r="K13" s="109"/>
      <c r="M13" s="213"/>
      <c r="N13" s="214"/>
      <c r="O13" s="495"/>
      <c r="P13" s="495"/>
      <c r="Q13" s="216"/>
    </row>
    <row r="14" spans="1:17">
      <c r="A14" s="179"/>
      <c r="B14" s="14"/>
      <c r="C14" s="13"/>
      <c r="D14" s="503" t="s">
        <v>717</v>
      </c>
      <c r="E14" s="504">
        <f t="shared" ref="E14:E29" si="0">VLOOKUP(CONCATENATE("origterm_",D14),Assets_21,3,0)</f>
        <v>-16493.349999999999</v>
      </c>
      <c r="F14" s="505">
        <f>E14/$E$30</f>
        <v>-3.2125527919283648E-5</v>
      </c>
      <c r="G14" s="506">
        <f t="shared" ref="G14:G29" si="1">VLOOKUP(CONCATENATE("origterm_",D14),Assets_21,2,0)</f>
        <v>12</v>
      </c>
      <c r="H14" s="507">
        <f>G14/$G$30</f>
        <v>2.317541860599857E-4</v>
      </c>
      <c r="I14" s="218"/>
      <c r="J14" s="21"/>
      <c r="K14" s="173"/>
      <c r="N14" s="364"/>
      <c r="O14" s="218"/>
      <c r="P14" s="365"/>
      <c r="Q14" s="218"/>
    </row>
    <row r="15" spans="1:17">
      <c r="A15" s="179"/>
      <c r="B15" s="14"/>
      <c r="C15" s="13"/>
      <c r="D15" s="503" t="s">
        <v>704</v>
      </c>
      <c r="E15" s="504">
        <f t="shared" si="0"/>
        <v>-1419.16</v>
      </c>
      <c r="F15" s="505">
        <f t="shared" ref="F15:F29" si="2">E15/$E$30</f>
        <v>-2.7642209861508174E-6</v>
      </c>
      <c r="G15" s="506">
        <f t="shared" si="1"/>
        <v>14</v>
      </c>
      <c r="H15" s="507">
        <f t="shared" ref="H15:H29" si="3">G15/$G$30</f>
        <v>2.7037988373665E-4</v>
      </c>
      <c r="I15" s="218"/>
      <c r="J15" s="21"/>
      <c r="K15" s="173"/>
      <c r="N15" s="364"/>
      <c r="O15" s="218"/>
      <c r="P15" s="365"/>
      <c r="Q15" s="218"/>
    </row>
    <row r="16" spans="1:17">
      <c r="A16" s="179"/>
      <c r="B16" s="14"/>
      <c r="C16" s="13"/>
      <c r="D16" s="503" t="s">
        <v>705</v>
      </c>
      <c r="E16" s="504">
        <f t="shared" si="0"/>
        <v>-39063.72</v>
      </c>
      <c r="F16" s="505">
        <f t="shared" si="2"/>
        <v>-7.6087794625778215E-5</v>
      </c>
      <c r="G16" s="506">
        <f t="shared" si="1"/>
        <v>19</v>
      </c>
      <c r="H16" s="507">
        <f t="shared" si="3"/>
        <v>3.669441279283107E-4</v>
      </c>
      <c r="I16" s="218"/>
      <c r="J16" s="21"/>
      <c r="K16" s="173"/>
      <c r="N16" s="364"/>
      <c r="O16" s="218"/>
      <c r="P16" s="365"/>
      <c r="Q16" s="218"/>
    </row>
    <row r="17" spans="1:17">
      <c r="A17" s="179"/>
      <c r="B17" s="14"/>
      <c r="C17" s="13"/>
      <c r="D17" s="503" t="s">
        <v>706</v>
      </c>
      <c r="E17" s="504">
        <f t="shared" si="0"/>
        <v>-9680.35</v>
      </c>
      <c r="F17" s="505">
        <f t="shared" si="2"/>
        <v>-1.8855257069875889E-5</v>
      </c>
      <c r="G17" s="506">
        <f t="shared" si="1"/>
        <v>20</v>
      </c>
      <c r="H17" s="507">
        <f t="shared" si="3"/>
        <v>3.8625697676664285E-4</v>
      </c>
      <c r="I17" s="218"/>
      <c r="J17" s="21"/>
      <c r="K17" s="173"/>
      <c r="N17" s="364"/>
      <c r="O17" s="218"/>
      <c r="P17" s="365"/>
      <c r="Q17" s="218"/>
    </row>
    <row r="18" spans="1:17">
      <c r="A18" s="179"/>
      <c r="B18" s="14"/>
      <c r="C18" s="13"/>
      <c r="D18" s="503" t="s">
        <v>707</v>
      </c>
      <c r="E18" s="504">
        <f t="shared" si="0"/>
        <v>84917.000000000029</v>
      </c>
      <c r="F18" s="505">
        <f t="shared" si="2"/>
        <v>1.6540020398050188E-4</v>
      </c>
      <c r="G18" s="506">
        <f t="shared" si="1"/>
        <v>249</v>
      </c>
      <c r="H18" s="507">
        <f t="shared" si="3"/>
        <v>4.8088993607447034E-3</v>
      </c>
      <c r="I18" s="218"/>
      <c r="J18" s="21"/>
      <c r="K18" s="173"/>
      <c r="N18" s="364"/>
      <c r="O18" s="218"/>
      <c r="P18" s="365"/>
      <c r="Q18" s="218"/>
    </row>
    <row r="19" spans="1:17">
      <c r="A19" s="179"/>
      <c r="B19" s="14"/>
      <c r="C19" s="13"/>
      <c r="D19" s="503" t="s">
        <v>708</v>
      </c>
      <c r="E19" s="504">
        <f t="shared" si="0"/>
        <v>432042.43000000028</v>
      </c>
      <c r="F19" s="505">
        <f t="shared" si="2"/>
        <v>8.4152650294089194E-4</v>
      </c>
      <c r="G19" s="506">
        <f t="shared" si="1"/>
        <v>481</v>
      </c>
      <c r="H19" s="507">
        <f t="shared" si="3"/>
        <v>9.2894802912377606E-3</v>
      </c>
      <c r="I19" s="218"/>
      <c r="J19" s="21"/>
      <c r="K19" s="173"/>
      <c r="N19" s="364"/>
      <c r="O19" s="218"/>
      <c r="P19" s="365"/>
      <c r="Q19" s="218"/>
    </row>
    <row r="20" spans="1:17">
      <c r="A20" s="179"/>
      <c r="B20" s="14"/>
      <c r="C20" s="13"/>
      <c r="D20" s="503" t="s">
        <v>709</v>
      </c>
      <c r="E20" s="504">
        <f t="shared" si="0"/>
        <v>4671832.0299999882</v>
      </c>
      <c r="F20" s="505">
        <f t="shared" si="2"/>
        <v>9.0997323353938543E-3</v>
      </c>
      <c r="G20" s="506">
        <f t="shared" si="1"/>
        <v>4586</v>
      </c>
      <c r="H20" s="507">
        <f t="shared" si="3"/>
        <v>8.8568724772591201E-2</v>
      </c>
      <c r="I20" s="218"/>
      <c r="J20" s="21"/>
      <c r="K20" s="173"/>
      <c r="N20" s="364"/>
      <c r="O20" s="218"/>
      <c r="P20" s="365"/>
      <c r="Q20" s="218"/>
    </row>
    <row r="21" spans="1:17">
      <c r="A21" s="179"/>
      <c r="B21" s="14"/>
      <c r="C21" s="13"/>
      <c r="D21" s="503" t="s">
        <v>710</v>
      </c>
      <c r="E21" s="504">
        <f t="shared" si="0"/>
        <v>17564027.799999975</v>
      </c>
      <c r="F21" s="505">
        <f t="shared" si="2"/>
        <v>3.421097990790066E-2</v>
      </c>
      <c r="G21" s="506">
        <f t="shared" si="1"/>
        <v>6219</v>
      </c>
      <c r="H21" s="507">
        <f t="shared" si="3"/>
        <v>0.1201066069255876</v>
      </c>
      <c r="I21" s="218"/>
      <c r="J21" s="21"/>
      <c r="K21" s="173"/>
      <c r="N21" s="364"/>
      <c r="O21" s="218"/>
      <c r="P21" s="365"/>
      <c r="Q21" s="218"/>
    </row>
    <row r="22" spans="1:17">
      <c r="A22" s="179"/>
      <c r="B22" s="14"/>
      <c r="C22" s="13"/>
      <c r="D22" s="503" t="s">
        <v>711</v>
      </c>
      <c r="E22" s="504">
        <f t="shared" si="0"/>
        <v>6251905.4299999997</v>
      </c>
      <c r="F22" s="505">
        <f t="shared" si="2"/>
        <v>1.2177378303388095E-2</v>
      </c>
      <c r="G22" s="506">
        <f t="shared" si="1"/>
        <v>1265</v>
      </c>
      <c r="H22" s="507">
        <f t="shared" si="3"/>
        <v>2.4430753780490162E-2</v>
      </c>
      <c r="I22" s="218"/>
      <c r="J22" s="21"/>
      <c r="K22" s="173"/>
      <c r="N22" s="364"/>
      <c r="O22" s="218"/>
      <c r="P22" s="365"/>
      <c r="Q22" s="218"/>
    </row>
    <row r="23" spans="1:17">
      <c r="A23" s="179"/>
      <c r="B23" s="14"/>
      <c r="C23" s="13"/>
      <c r="D23" s="503" t="s">
        <v>712</v>
      </c>
      <c r="E23" s="504">
        <f t="shared" si="0"/>
        <v>28766540.019999985</v>
      </c>
      <c r="F23" s="505">
        <f t="shared" si="2"/>
        <v>5.603108431905586E-2</v>
      </c>
      <c r="G23" s="506">
        <f t="shared" si="1"/>
        <v>4691</v>
      </c>
      <c r="H23" s="507">
        <f t="shared" si="3"/>
        <v>9.0596573900616081E-2</v>
      </c>
      <c r="I23" s="218"/>
      <c r="J23" s="21"/>
      <c r="K23" s="173"/>
      <c r="N23" s="364"/>
      <c r="O23" s="218"/>
      <c r="P23" s="365"/>
      <c r="Q23" s="218"/>
    </row>
    <row r="24" spans="1:17">
      <c r="A24" s="179"/>
      <c r="B24" s="14"/>
      <c r="C24" s="13"/>
      <c r="D24" s="503" t="s">
        <v>713</v>
      </c>
      <c r="E24" s="504">
        <f t="shared" si="0"/>
        <v>11545448.809999993</v>
      </c>
      <c r="F24" s="505">
        <f t="shared" si="2"/>
        <v>2.2488071743236818E-2</v>
      </c>
      <c r="G24" s="506">
        <f t="shared" si="1"/>
        <v>1148</v>
      </c>
      <c r="H24" s="507">
        <f t="shared" si="3"/>
        <v>2.21711504664053E-2</v>
      </c>
      <c r="I24" s="218"/>
      <c r="J24" s="21"/>
      <c r="K24" s="173"/>
      <c r="N24" s="364"/>
      <c r="O24" s="218"/>
      <c r="P24" s="365"/>
      <c r="Q24" s="218"/>
    </row>
    <row r="25" spans="1:17">
      <c r="A25" s="179"/>
      <c r="B25" s="14"/>
      <c r="C25" s="13"/>
      <c r="D25" s="503" t="s">
        <v>714</v>
      </c>
      <c r="E25" s="504">
        <f t="shared" si="0"/>
        <v>90091320.579999954</v>
      </c>
      <c r="F25" s="505">
        <f t="shared" si="2"/>
        <v>0.17547867683508336</v>
      </c>
      <c r="G25" s="506">
        <f t="shared" si="1"/>
        <v>10489</v>
      </c>
      <c r="H25" s="507">
        <f t="shared" si="3"/>
        <v>0.20257247146526583</v>
      </c>
      <c r="I25" s="218"/>
      <c r="J25" s="21"/>
      <c r="K25" s="173"/>
      <c r="N25" s="364"/>
      <c r="O25" s="218"/>
      <c r="P25" s="365"/>
      <c r="Q25" s="218"/>
    </row>
    <row r="26" spans="1:17">
      <c r="A26" s="179"/>
      <c r="B26" s="14"/>
      <c r="C26" s="13"/>
      <c r="D26" s="503" t="s">
        <v>715</v>
      </c>
      <c r="E26" s="504">
        <f t="shared" si="0"/>
        <v>194728123.39000109</v>
      </c>
      <c r="F26" s="505">
        <f t="shared" si="2"/>
        <v>0.37928885063587392</v>
      </c>
      <c r="G26" s="506">
        <f t="shared" si="1"/>
        <v>13503</v>
      </c>
      <c r="H26" s="507">
        <f t="shared" si="3"/>
        <v>0.2607813978639989</v>
      </c>
      <c r="I26" s="218"/>
      <c r="J26" s="21"/>
      <c r="K26" s="173"/>
      <c r="N26" s="364"/>
      <c r="O26" s="218"/>
      <c r="P26" s="365"/>
      <c r="Q26" s="218"/>
    </row>
    <row r="27" spans="1:17">
      <c r="A27" s="179"/>
      <c r="B27" s="14"/>
      <c r="C27" s="13"/>
      <c r="D27" s="503" t="s">
        <v>718</v>
      </c>
      <c r="E27" s="504">
        <f t="shared" si="0"/>
        <v>130609311.6100004</v>
      </c>
      <c r="F27" s="505">
        <f t="shared" si="2"/>
        <v>0.25439908124459165</v>
      </c>
      <c r="G27" s="506">
        <f t="shared" si="1"/>
        <v>7988</v>
      </c>
      <c r="H27" s="507">
        <f t="shared" si="3"/>
        <v>0.15427103652059715</v>
      </c>
      <c r="I27" s="218"/>
      <c r="J27" s="21"/>
      <c r="K27" s="173"/>
      <c r="N27" s="364"/>
      <c r="O27" s="218"/>
      <c r="P27" s="365"/>
      <c r="Q27" s="218"/>
    </row>
    <row r="28" spans="1:17">
      <c r="A28" s="179"/>
      <c r="B28" s="14"/>
      <c r="C28" s="13"/>
      <c r="D28" s="503" t="s">
        <v>719</v>
      </c>
      <c r="E28" s="504">
        <f t="shared" si="0"/>
        <v>22035820.049999993</v>
      </c>
      <c r="F28" s="505">
        <f t="shared" si="2"/>
        <v>4.2921077418510201E-2</v>
      </c>
      <c r="G28" s="506">
        <f t="shared" si="1"/>
        <v>861</v>
      </c>
      <c r="H28" s="507">
        <f t="shared" si="3"/>
        <v>1.6628362849803974E-2</v>
      </c>
      <c r="I28" s="218"/>
      <c r="J28" s="21"/>
      <c r="K28" s="173"/>
      <c r="N28" s="364"/>
      <c r="O28" s="218"/>
      <c r="P28" s="365"/>
      <c r="Q28" s="218"/>
    </row>
    <row r="29" spans="1:17" ht="13" thickBot="1">
      <c r="A29" s="179"/>
      <c r="B29" s="14"/>
      <c r="C29" s="13"/>
      <c r="D29" s="503" t="s">
        <v>720</v>
      </c>
      <c r="E29" s="504">
        <f t="shared" si="0"/>
        <v>6688603.6800000006</v>
      </c>
      <c r="F29" s="505">
        <f t="shared" si="2"/>
        <v>1.3027973350645162E-2</v>
      </c>
      <c r="G29" s="506">
        <f t="shared" si="1"/>
        <v>234</v>
      </c>
      <c r="H29" s="507">
        <f t="shared" si="3"/>
        <v>4.5192066281697215E-3</v>
      </c>
      <c r="I29" s="218"/>
      <c r="J29" s="21"/>
      <c r="K29" s="173"/>
      <c r="N29" s="364"/>
      <c r="O29" s="218"/>
      <c r="P29" s="365"/>
      <c r="Q29" s="218"/>
    </row>
    <row r="30" spans="1:17" ht="14" thickTop="1" thickBot="1">
      <c r="A30" s="179"/>
      <c r="B30" s="14"/>
      <c r="C30" s="13"/>
      <c r="D30" s="487" t="s">
        <v>36</v>
      </c>
      <c r="E30" s="488">
        <f>SUM(E14:E29)</f>
        <v>513403236.25000143</v>
      </c>
      <c r="F30" s="489">
        <f>SUM(F14:F29)</f>
        <v>0.99999999999999989</v>
      </c>
      <c r="G30" s="490">
        <f>SUM(G14:G29)</f>
        <v>51779</v>
      </c>
      <c r="H30" s="491">
        <f>SUM(H14:H29)</f>
        <v>0.99999999999999989</v>
      </c>
      <c r="I30" s="21"/>
      <c r="J30" s="21"/>
      <c r="K30" s="173"/>
      <c r="M30" s="508"/>
      <c r="N30" s="509"/>
      <c r="O30" s="510"/>
      <c r="P30" s="511"/>
      <c r="Q30" s="510"/>
    </row>
    <row r="31" spans="1:17" ht="18" customHeight="1">
      <c r="A31" s="179"/>
      <c r="B31" s="14"/>
      <c r="C31" s="13"/>
      <c r="D31" s="101"/>
      <c r="E31" s="101"/>
      <c r="F31" s="101"/>
      <c r="G31" s="101"/>
      <c r="H31" s="101"/>
      <c r="I31" s="21"/>
      <c r="J31" s="21"/>
      <c r="K31" s="173"/>
    </row>
    <row r="32" spans="1:17">
      <c r="A32" s="179"/>
      <c r="B32" s="14"/>
      <c r="C32" s="13"/>
      <c r="D32" s="101"/>
      <c r="E32" s="101"/>
      <c r="F32" s="101"/>
      <c r="G32" s="101"/>
      <c r="H32" s="101"/>
      <c r="I32" s="21"/>
      <c r="J32" s="21"/>
      <c r="K32" s="173"/>
    </row>
    <row r="33" spans="1:14">
      <c r="A33" s="179"/>
      <c r="B33" s="14"/>
      <c r="C33" s="13"/>
      <c r="D33" s="101"/>
      <c r="E33" s="512"/>
      <c r="F33" s="101"/>
      <c r="G33" s="101"/>
      <c r="H33" s="101"/>
      <c r="I33" s="21"/>
      <c r="J33" s="21"/>
      <c r="K33" s="173"/>
      <c r="N33" s="513"/>
    </row>
    <row r="34" spans="1:14" ht="13.5" thickBot="1">
      <c r="A34" s="179"/>
      <c r="B34" s="14"/>
      <c r="C34" s="13"/>
      <c r="D34" s="514" t="s">
        <v>69</v>
      </c>
      <c r="E34" s="514"/>
      <c r="F34" s="101"/>
      <c r="G34" s="101"/>
      <c r="H34" s="101"/>
      <c r="I34" s="223"/>
      <c r="J34" s="21"/>
      <c r="K34" s="173"/>
    </row>
    <row r="35" spans="1:14" ht="13" thickBot="1">
      <c r="A35" s="179"/>
      <c r="B35" s="14"/>
      <c r="C35" s="13"/>
      <c r="D35" s="515" t="s">
        <v>66</v>
      </c>
      <c r="E35" s="516">
        <f>VLOOKUP(CONCATENATE("origterm_",D35),Assets_21,3,0)</f>
        <v>92.401185687247889</v>
      </c>
      <c r="F35" s="21"/>
      <c r="G35" s="21"/>
      <c r="H35" s="21"/>
      <c r="I35" s="21"/>
      <c r="J35" s="21"/>
      <c r="K35" s="173"/>
    </row>
    <row r="36" spans="1:14">
      <c r="A36" s="179"/>
      <c r="B36" s="14"/>
      <c r="C36" s="13"/>
      <c r="D36" s="200"/>
      <c r="E36" s="232"/>
      <c r="F36" s="21"/>
      <c r="G36" s="21"/>
      <c r="H36" s="21"/>
      <c r="I36" s="21"/>
      <c r="J36" s="21"/>
      <c r="K36" s="173"/>
    </row>
    <row r="37" spans="1:14">
      <c r="A37" s="179"/>
      <c r="B37" s="14"/>
      <c r="C37" s="13"/>
      <c r="D37" s="199"/>
      <c r="E37" s="232"/>
      <c r="F37" s="21"/>
      <c r="G37" s="21"/>
      <c r="H37" s="21"/>
      <c r="I37" s="21"/>
      <c r="J37" s="21"/>
      <c r="K37" s="173"/>
    </row>
    <row r="38" spans="1:14">
      <c r="A38" s="179"/>
      <c r="B38" s="14"/>
      <c r="C38" s="13"/>
      <c r="D38" s="21"/>
      <c r="E38" s="21"/>
      <c r="F38" s="21"/>
      <c r="G38" s="21"/>
      <c r="H38" s="21"/>
      <c r="I38" s="21"/>
      <c r="J38" s="21"/>
      <c r="K38" s="173"/>
    </row>
    <row r="39" spans="1:14">
      <c r="A39" s="179"/>
      <c r="B39" s="14"/>
      <c r="C39" s="13"/>
      <c r="D39" s="21"/>
      <c r="E39" s="21"/>
      <c r="F39" s="21"/>
      <c r="G39" s="21"/>
      <c r="H39" s="21"/>
      <c r="I39" s="21"/>
      <c r="J39" s="21"/>
      <c r="K39" s="173"/>
    </row>
    <row r="40" spans="1:14">
      <c r="A40" s="179"/>
      <c r="B40" s="14"/>
      <c r="C40" s="13"/>
      <c r="D40" s="21"/>
      <c r="E40" s="21"/>
      <c r="F40" s="21"/>
      <c r="G40" s="21"/>
      <c r="H40" s="21"/>
      <c r="I40" s="21"/>
      <c r="J40" s="21"/>
      <c r="K40" s="173"/>
    </row>
    <row r="41" spans="1:14">
      <c r="A41" s="179"/>
      <c r="B41" s="14"/>
      <c r="C41" s="13"/>
      <c r="D41" s="21"/>
      <c r="E41" s="21"/>
      <c r="F41" s="21"/>
      <c r="G41" s="21"/>
      <c r="H41" s="21"/>
      <c r="I41" s="21"/>
      <c r="J41" s="21"/>
      <c r="K41" s="173"/>
    </row>
    <row r="42" spans="1:14">
      <c r="A42" s="179"/>
      <c r="B42" s="14"/>
      <c r="C42" s="13"/>
      <c r="D42" s="21"/>
      <c r="E42" s="21"/>
      <c r="F42" s="21"/>
      <c r="G42" s="21"/>
      <c r="H42" s="21"/>
      <c r="I42" s="21"/>
      <c r="J42" s="21"/>
      <c r="K42" s="173"/>
    </row>
    <row r="43" spans="1:14">
      <c r="A43" s="179"/>
      <c r="B43" s="14"/>
      <c r="C43" s="13"/>
      <c r="D43" s="21"/>
      <c r="E43" s="21"/>
      <c r="F43" s="21"/>
      <c r="G43" s="21"/>
      <c r="H43" s="21"/>
      <c r="I43" s="21"/>
      <c r="J43" s="21"/>
      <c r="K43" s="173"/>
    </row>
    <row r="44" spans="1:14">
      <c r="A44" s="179"/>
      <c r="B44" s="14"/>
      <c r="C44" s="13"/>
      <c r="D44" s="21"/>
      <c r="E44" s="21"/>
      <c r="F44" s="21"/>
      <c r="G44" s="21"/>
      <c r="H44" s="21"/>
      <c r="I44" s="21"/>
      <c r="J44" s="21"/>
      <c r="K44" s="173"/>
    </row>
    <row r="45" spans="1:14">
      <c r="A45" s="179"/>
      <c r="B45" s="14"/>
      <c r="C45" s="13"/>
      <c r="D45" s="21"/>
      <c r="E45" s="21"/>
      <c r="F45" s="21"/>
      <c r="G45" s="21"/>
      <c r="H45" s="21"/>
      <c r="I45" s="21"/>
      <c r="J45" s="21"/>
      <c r="K45" s="173"/>
    </row>
    <row r="46" spans="1:14">
      <c r="A46" s="179"/>
      <c r="B46" s="14"/>
      <c r="C46" s="13"/>
      <c r="D46" s="21"/>
      <c r="E46" s="21"/>
      <c r="F46" s="21"/>
      <c r="G46" s="21"/>
      <c r="H46" s="21"/>
      <c r="I46" s="21"/>
      <c r="J46" s="21"/>
      <c r="K46" s="173"/>
    </row>
    <row r="47" spans="1:14">
      <c r="A47" s="179"/>
      <c r="B47" s="14"/>
      <c r="C47" s="13"/>
      <c r="D47" s="21"/>
      <c r="E47" s="21"/>
      <c r="F47" s="21"/>
      <c r="G47" s="21"/>
      <c r="H47" s="21"/>
      <c r="I47" s="21"/>
      <c r="J47" s="21"/>
      <c r="K47" s="173"/>
    </row>
    <row r="48" spans="1:14">
      <c r="A48" s="179"/>
      <c r="B48" s="14"/>
      <c r="C48" s="13"/>
      <c r="D48" s="21"/>
      <c r="E48" s="21"/>
      <c r="F48" s="21"/>
      <c r="G48" s="21"/>
      <c r="H48" s="21"/>
      <c r="I48" s="21"/>
      <c r="J48" s="21"/>
      <c r="K48" s="173"/>
    </row>
    <row r="49" spans="1:17">
      <c r="A49" s="179"/>
      <c r="B49" s="14"/>
      <c r="C49" s="13"/>
      <c r="D49" s="21"/>
      <c r="E49" s="21"/>
      <c r="F49" s="21"/>
      <c r="G49" s="21"/>
      <c r="H49" s="21"/>
      <c r="I49" s="21"/>
      <c r="J49" s="21"/>
      <c r="K49" s="173"/>
    </row>
    <row r="50" spans="1:17">
      <c r="A50" s="179"/>
      <c r="B50" s="14"/>
      <c r="C50" s="13"/>
      <c r="D50" s="21"/>
      <c r="E50" s="21"/>
      <c r="F50" s="21"/>
      <c r="G50" s="21"/>
      <c r="H50" s="21"/>
      <c r="I50" s="21"/>
      <c r="J50" s="21"/>
      <c r="K50" s="173"/>
    </row>
    <row r="51" spans="1:17">
      <c r="A51" s="179"/>
      <c r="B51" s="14"/>
      <c r="C51" s="13"/>
      <c r="D51" s="21"/>
      <c r="E51" s="21"/>
      <c r="F51" s="21"/>
      <c r="G51" s="21"/>
      <c r="H51" s="21"/>
      <c r="I51" s="21"/>
      <c r="J51" s="21"/>
      <c r="K51" s="173"/>
    </row>
    <row r="52" spans="1:17">
      <c r="A52" s="179"/>
      <c r="B52" s="14"/>
      <c r="C52" s="13"/>
      <c r="D52" s="21"/>
      <c r="E52" s="21"/>
      <c r="F52" s="21"/>
      <c r="G52" s="21"/>
      <c r="H52" s="21"/>
      <c r="I52" s="21"/>
      <c r="J52" s="21"/>
      <c r="K52" s="173"/>
    </row>
    <row r="53" spans="1:17">
      <c r="A53" s="179"/>
      <c r="B53" s="14"/>
      <c r="C53" s="13"/>
      <c r="D53" s="21"/>
      <c r="E53" s="21"/>
      <c r="F53" s="21"/>
      <c r="G53" s="21"/>
      <c r="H53" s="21"/>
      <c r="I53" s="21"/>
      <c r="J53" s="21"/>
      <c r="K53" s="173"/>
    </row>
    <row r="54" spans="1:17">
      <c r="A54" s="179"/>
      <c r="B54" s="14"/>
      <c r="C54" s="13"/>
      <c r="D54" s="21"/>
      <c r="E54" s="21"/>
      <c r="F54" s="21"/>
      <c r="G54" s="21"/>
      <c r="H54" s="21"/>
      <c r="I54" s="21"/>
      <c r="J54" s="21"/>
      <c r="K54" s="173"/>
    </row>
    <row r="55" spans="1:17">
      <c r="A55" s="194"/>
      <c r="B55" s="29"/>
      <c r="C55" s="11"/>
      <c r="D55" s="348"/>
      <c r="E55" s="11"/>
      <c r="F55" s="315"/>
      <c r="G55" s="349"/>
      <c r="H55" s="315"/>
      <c r="I55" s="389"/>
      <c r="J55" s="50"/>
      <c r="K55" s="195"/>
      <c r="M55" s="196"/>
      <c r="N55" s="13"/>
      <c r="O55" s="197"/>
      <c r="P55" s="198"/>
      <c r="Q55" s="197"/>
    </row>
    <row r="56" spans="1:17">
      <c r="A56" s="49"/>
      <c r="B56" s="14"/>
      <c r="C56" s="13"/>
      <c r="D56" s="196"/>
      <c r="E56" s="13"/>
      <c r="F56" s="197"/>
      <c r="G56" s="198"/>
      <c r="H56" s="197"/>
      <c r="I56" s="172"/>
      <c r="J56" s="21"/>
      <c r="K56" s="21"/>
      <c r="L56" s="21"/>
      <c r="M56" s="196"/>
      <c r="N56" s="13"/>
      <c r="O56" s="197"/>
      <c r="P56" s="198"/>
      <c r="Q56" s="197"/>
    </row>
    <row r="57" spans="1:17" s="21" customFormat="1">
      <c r="B57" s="14"/>
      <c r="C57" s="13"/>
      <c r="D57" s="196"/>
      <c r="E57" s="13"/>
      <c r="F57" s="197"/>
      <c r="G57" s="198"/>
      <c r="H57" s="197"/>
      <c r="I57" s="172"/>
      <c r="M57" s="196"/>
      <c r="N57" s="13"/>
      <c r="O57" s="197"/>
      <c r="P57" s="198"/>
      <c r="Q57" s="197"/>
    </row>
    <row r="58" spans="1:17" s="21" customFormat="1">
      <c r="B58" s="14"/>
      <c r="C58" s="13"/>
      <c r="D58" s="196"/>
      <c r="E58" s="13"/>
      <c r="F58" s="197"/>
      <c r="G58" s="198"/>
      <c r="H58" s="197"/>
      <c r="I58" s="172"/>
      <c r="M58" s="196"/>
      <c r="N58" s="13"/>
      <c r="O58" s="197"/>
      <c r="P58" s="198"/>
      <c r="Q58" s="197"/>
    </row>
    <row r="59" spans="1:17" s="104" customFormat="1" ht="15" customHeight="1">
      <c r="B59" s="14"/>
      <c r="C59" s="13"/>
      <c r="D59" s="196"/>
      <c r="E59" s="13"/>
      <c r="F59" s="197"/>
      <c r="G59" s="198"/>
      <c r="H59" s="197"/>
      <c r="I59" s="144"/>
      <c r="M59" s="196"/>
      <c r="N59" s="13"/>
      <c r="O59" s="197"/>
      <c r="P59" s="198"/>
      <c r="Q59" s="197"/>
    </row>
    <row r="60" spans="1:17" s="104" customFormat="1">
      <c r="B60" s="14"/>
      <c r="C60" s="13"/>
      <c r="D60" s="196"/>
      <c r="E60" s="13"/>
      <c r="F60" s="197"/>
      <c r="G60" s="198"/>
      <c r="H60" s="197"/>
      <c r="I60" s="144"/>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6"/>
      <c r="E82" s="13"/>
      <c r="F82" s="197"/>
      <c r="G82" s="198"/>
      <c r="H82" s="197"/>
      <c r="I82" s="172"/>
      <c r="M82" s="196"/>
      <c r="N82" s="13"/>
      <c r="O82" s="197"/>
      <c r="P82" s="198"/>
      <c r="Q82" s="197"/>
    </row>
    <row r="83" spans="2:17" s="21" customFormat="1">
      <c r="B83" s="14"/>
      <c r="C83" s="13"/>
      <c r="D83" s="196"/>
      <c r="E83" s="13"/>
      <c r="F83" s="197"/>
      <c r="G83" s="198"/>
      <c r="H83" s="197"/>
      <c r="I83" s="172"/>
      <c r="M83" s="196"/>
      <c r="N83" s="13"/>
      <c r="O83" s="197"/>
      <c r="P83" s="198"/>
      <c r="Q83" s="197"/>
    </row>
    <row r="84" spans="2:17" s="21" customFormat="1">
      <c r="B84" s="14"/>
      <c r="C84" s="13"/>
      <c r="D84" s="196"/>
      <c r="E84" s="13"/>
      <c r="F84" s="197"/>
      <c r="G84" s="198"/>
      <c r="H84" s="197"/>
      <c r="I84" s="172"/>
      <c r="M84" s="196"/>
      <c r="N84" s="13"/>
      <c r="O84" s="197"/>
      <c r="P84" s="198"/>
      <c r="Q84" s="197"/>
    </row>
    <row r="85" spans="2:17" s="21" customFormat="1">
      <c r="B85" s="14"/>
      <c r="C85" s="13"/>
      <c r="D85" s="196"/>
      <c r="E85" s="13"/>
      <c r="F85" s="197"/>
      <c r="G85" s="198"/>
      <c r="H85" s="197"/>
      <c r="I85" s="172"/>
      <c r="M85" s="196"/>
      <c r="N85" s="13"/>
      <c r="O85" s="197"/>
      <c r="P85" s="198"/>
      <c r="Q85" s="197"/>
    </row>
    <row r="86" spans="2:17" s="21" customFormat="1">
      <c r="B86" s="14"/>
      <c r="C86" s="13"/>
      <c r="D86" s="196"/>
      <c r="E86" s="13"/>
      <c r="F86" s="197"/>
      <c r="G86" s="198"/>
      <c r="H86" s="197"/>
      <c r="I86" s="172"/>
      <c r="M86" s="196"/>
      <c r="N86" s="13"/>
      <c r="O86" s="197"/>
      <c r="P86" s="198"/>
      <c r="Q86" s="197"/>
    </row>
    <row r="87" spans="2:17" s="21" customFormat="1">
      <c r="B87" s="14"/>
      <c r="C87" s="13"/>
      <c r="D87" s="196"/>
      <c r="E87" s="13"/>
      <c r="F87" s="197"/>
      <c r="G87" s="198"/>
      <c r="H87" s="197"/>
      <c r="I87" s="172"/>
      <c r="M87" s="196"/>
      <c r="N87" s="13"/>
      <c r="O87" s="197"/>
      <c r="P87" s="198"/>
      <c r="Q87" s="197"/>
    </row>
    <row r="88" spans="2:17" s="21" customFormat="1">
      <c r="B88" s="14"/>
      <c r="C88" s="13"/>
      <c r="D88" s="196"/>
      <c r="E88" s="13"/>
      <c r="F88" s="197"/>
      <c r="G88" s="198"/>
      <c r="H88" s="197"/>
      <c r="I88" s="172"/>
      <c r="M88" s="196"/>
      <c r="N88" s="13"/>
      <c r="O88" s="197"/>
      <c r="P88" s="198"/>
      <c r="Q88" s="197"/>
    </row>
    <row r="89" spans="2:17" s="21" customFormat="1">
      <c r="B89" s="14"/>
      <c r="C89" s="13"/>
      <c r="D89" s="199"/>
      <c r="E89" s="200"/>
      <c r="F89" s="231"/>
      <c r="G89" s="202"/>
      <c r="H89" s="231"/>
      <c r="I89" s="172"/>
      <c r="M89" s="199"/>
      <c r="N89" s="200"/>
      <c r="O89" s="231"/>
      <c r="P89" s="202"/>
      <c r="Q89" s="231"/>
    </row>
    <row r="90" spans="2:17" s="21" customFormat="1">
      <c r="B90" s="14"/>
      <c r="C90" s="13"/>
      <c r="D90" s="199"/>
      <c r="E90" s="199"/>
      <c r="F90" s="199"/>
      <c r="G90" s="199"/>
      <c r="H90" s="199"/>
      <c r="I90" s="172"/>
      <c r="M90" s="199"/>
      <c r="N90" s="199"/>
      <c r="O90" s="199"/>
      <c r="P90" s="199"/>
      <c r="Q90" s="199"/>
    </row>
    <row r="91" spans="2:17" s="21" customFormat="1">
      <c r="B91" s="14"/>
      <c r="C91" s="13"/>
      <c r="D91" s="199"/>
      <c r="E91" s="199"/>
      <c r="F91" s="199"/>
      <c r="G91" s="199"/>
      <c r="H91" s="199"/>
      <c r="I91" s="172"/>
      <c r="M91" s="199"/>
      <c r="N91" s="199"/>
      <c r="O91" s="199"/>
      <c r="P91" s="199"/>
      <c r="Q91" s="199"/>
    </row>
    <row r="92" spans="2:17" s="21" customFormat="1">
      <c r="B92" s="14"/>
      <c r="C92" s="13"/>
      <c r="D92" s="203"/>
      <c r="E92" s="232"/>
      <c r="F92" s="199"/>
      <c r="G92" s="199"/>
      <c r="H92" s="199"/>
      <c r="I92" s="172"/>
      <c r="M92" s="203"/>
      <c r="N92" s="232"/>
      <c r="O92" s="199"/>
      <c r="P92" s="199"/>
      <c r="Q92" s="199"/>
    </row>
    <row r="93" spans="2:17" s="21" customFormat="1">
      <c r="B93" s="14"/>
      <c r="C93" s="13"/>
      <c r="D93" s="200"/>
      <c r="E93" s="232"/>
      <c r="F93" s="199"/>
      <c r="G93" s="199"/>
      <c r="H93" s="199"/>
      <c r="I93" s="172"/>
      <c r="M93" s="200"/>
      <c r="N93" s="232"/>
      <c r="O93" s="199"/>
      <c r="P93" s="199"/>
      <c r="Q93" s="199"/>
    </row>
    <row r="94" spans="2:17" s="21" customFormat="1">
      <c r="B94" s="14"/>
      <c r="C94" s="13"/>
      <c r="D94" s="199"/>
      <c r="E94" s="232"/>
      <c r="F94" s="199"/>
      <c r="G94" s="199"/>
      <c r="H94" s="199"/>
      <c r="I94" s="172"/>
      <c r="M94" s="199"/>
      <c r="N94" s="232"/>
      <c r="O94" s="199"/>
      <c r="P94" s="199"/>
      <c r="Q94" s="199"/>
    </row>
    <row r="95" spans="2:17" s="21" customFormat="1" ht="14">
      <c r="B95" s="199"/>
      <c r="C95" s="200"/>
      <c r="D95" s="205"/>
      <c r="E95" s="205"/>
      <c r="F95" s="205"/>
      <c r="G95" s="205"/>
      <c r="H95" s="205"/>
      <c r="I95" s="172"/>
      <c r="M95" s="205"/>
      <c r="N95" s="205"/>
      <c r="O95" s="205"/>
      <c r="P95" s="205"/>
      <c r="Q95" s="205"/>
    </row>
    <row r="96" spans="2:17" s="21" customFormat="1" ht="14">
      <c r="B96" s="104"/>
      <c r="C96" s="104"/>
      <c r="D96" s="205"/>
      <c r="E96" s="205"/>
      <c r="F96" s="205"/>
      <c r="G96" s="205"/>
      <c r="H96" s="205"/>
      <c r="I96" s="172"/>
      <c r="M96" s="205"/>
      <c r="N96" s="205"/>
      <c r="O96" s="205"/>
      <c r="P96" s="205"/>
      <c r="Q96" s="205"/>
    </row>
    <row r="97" spans="2:17" s="21" customFormat="1" ht="14">
      <c r="B97" s="104"/>
      <c r="C97" s="104"/>
      <c r="D97" s="206"/>
      <c r="E97" s="233"/>
      <c r="F97" s="205"/>
      <c r="G97" s="205"/>
      <c r="H97" s="205"/>
      <c r="I97" s="172"/>
      <c r="M97" s="206"/>
      <c r="N97" s="233"/>
      <c r="O97" s="205"/>
      <c r="P97" s="205"/>
      <c r="Q97" s="205"/>
    </row>
    <row r="98" spans="2:17" s="21" customFormat="1" ht="14">
      <c r="B98" s="203"/>
      <c r="C98" s="232"/>
      <c r="D98" s="208"/>
      <c r="E98" s="233"/>
      <c r="F98" s="205"/>
      <c r="G98" s="205"/>
      <c r="H98" s="205"/>
      <c r="I98" s="172"/>
      <c r="M98" s="208"/>
      <c r="N98" s="233"/>
      <c r="O98" s="205"/>
      <c r="P98" s="205"/>
      <c r="Q98" s="205"/>
    </row>
    <row r="99" spans="2:17" s="21" customFormat="1" ht="14">
      <c r="B99" s="209"/>
      <c r="C99" s="232"/>
      <c r="D99" s="205"/>
      <c r="E99" s="233"/>
      <c r="F99" s="205"/>
      <c r="G99" s="205"/>
      <c r="H99" s="205"/>
      <c r="I99" s="172"/>
      <c r="M99" s="205"/>
      <c r="N99" s="233"/>
      <c r="O99" s="205"/>
      <c r="P99" s="205"/>
      <c r="Q99" s="205"/>
    </row>
    <row r="100" spans="2:17" s="21" customFormat="1">
      <c r="C100" s="232"/>
      <c r="I100" s="172"/>
    </row>
    <row r="101" spans="2:17" s="21" customFormat="1">
      <c r="I101" s="172"/>
    </row>
    <row r="102" spans="2:17" s="21" customFormat="1">
      <c r="I102" s="172"/>
    </row>
    <row r="103" spans="2:17" s="21" customFormat="1">
      <c r="I103" s="172"/>
    </row>
    <row r="104" spans="2:17" s="21" customFormat="1">
      <c r="I104" s="172"/>
    </row>
    <row r="105" spans="2:17" s="21" customFormat="1">
      <c r="I105" s="172"/>
    </row>
    <row r="106" spans="2:17" s="21" customFormat="1">
      <c r="I106" s="172"/>
    </row>
    <row r="107" spans="2:17" s="21" customFormat="1">
      <c r="I107" s="172"/>
    </row>
    <row r="108" spans="2:17" s="21" customFormat="1">
      <c r="I108" s="172"/>
    </row>
    <row r="109" spans="2:17" s="21" customFormat="1">
      <c r="I109" s="172"/>
    </row>
    <row r="110" spans="2:17" s="21" customFormat="1">
      <c r="I110" s="172"/>
    </row>
    <row r="111" spans="2:17" s="21" customFormat="1">
      <c r="I111" s="172"/>
    </row>
    <row r="112" spans="2:17"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c r="I312" s="172"/>
    </row>
    <row r="313" spans="9:9" s="21" customFormat="1">
      <c r="I313" s="172"/>
    </row>
    <row r="314" spans="9:9" s="21" customFormat="1">
      <c r="I314" s="172"/>
    </row>
    <row r="315" spans="9:9" s="21" customFormat="1">
      <c r="I315" s="172"/>
    </row>
    <row r="316" spans="9:9" s="21" customFormat="1">
      <c r="I316" s="172"/>
    </row>
    <row r="317" spans="9:9" s="21" customFormat="1">
      <c r="I317" s="172"/>
    </row>
    <row r="318" spans="9:9" s="21" customFormat="1">
      <c r="I318" s="172"/>
    </row>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45820</v>
      </c>
      <c r="G2" s="106"/>
      <c r="H2" s="106"/>
      <c r="I2" s="106"/>
      <c r="J2" s="108"/>
      <c r="K2" s="358"/>
    </row>
    <row r="3" spans="1:13" s="101" customFormat="1" ht="18">
      <c r="A3" s="102"/>
      <c r="B3" s="103" t="str">
        <f>'Cover Sheet'!B3</f>
        <v>Monthly Investor Report</v>
      </c>
      <c r="C3" s="103"/>
      <c r="D3" s="111" t="str">
        <f>'Cover Sheet'!D3</f>
        <v>Payment Date</v>
      </c>
      <c r="E3" s="112"/>
      <c r="F3" s="113">
        <f>'Cover Sheet'!F3</f>
        <v>45824</v>
      </c>
      <c r="G3" s="112"/>
      <c r="H3" s="112"/>
      <c r="I3" s="112"/>
      <c r="J3" s="114"/>
      <c r="K3" s="124"/>
    </row>
    <row r="4" spans="1:13" s="101" customFormat="1" ht="13">
      <c r="A4" s="102"/>
      <c r="B4" s="156"/>
      <c r="C4" s="157"/>
      <c r="D4" s="111" t="str">
        <f>'Cover Sheet'!D4</f>
        <v>Period  No</v>
      </c>
      <c r="E4" s="112"/>
      <c r="F4" s="116">
        <f>'Cover Sheet'!F4</f>
        <v>43</v>
      </c>
      <c r="G4" s="112"/>
      <c r="H4" s="117"/>
      <c r="I4" s="112"/>
      <c r="J4" s="118"/>
      <c r="K4" s="358"/>
    </row>
    <row r="5" spans="1:13" s="101" customFormat="1" ht="18">
      <c r="A5" s="102"/>
      <c r="B5" s="159" t="s">
        <v>162</v>
      </c>
      <c r="C5" s="119"/>
      <c r="D5" s="111" t="str">
        <f>'Cover Sheet'!D5</f>
        <v>Monthly Period</v>
      </c>
      <c r="E5" s="112"/>
      <c r="F5" s="120">
        <f>'Cover Sheet'!F5</f>
        <v>45824</v>
      </c>
      <c r="G5" s="112"/>
      <c r="H5" s="117"/>
      <c r="I5" s="112"/>
      <c r="J5" s="118"/>
      <c r="K5" s="124"/>
    </row>
    <row r="6" spans="1:13"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25"/>
    </row>
    <row r="7" spans="1:13"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7.54296875" style="143" customWidth="1"/>
    <col min="4" max="4" width="18.81640625" style="143" customWidth="1"/>
    <col min="5" max="5" width="18.54296875" style="143" customWidth="1"/>
    <col min="6" max="6" width="19.54296875" style="143" customWidth="1"/>
    <col min="7" max="9" width="19" style="143" customWidth="1"/>
    <col min="10" max="10" width="15.453125" style="143" customWidth="1"/>
    <col min="11" max="11" width="1.1796875" style="143" customWidth="1"/>
    <col min="12" max="12" width="3.1796875" style="143" customWidth="1"/>
    <col min="13" max="13" width="18.81640625" style="143" customWidth="1"/>
    <col min="14" max="14" width="18.54296875" style="143" customWidth="1"/>
    <col min="15" max="15" width="19.54296875" style="143" customWidth="1"/>
    <col min="16" max="18" width="19" style="143" customWidth="1"/>
    <col min="19" max="16384" width="9.1796875" style="143"/>
  </cols>
  <sheetData>
    <row r="1" spans="1:18" ht="6" customHeight="1">
      <c r="A1" s="152"/>
      <c r="B1" s="49"/>
      <c r="C1" s="49"/>
      <c r="D1" s="49"/>
      <c r="E1" s="49"/>
      <c r="F1" s="49"/>
      <c r="G1" s="49"/>
      <c r="H1" s="49"/>
      <c r="I1" s="49"/>
      <c r="J1" s="49"/>
      <c r="K1" s="153"/>
      <c r="M1" s="21"/>
      <c r="N1" s="21"/>
      <c r="O1" s="21"/>
      <c r="P1" s="21"/>
      <c r="Q1" s="21"/>
      <c r="R1" s="21"/>
    </row>
    <row r="2" spans="1:18" s="101" customFormat="1" ht="18">
      <c r="A2" s="102"/>
      <c r="B2" s="103" t="str">
        <f>'Cover Sheet'!B2</f>
        <v>SC Germany Consumer 2021-1</v>
      </c>
      <c r="C2" s="103"/>
      <c r="D2" s="105" t="str">
        <f>'Cover Sheet'!D2</f>
        <v>Calculation Date</v>
      </c>
      <c r="E2" s="106"/>
      <c r="F2" s="107">
        <f>'Cover Sheet'!F2</f>
        <v>45820</v>
      </c>
      <c r="G2" s="106"/>
      <c r="H2" s="106"/>
      <c r="I2" s="106"/>
      <c r="J2" s="108"/>
      <c r="K2" s="358"/>
      <c r="M2" s="163"/>
      <c r="N2" s="21"/>
      <c r="O2" s="472"/>
      <c r="P2" s="21"/>
      <c r="Q2" s="21"/>
      <c r="R2" s="21"/>
    </row>
    <row r="3" spans="1:18" s="101" customFormat="1" ht="18">
      <c r="A3" s="102"/>
      <c r="B3" s="103" t="str">
        <f>'Cover Sheet'!B3</f>
        <v>Monthly Investor Report</v>
      </c>
      <c r="C3" s="103"/>
      <c r="D3" s="111" t="str">
        <f>'Cover Sheet'!D3</f>
        <v>Payment Date</v>
      </c>
      <c r="E3" s="112"/>
      <c r="F3" s="113">
        <f>'Cover Sheet'!F3</f>
        <v>45824</v>
      </c>
      <c r="G3" s="112"/>
      <c r="H3" s="112"/>
      <c r="I3" s="112"/>
      <c r="J3" s="114"/>
      <c r="K3" s="124"/>
      <c r="M3" s="163"/>
      <c r="N3" s="21"/>
      <c r="O3" s="472"/>
      <c r="P3" s="21"/>
      <c r="Q3" s="21"/>
      <c r="R3" s="21"/>
    </row>
    <row r="4" spans="1:18" s="101" customFormat="1" ht="13">
      <c r="A4" s="102"/>
      <c r="B4" s="156"/>
      <c r="C4" s="157"/>
      <c r="D4" s="111" t="str">
        <f>'Cover Sheet'!D4</f>
        <v>Period  No</v>
      </c>
      <c r="E4" s="112"/>
      <c r="F4" s="116">
        <f>'Cover Sheet'!F4</f>
        <v>43</v>
      </c>
      <c r="G4" s="112"/>
      <c r="H4" s="117"/>
      <c r="I4" s="112"/>
      <c r="J4" s="118"/>
      <c r="K4" s="358"/>
      <c r="M4" s="163"/>
      <c r="N4" s="21"/>
      <c r="O4" s="473"/>
      <c r="P4" s="21"/>
      <c r="Q4" s="163"/>
      <c r="R4" s="21"/>
    </row>
    <row r="5" spans="1:18" s="101" customFormat="1" ht="18">
      <c r="A5" s="102"/>
      <c r="B5" s="159" t="s">
        <v>163</v>
      </c>
      <c r="C5" s="119"/>
      <c r="D5" s="111" t="str">
        <f>'Cover Sheet'!D5</f>
        <v>Monthly Period</v>
      </c>
      <c r="E5" s="112"/>
      <c r="F5" s="120">
        <f>'Cover Sheet'!F5</f>
        <v>45824</v>
      </c>
      <c r="G5" s="112"/>
      <c r="H5" s="117"/>
      <c r="I5" s="112"/>
      <c r="J5" s="118"/>
      <c r="K5" s="124"/>
      <c r="M5" s="163"/>
      <c r="N5" s="21"/>
      <c r="O5" s="474"/>
      <c r="P5" s="21"/>
      <c r="Q5" s="163"/>
      <c r="R5" s="21"/>
    </row>
    <row r="6" spans="1:18"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63"/>
      <c r="N6" s="228"/>
      <c r="O6" s="472"/>
      <c r="P6" s="21"/>
      <c r="Q6" s="472"/>
      <c r="R6" s="21"/>
    </row>
    <row r="7" spans="1:18"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c r="M7" s="163"/>
      <c r="N7" s="21"/>
      <c r="O7" s="475"/>
      <c r="P7" s="228"/>
      <c r="Q7" s="472"/>
      <c r="R7" s="228"/>
    </row>
    <row r="8" spans="1:18" s="101" customFormat="1" ht="13">
      <c r="A8" s="102"/>
      <c r="B8" s="104"/>
      <c r="C8" s="104"/>
      <c r="D8" s="104"/>
      <c r="E8" s="133"/>
      <c r="F8" s="132"/>
      <c r="G8" s="133"/>
      <c r="H8" s="104"/>
      <c r="I8" s="133"/>
      <c r="J8" s="104"/>
      <c r="K8" s="124"/>
      <c r="M8" s="21"/>
      <c r="N8" s="476"/>
      <c r="O8" s="228"/>
      <c r="P8" s="476"/>
      <c r="Q8" s="21"/>
      <c r="R8" s="476"/>
    </row>
    <row r="9" spans="1:18" s="101" customFormat="1">
      <c r="A9" s="102"/>
      <c r="K9" s="109"/>
      <c r="M9" s="21"/>
      <c r="N9" s="21"/>
      <c r="O9" s="21"/>
      <c r="P9" s="21"/>
      <c r="Q9" s="21"/>
      <c r="R9" s="21"/>
    </row>
    <row r="10" spans="1:18" s="101" customFormat="1">
      <c r="A10" s="102"/>
      <c r="B10" s="104"/>
      <c r="C10" s="104"/>
      <c r="D10" s="21"/>
      <c r="E10" s="104"/>
      <c r="F10" s="144"/>
      <c r="G10" s="104"/>
      <c r="H10" s="104"/>
      <c r="I10" s="104"/>
      <c r="J10" s="21"/>
      <c r="K10" s="109"/>
      <c r="M10" s="21"/>
      <c r="N10" s="104"/>
      <c r="O10" s="144"/>
      <c r="P10" s="104"/>
      <c r="Q10" s="104"/>
      <c r="R10" s="104"/>
    </row>
    <row r="11" spans="1:18" s="101" customFormat="1" ht="17.5">
      <c r="A11" s="102"/>
      <c r="B11" s="168"/>
      <c r="C11" s="104"/>
      <c r="D11" s="21"/>
      <c r="E11" s="104"/>
      <c r="F11" s="21"/>
      <c r="G11" s="360"/>
      <c r="H11" s="360"/>
      <c r="I11" s="360"/>
      <c r="K11" s="109"/>
      <c r="M11" s="21"/>
      <c r="N11" s="104"/>
      <c r="O11" s="21"/>
      <c r="P11" s="360"/>
      <c r="Q11" s="360"/>
      <c r="R11" s="360"/>
    </row>
    <row r="12" spans="1:18" s="101" customFormat="1" ht="13" thickBot="1">
      <c r="A12" s="102"/>
      <c r="B12" s="104"/>
      <c r="C12" s="21"/>
      <c r="D12" s="21"/>
      <c r="E12" s="21"/>
      <c r="F12" s="21"/>
      <c r="G12" s="361"/>
      <c r="H12" s="361"/>
      <c r="I12" s="361"/>
      <c r="J12" s="21"/>
      <c r="K12" s="109"/>
      <c r="M12" s="21"/>
      <c r="N12" s="21"/>
      <c r="O12" s="21"/>
      <c r="P12" s="361"/>
      <c r="Q12" s="361"/>
      <c r="R12" s="361"/>
    </row>
    <row r="13" spans="1:18" s="101" customFormat="1" ht="29.5" thickBot="1">
      <c r="A13" s="102"/>
      <c r="B13" s="171"/>
      <c r="C13" s="477" t="s">
        <v>105</v>
      </c>
      <c r="D13" s="478" t="s">
        <v>71</v>
      </c>
      <c r="E13" s="478" t="s">
        <v>118</v>
      </c>
      <c r="F13" s="478" t="s">
        <v>61</v>
      </c>
      <c r="G13" s="478" t="s">
        <v>119</v>
      </c>
      <c r="H13" s="478" t="s">
        <v>106</v>
      </c>
      <c r="I13" s="479" t="s">
        <v>125</v>
      </c>
      <c r="J13" s="21"/>
      <c r="K13" s="109"/>
      <c r="M13" s="480"/>
      <c r="N13" s="481"/>
      <c r="O13" s="481"/>
      <c r="P13" s="481"/>
      <c r="Q13" s="481"/>
      <c r="R13" s="481"/>
    </row>
    <row r="14" spans="1:18">
      <c r="A14" s="179"/>
      <c r="B14" s="14"/>
      <c r="C14" s="482" t="s">
        <v>661</v>
      </c>
      <c r="D14" s="51">
        <f t="shared" ref="D14:D20" si="0">VLOOKUP(CONCATENATE("loanconc_",C14),Assets_21,3,0)</f>
        <v>502166115.50999743</v>
      </c>
      <c r="E14" s="52">
        <f>D14/$D$21</f>
        <v>0.97811248557356556</v>
      </c>
      <c r="F14" s="483">
        <f>H14*1</f>
        <v>49290</v>
      </c>
      <c r="G14" s="53">
        <f>F14/$F$21</f>
        <v>0.95193031924139127</v>
      </c>
      <c r="H14" s="483">
        <f t="shared" ref="H14:H20" si="1">VLOOKUP(CONCATENATE("loanconc_",C14),Assets_21,2,0)</f>
        <v>49290</v>
      </c>
      <c r="I14" s="54">
        <f>H14/$H$21</f>
        <v>0.97731688940000794</v>
      </c>
      <c r="J14" s="21"/>
      <c r="K14" s="173"/>
      <c r="M14" s="104"/>
      <c r="N14" s="484"/>
      <c r="O14" s="485"/>
      <c r="P14" s="368"/>
      <c r="Q14" s="104"/>
      <c r="R14" s="368"/>
    </row>
    <row r="15" spans="1:18">
      <c r="A15" s="179"/>
      <c r="B15" s="14"/>
      <c r="C15" s="482" t="s">
        <v>662</v>
      </c>
      <c r="D15" s="55">
        <f t="shared" si="0"/>
        <v>10166575.040000021</v>
      </c>
      <c r="E15" s="56">
        <f t="shared" ref="E15:E20" si="2">D15/$D$21</f>
        <v>1.9802319740441787E-2</v>
      </c>
      <c r="F15" s="486">
        <f>H15*2</f>
        <v>1976</v>
      </c>
      <c r="G15" s="57">
        <f t="shared" ref="G15:G20" si="3">F15/$F$21</f>
        <v>3.8162189304544313E-2</v>
      </c>
      <c r="H15" s="486">
        <f t="shared" si="1"/>
        <v>988</v>
      </c>
      <c r="I15" s="58">
        <f t="shared" ref="I15:I20" si="4">H15/$H$21</f>
        <v>1.9589959154538605E-2</v>
      </c>
      <c r="J15" s="21"/>
      <c r="K15" s="173"/>
      <c r="M15" s="104"/>
      <c r="N15" s="484"/>
      <c r="O15" s="485"/>
      <c r="P15" s="368"/>
      <c r="Q15" s="104"/>
      <c r="R15" s="368"/>
    </row>
    <row r="16" spans="1:18">
      <c r="A16" s="179"/>
      <c r="B16" s="14"/>
      <c r="C16" s="482" t="s">
        <v>663</v>
      </c>
      <c r="D16" s="55">
        <f t="shared" si="0"/>
        <v>815961.45000000019</v>
      </c>
      <c r="E16" s="56">
        <f t="shared" si="2"/>
        <v>1.5893188674850399E-3</v>
      </c>
      <c r="F16" s="486">
        <f>H16*3</f>
        <v>372</v>
      </c>
      <c r="G16" s="57">
        <f t="shared" si="3"/>
        <v>7.1843797678595566E-3</v>
      </c>
      <c r="H16" s="486">
        <f t="shared" si="1"/>
        <v>124</v>
      </c>
      <c r="I16" s="58">
        <f t="shared" si="4"/>
        <v>2.4586588412578818E-3</v>
      </c>
      <c r="J16" s="21"/>
      <c r="K16" s="173"/>
      <c r="M16" s="104"/>
      <c r="N16" s="484"/>
      <c r="O16" s="485"/>
      <c r="P16" s="368"/>
      <c r="Q16" s="104"/>
      <c r="R16" s="368"/>
    </row>
    <row r="17" spans="1:18">
      <c r="A17" s="179"/>
      <c r="B17" s="14"/>
      <c r="C17" s="482" t="s">
        <v>664</v>
      </c>
      <c r="D17" s="55">
        <f t="shared" si="0"/>
        <v>165371.59000000003</v>
      </c>
      <c r="E17" s="56">
        <f t="shared" si="2"/>
        <v>3.2210858507224861E-4</v>
      </c>
      <c r="F17" s="486">
        <f>H17*4</f>
        <v>84</v>
      </c>
      <c r="G17" s="57">
        <f t="shared" si="3"/>
        <v>1.6222793024199E-3</v>
      </c>
      <c r="H17" s="486">
        <f t="shared" si="1"/>
        <v>21</v>
      </c>
      <c r="I17" s="58">
        <f t="shared" si="4"/>
        <v>4.1638577150335092E-4</v>
      </c>
      <c r="J17" s="21"/>
      <c r="K17" s="173"/>
      <c r="M17" s="104"/>
      <c r="N17" s="484"/>
      <c r="O17" s="485"/>
      <c r="P17" s="368"/>
      <c r="Q17" s="104"/>
      <c r="R17" s="368"/>
    </row>
    <row r="18" spans="1:18">
      <c r="A18" s="179"/>
      <c r="B18" s="14"/>
      <c r="C18" s="482" t="s">
        <v>665</v>
      </c>
      <c r="D18" s="55">
        <f t="shared" si="0"/>
        <v>80344.709999999992</v>
      </c>
      <c r="E18" s="56">
        <f t="shared" si="2"/>
        <v>1.5649435828814451E-4</v>
      </c>
      <c r="F18" s="486">
        <f>H18*5</f>
        <v>45</v>
      </c>
      <c r="G18" s="57">
        <f t="shared" si="3"/>
        <v>8.6907819772494646E-4</v>
      </c>
      <c r="H18" s="486">
        <f t="shared" si="1"/>
        <v>9</v>
      </c>
      <c r="I18" s="58">
        <f t="shared" si="4"/>
        <v>1.7845104493000754E-4</v>
      </c>
      <c r="J18" s="21"/>
      <c r="K18" s="173"/>
      <c r="M18" s="104"/>
      <c r="N18" s="484"/>
      <c r="O18" s="485"/>
      <c r="P18" s="368"/>
      <c r="Q18" s="104"/>
      <c r="R18" s="368"/>
    </row>
    <row r="19" spans="1:18">
      <c r="A19" s="179"/>
      <c r="B19" s="14"/>
      <c r="C19" s="482" t="s">
        <v>666</v>
      </c>
      <c r="D19" s="55">
        <f t="shared" si="0"/>
        <v>8867.9499999999989</v>
      </c>
      <c r="E19" s="56">
        <f t="shared" si="2"/>
        <v>1.7272875147366281E-5</v>
      </c>
      <c r="F19" s="486">
        <f>H19*6</f>
        <v>12</v>
      </c>
      <c r="G19" s="57">
        <f t="shared" si="3"/>
        <v>2.317541860599857E-4</v>
      </c>
      <c r="H19" s="486">
        <f t="shared" si="1"/>
        <v>2</v>
      </c>
      <c r="I19" s="58">
        <f t="shared" si="4"/>
        <v>3.9655787762223894E-5</v>
      </c>
      <c r="J19" s="21"/>
      <c r="K19" s="173"/>
      <c r="M19" s="104"/>
      <c r="N19" s="484"/>
      <c r="O19" s="485"/>
      <c r="P19" s="368"/>
      <c r="Q19" s="104"/>
      <c r="R19" s="368"/>
    </row>
    <row r="20" spans="1:18" ht="13" thickBot="1">
      <c r="A20" s="179"/>
      <c r="B20" s="14"/>
      <c r="C20" s="482" t="s">
        <v>721</v>
      </c>
      <c r="D20" s="55">
        <f t="shared" si="0"/>
        <v>0</v>
      </c>
      <c r="E20" s="56">
        <f t="shared" si="2"/>
        <v>0</v>
      </c>
      <c r="F20" s="486">
        <f>H20*7</f>
        <v>0</v>
      </c>
      <c r="G20" s="57">
        <f t="shared" si="3"/>
        <v>0</v>
      </c>
      <c r="H20" s="486">
        <f t="shared" si="1"/>
        <v>0</v>
      </c>
      <c r="I20" s="58">
        <f t="shared" si="4"/>
        <v>0</v>
      </c>
      <c r="J20" s="21"/>
      <c r="K20" s="173"/>
      <c r="M20" s="104"/>
      <c r="N20" s="484"/>
      <c r="O20" s="485"/>
      <c r="P20" s="368"/>
      <c r="Q20" s="104"/>
      <c r="R20" s="368"/>
    </row>
    <row r="21" spans="1:18" ht="14" thickTop="1" thickBot="1">
      <c r="A21" s="179"/>
      <c r="B21" s="14"/>
      <c r="C21" s="487" t="s">
        <v>107</v>
      </c>
      <c r="D21" s="488">
        <f t="shared" ref="D21:I21" si="5">SUM(D14:D20)</f>
        <v>513403236.24999738</v>
      </c>
      <c r="E21" s="489">
        <f t="shared" si="5"/>
        <v>1</v>
      </c>
      <c r="F21" s="490">
        <f t="shared" si="5"/>
        <v>51779</v>
      </c>
      <c r="G21" s="489">
        <f t="shared" si="5"/>
        <v>1</v>
      </c>
      <c r="H21" s="490">
        <f t="shared" si="5"/>
        <v>50434</v>
      </c>
      <c r="I21" s="491">
        <f t="shared" si="5"/>
        <v>1</v>
      </c>
      <c r="J21" s="21"/>
      <c r="K21" s="173"/>
      <c r="M21" s="104"/>
      <c r="N21" s="484"/>
      <c r="O21" s="485"/>
      <c r="P21" s="368"/>
      <c r="Q21" s="104"/>
      <c r="R21" s="368"/>
    </row>
    <row r="22" spans="1:18" ht="13">
      <c r="A22" s="179"/>
      <c r="B22" s="14"/>
      <c r="C22" s="141"/>
      <c r="D22" s="492"/>
      <c r="E22" s="226"/>
      <c r="F22" s="493"/>
      <c r="G22" s="226"/>
      <c r="H22" s="493"/>
      <c r="I22" s="226"/>
      <c r="J22" s="21"/>
      <c r="K22" s="173"/>
      <c r="M22" s="104"/>
      <c r="N22" s="484"/>
      <c r="O22" s="485"/>
      <c r="P22" s="368"/>
      <c r="Q22" s="104"/>
      <c r="R22" s="368"/>
    </row>
    <row r="23" spans="1:18" ht="13">
      <c r="A23" s="179"/>
      <c r="B23" s="14"/>
      <c r="C23" s="141"/>
      <c r="D23" s="492"/>
      <c r="E23" s="226"/>
      <c r="F23" s="493"/>
      <c r="G23" s="226"/>
      <c r="H23" s="493"/>
      <c r="I23" s="226"/>
      <c r="J23" s="21"/>
      <c r="K23" s="173"/>
      <c r="M23" s="104"/>
      <c r="N23" s="484"/>
      <c r="O23" s="485"/>
      <c r="P23" s="368"/>
      <c r="Q23" s="104"/>
      <c r="R23" s="368"/>
    </row>
    <row r="24" spans="1:18" ht="13">
      <c r="A24" s="179"/>
      <c r="B24" s="14"/>
      <c r="C24" s="141"/>
      <c r="D24" s="492"/>
      <c r="E24" s="226"/>
      <c r="F24" s="493"/>
      <c r="G24" s="226"/>
      <c r="H24" s="493"/>
      <c r="I24" s="226"/>
      <c r="J24" s="21"/>
      <c r="K24" s="173"/>
      <c r="M24" s="104"/>
      <c r="N24" s="484"/>
      <c r="O24" s="485"/>
      <c r="P24" s="368"/>
      <c r="Q24" s="104"/>
      <c r="R24" s="368"/>
    </row>
    <row r="25" spans="1:18" ht="13">
      <c r="A25" s="179"/>
      <c r="B25" s="14"/>
      <c r="C25" s="141"/>
      <c r="D25" s="492"/>
      <c r="E25" s="226"/>
      <c r="F25" s="493"/>
      <c r="G25" s="226"/>
      <c r="H25" s="493"/>
      <c r="I25" s="226"/>
      <c r="J25" s="21"/>
      <c r="K25" s="173"/>
      <c r="M25" s="104"/>
      <c r="N25" s="484"/>
      <c r="O25" s="485"/>
      <c r="P25" s="368"/>
      <c r="Q25" s="104"/>
      <c r="R25" s="368"/>
    </row>
    <row r="26" spans="1:18" ht="13">
      <c r="A26" s="179"/>
      <c r="B26" s="14"/>
      <c r="C26" s="141"/>
      <c r="D26" s="492"/>
      <c r="E26" s="226"/>
      <c r="F26" s="493"/>
      <c r="G26" s="226"/>
      <c r="H26" s="493"/>
      <c r="I26" s="226"/>
      <c r="J26" s="21"/>
      <c r="K26" s="173"/>
      <c r="M26" s="104"/>
      <c r="N26" s="484"/>
      <c r="O26" s="485"/>
      <c r="P26" s="368"/>
      <c r="Q26" s="104"/>
      <c r="R26" s="368"/>
    </row>
    <row r="27" spans="1:18" ht="13">
      <c r="A27" s="179"/>
      <c r="B27" s="14"/>
      <c r="C27" s="141"/>
      <c r="D27" s="492"/>
      <c r="E27" s="226"/>
      <c r="F27" s="493"/>
      <c r="G27" s="226"/>
      <c r="H27" s="493"/>
      <c r="I27" s="226"/>
      <c r="J27" s="21"/>
      <c r="K27" s="173"/>
      <c r="M27" s="104"/>
      <c r="N27" s="484"/>
      <c r="O27" s="485"/>
      <c r="P27" s="368"/>
      <c r="Q27" s="104"/>
      <c r="R27" s="368"/>
    </row>
    <row r="28" spans="1:18" ht="13">
      <c r="A28" s="179"/>
      <c r="B28" s="14"/>
      <c r="C28" s="141"/>
      <c r="D28" s="492"/>
      <c r="E28" s="226"/>
      <c r="F28" s="493"/>
      <c r="G28" s="226"/>
      <c r="H28" s="493"/>
      <c r="I28" s="226"/>
      <c r="J28" s="21"/>
      <c r="K28" s="173"/>
      <c r="M28" s="104"/>
      <c r="N28" s="484"/>
      <c r="O28" s="485"/>
      <c r="P28" s="368"/>
      <c r="Q28" s="104"/>
      <c r="R28" s="368"/>
    </row>
    <row r="29" spans="1:18" ht="13">
      <c r="A29" s="179"/>
      <c r="B29" s="14"/>
      <c r="C29" s="141"/>
      <c r="D29" s="492"/>
      <c r="E29" s="226"/>
      <c r="F29" s="493"/>
      <c r="G29" s="226"/>
      <c r="H29" s="493"/>
      <c r="I29" s="226"/>
      <c r="J29" s="21"/>
      <c r="K29" s="173"/>
      <c r="M29" s="104"/>
      <c r="N29" s="484"/>
      <c r="O29" s="485"/>
      <c r="P29" s="368"/>
      <c r="Q29" s="104"/>
      <c r="R29" s="368"/>
    </row>
    <row r="30" spans="1:18">
      <c r="A30" s="179"/>
      <c r="B30" s="14"/>
      <c r="C30" s="13"/>
      <c r="D30" s="21"/>
      <c r="E30" s="21"/>
      <c r="F30" s="21"/>
      <c r="G30" s="21"/>
      <c r="H30" s="21"/>
      <c r="I30" s="21"/>
      <c r="J30" s="21"/>
      <c r="K30" s="173"/>
      <c r="M30" s="21"/>
      <c r="N30" s="21"/>
      <c r="O30" s="21"/>
      <c r="P30" s="21"/>
      <c r="Q30" s="21"/>
      <c r="R30" s="21"/>
    </row>
    <row r="31" spans="1:18">
      <c r="A31" s="179"/>
      <c r="B31" s="14"/>
      <c r="C31" s="13"/>
      <c r="D31" s="21"/>
      <c r="E31" s="21"/>
      <c r="F31" s="21"/>
      <c r="G31" s="21"/>
      <c r="H31" s="21"/>
      <c r="I31" s="21"/>
      <c r="J31" s="21"/>
      <c r="K31" s="173"/>
      <c r="M31" s="21"/>
      <c r="N31" s="21"/>
      <c r="O31" s="21"/>
      <c r="P31" s="21"/>
      <c r="Q31" s="21"/>
      <c r="R31" s="21"/>
    </row>
    <row r="32" spans="1:18">
      <c r="A32" s="179"/>
      <c r="B32" s="14"/>
      <c r="C32" s="13"/>
      <c r="D32" s="21"/>
      <c r="E32" s="21"/>
      <c r="F32" s="21"/>
      <c r="G32" s="21"/>
      <c r="H32" s="21"/>
      <c r="I32" s="21"/>
      <c r="J32" s="21"/>
      <c r="K32" s="173"/>
      <c r="M32" s="21"/>
      <c r="N32" s="21"/>
      <c r="O32" s="21"/>
      <c r="P32" s="21"/>
      <c r="Q32" s="21"/>
      <c r="R32" s="21"/>
    </row>
    <row r="33" spans="1:18">
      <c r="A33" s="179"/>
      <c r="B33" s="14"/>
      <c r="C33" s="13"/>
      <c r="D33" s="21"/>
      <c r="E33" s="21"/>
      <c r="F33" s="21"/>
      <c r="G33" s="21"/>
      <c r="H33" s="21"/>
      <c r="I33" s="21"/>
      <c r="J33" s="21"/>
      <c r="K33" s="173"/>
      <c r="M33" s="21"/>
      <c r="N33" s="21"/>
      <c r="O33" s="21"/>
      <c r="P33" s="21"/>
      <c r="Q33" s="21"/>
      <c r="R33" s="21"/>
    </row>
    <row r="34" spans="1:18">
      <c r="A34" s="179"/>
      <c r="B34" s="14"/>
      <c r="C34" s="13"/>
      <c r="D34" s="21"/>
      <c r="E34" s="21"/>
      <c r="F34" s="21"/>
      <c r="G34" s="21"/>
      <c r="H34" s="21"/>
      <c r="I34" s="21"/>
      <c r="J34" s="21"/>
      <c r="K34" s="173"/>
      <c r="M34" s="21"/>
      <c r="N34" s="21"/>
      <c r="O34" s="21"/>
      <c r="P34" s="21"/>
      <c r="Q34" s="21"/>
      <c r="R34" s="21"/>
    </row>
    <row r="35" spans="1:18">
      <c r="A35" s="179"/>
      <c r="B35" s="14"/>
      <c r="C35" s="13"/>
      <c r="D35" s="21"/>
      <c r="E35" s="21"/>
      <c r="F35" s="21"/>
      <c r="G35" s="21"/>
      <c r="H35" s="21"/>
      <c r="I35" s="21"/>
      <c r="J35" s="21"/>
      <c r="K35" s="173"/>
      <c r="M35" s="21"/>
      <c r="N35" s="21"/>
      <c r="O35" s="21"/>
      <c r="P35" s="21"/>
      <c r="Q35" s="21"/>
      <c r="R35" s="21"/>
    </row>
    <row r="36" spans="1:18">
      <c r="A36" s="179"/>
      <c r="B36" s="14"/>
      <c r="C36" s="13"/>
      <c r="D36" s="21"/>
      <c r="E36" s="21"/>
      <c r="F36" s="21"/>
      <c r="G36" s="21"/>
      <c r="H36" s="21"/>
      <c r="I36" s="21"/>
      <c r="J36" s="21"/>
      <c r="K36" s="173"/>
      <c r="M36" s="21"/>
      <c r="N36" s="21"/>
      <c r="O36" s="21"/>
      <c r="P36" s="21"/>
      <c r="Q36" s="21"/>
      <c r="R36" s="21"/>
    </row>
    <row r="37" spans="1:18">
      <c r="A37" s="179"/>
      <c r="B37" s="14"/>
      <c r="C37" s="13"/>
      <c r="D37" s="21"/>
      <c r="E37" s="21"/>
      <c r="F37" s="21"/>
      <c r="G37" s="21"/>
      <c r="H37" s="21"/>
      <c r="I37" s="21"/>
      <c r="J37" s="21"/>
      <c r="K37" s="173"/>
      <c r="M37" s="21"/>
      <c r="N37" s="21"/>
      <c r="O37" s="21"/>
      <c r="P37" s="21"/>
      <c r="Q37" s="21"/>
      <c r="R37" s="21"/>
    </row>
    <row r="38" spans="1:18">
      <c r="A38" s="179"/>
      <c r="B38" s="14"/>
      <c r="C38" s="13"/>
      <c r="D38" s="21"/>
      <c r="E38" s="21"/>
      <c r="F38" s="21"/>
      <c r="G38" s="21"/>
      <c r="H38" s="21"/>
      <c r="I38" s="21"/>
      <c r="J38" s="21"/>
      <c r="K38" s="173"/>
      <c r="M38" s="21"/>
      <c r="N38" s="21"/>
      <c r="O38" s="21"/>
      <c r="P38" s="21"/>
      <c r="Q38" s="21"/>
      <c r="R38" s="21"/>
    </row>
    <row r="39" spans="1:18">
      <c r="A39" s="179"/>
      <c r="B39" s="14"/>
      <c r="C39" s="13"/>
      <c r="D39" s="21"/>
      <c r="E39" s="21"/>
      <c r="F39" s="21"/>
      <c r="G39" s="21"/>
      <c r="H39" s="21"/>
      <c r="I39" s="21"/>
      <c r="J39" s="21"/>
      <c r="K39" s="173"/>
      <c r="M39" s="21"/>
      <c r="N39" s="21"/>
      <c r="O39" s="21"/>
      <c r="P39" s="21"/>
      <c r="Q39" s="21"/>
      <c r="R39" s="21"/>
    </row>
    <row r="40" spans="1:18">
      <c r="A40" s="179"/>
      <c r="B40" s="14"/>
      <c r="C40" s="13"/>
      <c r="D40" s="21"/>
      <c r="E40" s="21"/>
      <c r="F40" s="21"/>
      <c r="G40" s="21"/>
      <c r="H40" s="21"/>
      <c r="I40" s="21"/>
      <c r="J40" s="21"/>
      <c r="K40" s="173"/>
      <c r="M40" s="21"/>
      <c r="N40" s="21"/>
      <c r="O40" s="21"/>
      <c r="P40" s="21"/>
      <c r="Q40" s="21"/>
      <c r="R40" s="21"/>
    </row>
    <row r="41" spans="1:18">
      <c r="A41" s="179"/>
      <c r="B41" s="14"/>
      <c r="C41" s="13"/>
      <c r="D41" s="21"/>
      <c r="E41" s="21"/>
      <c r="F41" s="21"/>
      <c r="G41" s="21"/>
      <c r="H41" s="21"/>
      <c r="I41" s="21"/>
      <c r="J41" s="21"/>
      <c r="K41" s="173"/>
      <c r="M41" s="21"/>
      <c r="N41" s="21"/>
      <c r="O41" s="21"/>
      <c r="P41" s="21"/>
      <c r="Q41" s="21"/>
      <c r="R41" s="21"/>
    </row>
    <row r="42" spans="1:18">
      <c r="A42" s="179"/>
      <c r="B42" s="14"/>
      <c r="C42" s="13"/>
      <c r="D42" s="21"/>
      <c r="E42" s="21"/>
      <c r="F42" s="21"/>
      <c r="G42" s="21"/>
      <c r="H42" s="21"/>
      <c r="I42" s="21"/>
      <c r="J42" s="21"/>
      <c r="K42" s="173"/>
      <c r="M42" s="21"/>
      <c r="N42" s="21"/>
      <c r="O42" s="21"/>
      <c r="P42" s="21"/>
      <c r="Q42" s="21"/>
      <c r="R42" s="21"/>
    </row>
    <row r="43" spans="1:18">
      <c r="A43" s="179"/>
      <c r="B43" s="14"/>
      <c r="C43" s="13"/>
      <c r="D43" s="21"/>
      <c r="E43" s="21"/>
      <c r="F43" s="21"/>
      <c r="G43" s="21"/>
      <c r="H43" s="21"/>
      <c r="I43" s="21"/>
      <c r="J43" s="21"/>
      <c r="K43" s="173"/>
      <c r="M43" s="21"/>
      <c r="N43" s="21"/>
      <c r="O43" s="21"/>
      <c r="P43" s="21"/>
      <c r="Q43" s="21"/>
      <c r="R43" s="21"/>
    </row>
    <row r="44" spans="1:18">
      <c r="A44" s="179"/>
      <c r="B44" s="14"/>
      <c r="C44" s="13"/>
      <c r="D44" s="21"/>
      <c r="E44" s="21"/>
      <c r="F44" s="21"/>
      <c r="G44" s="21"/>
      <c r="H44" s="21"/>
      <c r="I44" s="21"/>
      <c r="J44" s="21"/>
      <c r="K44" s="173"/>
      <c r="M44" s="21"/>
      <c r="N44" s="21"/>
      <c r="O44" s="21"/>
      <c r="P44" s="21"/>
      <c r="Q44" s="21"/>
      <c r="R44" s="21"/>
    </row>
    <row r="45" spans="1:18">
      <c r="A45" s="179"/>
      <c r="B45" s="14"/>
      <c r="C45" s="13"/>
      <c r="D45" s="21"/>
      <c r="E45" s="21"/>
      <c r="F45" s="21"/>
      <c r="G45" s="21"/>
      <c r="H45" s="21"/>
      <c r="I45" s="21"/>
      <c r="J45" s="21"/>
      <c r="K45" s="173"/>
      <c r="M45" s="21"/>
      <c r="N45" s="21"/>
      <c r="O45" s="21"/>
      <c r="P45" s="21"/>
      <c r="Q45" s="21"/>
      <c r="R45" s="21"/>
    </row>
    <row r="46" spans="1:18">
      <c r="A46" s="194"/>
      <c r="B46" s="29"/>
      <c r="C46" s="11"/>
      <c r="D46" s="348"/>
      <c r="E46" s="11"/>
      <c r="F46" s="315"/>
      <c r="G46" s="349"/>
      <c r="H46" s="315"/>
      <c r="I46" s="349"/>
      <c r="J46" s="50"/>
      <c r="K46" s="195"/>
      <c r="M46" s="196"/>
      <c r="N46" s="13"/>
      <c r="O46" s="197"/>
      <c r="P46" s="198"/>
      <c r="Q46" s="197"/>
      <c r="R46" s="198"/>
    </row>
    <row r="47" spans="1:18">
      <c r="A47" s="49"/>
      <c r="B47" s="14"/>
      <c r="C47" s="13"/>
      <c r="D47" s="196"/>
      <c r="E47" s="13"/>
      <c r="F47" s="197"/>
      <c r="G47" s="198"/>
      <c r="H47" s="197"/>
      <c r="I47" s="198"/>
      <c r="J47" s="21"/>
      <c r="K47" s="21"/>
      <c r="L47" s="21"/>
      <c r="M47" s="196"/>
      <c r="N47" s="13"/>
      <c r="O47" s="197"/>
      <c r="P47" s="198"/>
      <c r="Q47" s="197"/>
      <c r="R47" s="198"/>
    </row>
    <row r="48" spans="1:18" s="21" customFormat="1">
      <c r="B48" s="14"/>
      <c r="C48" s="13"/>
      <c r="D48" s="196"/>
      <c r="E48" s="13"/>
      <c r="F48" s="197"/>
      <c r="G48" s="198"/>
      <c r="H48" s="197"/>
      <c r="I48" s="198"/>
      <c r="M48" s="196"/>
      <c r="N48" s="13"/>
      <c r="O48" s="197"/>
      <c r="P48" s="198"/>
      <c r="Q48" s="197"/>
      <c r="R48" s="198"/>
    </row>
    <row r="49" spans="2:18" s="21" customFormat="1">
      <c r="B49" s="14"/>
      <c r="C49" s="13"/>
      <c r="D49" s="196"/>
      <c r="E49" s="13"/>
      <c r="F49" s="197"/>
      <c r="G49" s="198"/>
      <c r="H49" s="197"/>
      <c r="I49" s="198"/>
      <c r="M49" s="196"/>
      <c r="N49" s="13"/>
      <c r="O49" s="197"/>
      <c r="P49" s="198"/>
      <c r="Q49" s="197"/>
      <c r="R49" s="198"/>
    </row>
    <row r="50" spans="2:18" s="104" customFormat="1" ht="15" customHeight="1">
      <c r="B50" s="14"/>
      <c r="C50" s="13"/>
      <c r="D50" s="196"/>
      <c r="E50" s="13"/>
      <c r="F50" s="197"/>
      <c r="G50" s="198"/>
      <c r="H50" s="197"/>
      <c r="I50" s="198"/>
      <c r="M50" s="196"/>
      <c r="N50" s="13"/>
      <c r="O50" s="197"/>
      <c r="P50" s="198"/>
      <c r="Q50" s="197"/>
      <c r="R50" s="198"/>
    </row>
    <row r="51" spans="2:18" s="104" customFormat="1">
      <c r="B51" s="14"/>
      <c r="C51" s="13"/>
      <c r="D51" s="196"/>
      <c r="E51" s="13"/>
      <c r="F51" s="197"/>
      <c r="G51" s="198"/>
      <c r="H51" s="197"/>
      <c r="I51" s="198"/>
      <c r="M51" s="196"/>
      <c r="N51" s="13"/>
      <c r="O51" s="197"/>
      <c r="P51" s="198"/>
      <c r="Q51" s="197"/>
      <c r="R51" s="198"/>
    </row>
    <row r="52" spans="2:18" s="21" customFormat="1">
      <c r="B52" s="14"/>
      <c r="C52" s="13"/>
      <c r="D52" s="196"/>
      <c r="E52" s="13"/>
      <c r="F52" s="197"/>
      <c r="G52" s="198"/>
      <c r="H52" s="197"/>
      <c r="I52" s="198"/>
      <c r="M52" s="196"/>
      <c r="N52" s="13"/>
      <c r="O52" s="197"/>
      <c r="P52" s="198"/>
      <c r="Q52" s="197"/>
      <c r="R52" s="198"/>
    </row>
    <row r="53" spans="2:18" s="21" customFormat="1">
      <c r="B53" s="14"/>
      <c r="C53" s="13"/>
      <c r="D53" s="196"/>
      <c r="E53" s="13"/>
      <c r="F53" s="197"/>
      <c r="G53" s="198"/>
      <c r="H53" s="197"/>
      <c r="I53" s="198"/>
      <c r="M53" s="196"/>
      <c r="N53" s="13"/>
      <c r="O53" s="197"/>
      <c r="P53" s="198"/>
      <c r="Q53" s="197"/>
      <c r="R53" s="198"/>
    </row>
    <row r="54" spans="2:18" s="21" customFormat="1">
      <c r="B54" s="14"/>
      <c r="C54" s="13"/>
      <c r="D54" s="196"/>
      <c r="E54" s="13"/>
      <c r="F54" s="197"/>
      <c r="G54" s="198"/>
      <c r="H54" s="197"/>
      <c r="I54" s="198"/>
      <c r="M54" s="196"/>
      <c r="N54" s="13"/>
      <c r="O54" s="197"/>
      <c r="P54" s="198"/>
      <c r="Q54" s="197"/>
      <c r="R54" s="198"/>
    </row>
    <row r="55" spans="2:18" s="21" customFormat="1">
      <c r="B55" s="14"/>
      <c r="C55" s="13"/>
      <c r="D55" s="196"/>
      <c r="E55" s="13"/>
      <c r="F55" s="197"/>
      <c r="G55" s="198"/>
      <c r="H55" s="197"/>
      <c r="I55" s="198"/>
      <c r="M55" s="196"/>
      <c r="N55" s="13"/>
      <c r="O55" s="197"/>
      <c r="P55" s="198"/>
      <c r="Q55" s="197"/>
      <c r="R55" s="198"/>
    </row>
    <row r="56" spans="2:18" s="21" customFormat="1">
      <c r="B56" s="14"/>
      <c r="C56" s="13"/>
      <c r="D56" s="196"/>
      <c r="E56" s="13"/>
      <c r="F56" s="197"/>
      <c r="G56" s="198"/>
      <c r="H56" s="197"/>
      <c r="I56" s="198"/>
      <c r="M56" s="196"/>
      <c r="N56" s="13"/>
      <c r="O56" s="197"/>
      <c r="P56" s="198"/>
      <c r="Q56" s="197"/>
      <c r="R56" s="198"/>
    </row>
    <row r="57" spans="2:18" s="21" customFormat="1">
      <c r="B57" s="14"/>
      <c r="C57" s="13"/>
      <c r="D57" s="196"/>
      <c r="E57" s="13"/>
      <c r="F57" s="197"/>
      <c r="G57" s="198"/>
      <c r="H57" s="197"/>
      <c r="I57" s="198"/>
      <c r="M57" s="196"/>
      <c r="N57" s="13"/>
      <c r="O57" s="197"/>
      <c r="P57" s="198"/>
      <c r="Q57" s="197"/>
      <c r="R57" s="198"/>
    </row>
    <row r="58" spans="2:18" s="21" customFormat="1">
      <c r="B58" s="14"/>
      <c r="C58" s="13"/>
      <c r="D58" s="196"/>
      <c r="E58" s="13"/>
      <c r="F58" s="197"/>
      <c r="G58" s="198"/>
      <c r="H58" s="197"/>
      <c r="I58" s="198"/>
      <c r="M58" s="196"/>
      <c r="N58" s="13"/>
      <c r="O58" s="197"/>
      <c r="P58" s="198"/>
      <c r="Q58" s="197"/>
      <c r="R58" s="198"/>
    </row>
    <row r="59" spans="2:18" s="21" customFormat="1">
      <c r="B59" s="14"/>
      <c r="C59" s="13"/>
      <c r="D59" s="196"/>
      <c r="E59" s="13"/>
      <c r="F59" s="197"/>
      <c r="G59" s="198"/>
      <c r="H59" s="197"/>
      <c r="I59" s="198"/>
      <c r="M59" s="196"/>
      <c r="N59" s="13"/>
      <c r="O59" s="197"/>
      <c r="P59" s="198"/>
      <c r="Q59" s="197"/>
      <c r="R59" s="198"/>
    </row>
    <row r="60" spans="2:18" s="21" customFormat="1">
      <c r="B60" s="14"/>
      <c r="C60" s="13"/>
      <c r="D60" s="196"/>
      <c r="E60" s="13"/>
      <c r="F60" s="197"/>
      <c r="G60" s="198"/>
      <c r="H60" s="197"/>
      <c r="I60" s="198"/>
      <c r="M60" s="196"/>
      <c r="N60" s="13"/>
      <c r="O60" s="197"/>
      <c r="P60" s="198"/>
      <c r="Q60" s="197"/>
      <c r="R60" s="198"/>
    </row>
    <row r="61" spans="2:18" s="21" customFormat="1">
      <c r="B61" s="14"/>
      <c r="C61" s="13"/>
      <c r="D61" s="196"/>
      <c r="E61" s="13"/>
      <c r="F61" s="197"/>
      <c r="G61" s="198"/>
      <c r="H61" s="197"/>
      <c r="I61" s="198"/>
      <c r="M61" s="196"/>
      <c r="N61" s="13"/>
      <c r="O61" s="197"/>
      <c r="P61" s="198"/>
      <c r="Q61" s="197"/>
      <c r="R61" s="198"/>
    </row>
    <row r="62" spans="2:18" s="21" customFormat="1">
      <c r="B62" s="14"/>
      <c r="C62" s="13"/>
      <c r="D62" s="196"/>
      <c r="E62" s="13"/>
      <c r="F62" s="197"/>
      <c r="G62" s="198"/>
      <c r="H62" s="197"/>
      <c r="I62" s="198"/>
      <c r="M62" s="196"/>
      <c r="N62" s="13"/>
      <c r="O62" s="197"/>
      <c r="P62" s="198"/>
      <c r="Q62" s="197"/>
      <c r="R62" s="198"/>
    </row>
    <row r="63" spans="2:18" s="21" customFormat="1">
      <c r="B63" s="14"/>
      <c r="C63" s="13"/>
      <c r="D63" s="196"/>
      <c r="E63" s="13"/>
      <c r="F63" s="197"/>
      <c r="G63" s="198"/>
      <c r="H63" s="197"/>
      <c r="I63" s="198"/>
      <c r="M63" s="196"/>
      <c r="N63" s="13"/>
      <c r="O63" s="197"/>
      <c r="P63" s="198"/>
      <c r="Q63" s="197"/>
      <c r="R63" s="198"/>
    </row>
    <row r="64" spans="2:18" s="21" customFormat="1">
      <c r="B64" s="14"/>
      <c r="C64" s="13"/>
      <c r="D64" s="196"/>
      <c r="E64" s="13"/>
      <c r="F64" s="197"/>
      <c r="G64" s="198"/>
      <c r="H64" s="197"/>
      <c r="I64" s="198"/>
      <c r="M64" s="196"/>
      <c r="N64" s="13"/>
      <c r="O64" s="197"/>
      <c r="P64" s="198"/>
      <c r="Q64" s="197"/>
      <c r="R64" s="198"/>
    </row>
    <row r="65" spans="2:18" s="21" customFormat="1">
      <c r="B65" s="14"/>
      <c r="C65" s="13"/>
      <c r="D65" s="196"/>
      <c r="E65" s="13"/>
      <c r="F65" s="197"/>
      <c r="G65" s="198"/>
      <c r="H65" s="197"/>
      <c r="I65" s="198"/>
      <c r="M65" s="196"/>
      <c r="N65" s="13"/>
      <c r="O65" s="197"/>
      <c r="P65" s="198"/>
      <c r="Q65" s="197"/>
      <c r="R65" s="198"/>
    </row>
    <row r="66" spans="2:18" s="21" customFormat="1">
      <c r="B66" s="14"/>
      <c r="C66" s="13"/>
      <c r="D66" s="196"/>
      <c r="E66" s="13"/>
      <c r="F66" s="197"/>
      <c r="G66" s="198"/>
      <c r="H66" s="197"/>
      <c r="I66" s="198"/>
      <c r="M66" s="196"/>
      <c r="N66" s="13"/>
      <c r="O66" s="197"/>
      <c r="P66" s="198"/>
      <c r="Q66" s="197"/>
      <c r="R66" s="198"/>
    </row>
    <row r="67" spans="2:18" s="21" customFormat="1">
      <c r="B67" s="14"/>
      <c r="C67" s="13"/>
      <c r="D67" s="196"/>
      <c r="E67" s="13"/>
      <c r="F67" s="197"/>
      <c r="G67" s="198"/>
      <c r="H67" s="197"/>
      <c r="I67" s="198"/>
      <c r="M67" s="196"/>
      <c r="N67" s="13"/>
      <c r="O67" s="197"/>
      <c r="P67" s="198"/>
      <c r="Q67" s="197"/>
      <c r="R67" s="198"/>
    </row>
    <row r="68" spans="2:18" s="21" customFormat="1">
      <c r="B68" s="14"/>
      <c r="C68" s="13"/>
      <c r="D68" s="196"/>
      <c r="E68" s="13"/>
      <c r="F68" s="197"/>
      <c r="G68" s="198"/>
      <c r="H68" s="197"/>
      <c r="I68" s="198"/>
      <c r="M68" s="196"/>
      <c r="N68" s="13"/>
      <c r="O68" s="197"/>
      <c r="P68" s="198"/>
      <c r="Q68" s="197"/>
      <c r="R68" s="198"/>
    </row>
    <row r="69" spans="2:18" s="21" customFormat="1">
      <c r="B69" s="14"/>
      <c r="C69" s="13"/>
      <c r="D69" s="196"/>
      <c r="E69" s="13"/>
      <c r="F69" s="197"/>
      <c r="G69" s="198"/>
      <c r="H69" s="197"/>
      <c r="I69" s="198"/>
      <c r="M69" s="196"/>
      <c r="N69" s="13"/>
      <c r="O69" s="197"/>
      <c r="P69" s="198"/>
      <c r="Q69" s="197"/>
      <c r="R69" s="198"/>
    </row>
    <row r="70" spans="2:18" s="21" customFormat="1">
      <c r="B70" s="14"/>
      <c r="C70" s="13"/>
      <c r="D70" s="196"/>
      <c r="E70" s="13"/>
      <c r="F70" s="197"/>
      <c r="G70" s="198"/>
      <c r="H70" s="197"/>
      <c r="I70" s="198"/>
      <c r="M70" s="196"/>
      <c r="N70" s="13"/>
      <c r="O70" s="197"/>
      <c r="P70" s="198"/>
      <c r="Q70" s="197"/>
      <c r="R70" s="198"/>
    </row>
    <row r="71" spans="2:18" s="21" customFormat="1">
      <c r="B71" s="14"/>
      <c r="C71" s="13"/>
      <c r="D71" s="196"/>
      <c r="E71" s="13"/>
      <c r="F71" s="197"/>
      <c r="G71" s="198"/>
      <c r="H71" s="197"/>
      <c r="I71" s="198"/>
      <c r="M71" s="196"/>
      <c r="N71" s="13"/>
      <c r="O71" s="197"/>
      <c r="P71" s="198"/>
      <c r="Q71" s="197"/>
      <c r="R71" s="198"/>
    </row>
    <row r="72" spans="2:18" s="21" customFormat="1">
      <c r="B72" s="14"/>
      <c r="C72" s="13"/>
      <c r="D72" s="196"/>
      <c r="E72" s="13"/>
      <c r="F72" s="197"/>
      <c r="G72" s="198"/>
      <c r="H72" s="197"/>
      <c r="I72" s="198"/>
      <c r="M72" s="196"/>
      <c r="N72" s="13"/>
      <c r="O72" s="197"/>
      <c r="P72" s="198"/>
      <c r="Q72" s="197"/>
      <c r="R72" s="198"/>
    </row>
    <row r="73" spans="2:18" s="21" customFormat="1">
      <c r="B73" s="14"/>
      <c r="C73" s="13"/>
      <c r="D73" s="196"/>
      <c r="E73" s="13"/>
      <c r="F73" s="197"/>
      <c r="G73" s="198"/>
      <c r="H73" s="197"/>
      <c r="I73" s="198"/>
      <c r="M73" s="196"/>
      <c r="N73" s="13"/>
      <c r="O73" s="197"/>
      <c r="P73" s="198"/>
      <c r="Q73" s="197"/>
      <c r="R73" s="198"/>
    </row>
    <row r="74" spans="2:18" s="21" customFormat="1">
      <c r="B74" s="14"/>
      <c r="C74" s="13"/>
      <c r="D74" s="196"/>
      <c r="E74" s="13"/>
      <c r="F74" s="197"/>
      <c r="G74" s="198"/>
      <c r="H74" s="197"/>
      <c r="I74" s="198"/>
      <c r="M74" s="196"/>
      <c r="N74" s="13"/>
      <c r="O74" s="197"/>
      <c r="P74" s="198"/>
      <c r="Q74" s="197"/>
      <c r="R74" s="198"/>
    </row>
    <row r="75" spans="2:18" s="21" customFormat="1">
      <c r="B75" s="14"/>
      <c r="C75" s="13"/>
      <c r="D75" s="196"/>
      <c r="E75" s="13"/>
      <c r="F75" s="197"/>
      <c r="G75" s="198"/>
      <c r="H75" s="197"/>
      <c r="I75" s="198"/>
      <c r="M75" s="196"/>
      <c r="N75" s="13"/>
      <c r="O75" s="197"/>
      <c r="P75" s="198"/>
      <c r="Q75" s="197"/>
      <c r="R75" s="198"/>
    </row>
    <row r="76" spans="2:18" s="21" customFormat="1">
      <c r="B76" s="14"/>
      <c r="C76" s="13"/>
      <c r="D76" s="196"/>
      <c r="E76" s="13"/>
      <c r="F76" s="197"/>
      <c r="G76" s="198"/>
      <c r="H76" s="197"/>
      <c r="I76" s="198"/>
      <c r="M76" s="196"/>
      <c r="N76" s="13"/>
      <c r="O76" s="197"/>
      <c r="P76" s="198"/>
      <c r="Q76" s="197"/>
      <c r="R76" s="198"/>
    </row>
    <row r="77" spans="2:18" s="21" customFormat="1">
      <c r="B77" s="14"/>
      <c r="C77" s="13"/>
      <c r="D77" s="196"/>
      <c r="E77" s="13"/>
      <c r="F77" s="197"/>
      <c r="G77" s="198"/>
      <c r="H77" s="197"/>
      <c r="I77" s="198"/>
      <c r="M77" s="196"/>
      <c r="N77" s="13"/>
      <c r="O77" s="197"/>
      <c r="P77" s="198"/>
      <c r="Q77" s="197"/>
      <c r="R77" s="198"/>
    </row>
    <row r="78" spans="2:18" s="21" customFormat="1">
      <c r="B78" s="14"/>
      <c r="C78" s="13"/>
      <c r="D78" s="196"/>
      <c r="E78" s="13"/>
      <c r="F78" s="197"/>
      <c r="G78" s="198"/>
      <c r="H78" s="197"/>
      <c r="I78" s="198"/>
      <c r="M78" s="196"/>
      <c r="N78" s="13"/>
      <c r="O78" s="197"/>
      <c r="P78" s="198"/>
      <c r="Q78" s="197"/>
      <c r="R78" s="198"/>
    </row>
    <row r="79" spans="2:18" s="21" customFormat="1">
      <c r="B79" s="14"/>
      <c r="C79" s="13"/>
      <c r="D79" s="196"/>
      <c r="E79" s="13"/>
      <c r="F79" s="197"/>
      <c r="G79" s="198"/>
      <c r="H79" s="197"/>
      <c r="I79" s="198"/>
      <c r="M79" s="196"/>
      <c r="N79" s="13"/>
      <c r="O79" s="197"/>
      <c r="P79" s="198"/>
      <c r="Q79" s="197"/>
      <c r="R79" s="198"/>
    </row>
    <row r="80" spans="2:18" s="21" customFormat="1">
      <c r="B80" s="14"/>
      <c r="C80" s="13"/>
      <c r="D80" s="199"/>
      <c r="E80" s="200"/>
      <c r="F80" s="231"/>
      <c r="G80" s="202"/>
      <c r="H80" s="231"/>
      <c r="I80" s="202"/>
      <c r="M80" s="199"/>
      <c r="N80" s="200"/>
      <c r="O80" s="231"/>
      <c r="P80" s="202"/>
      <c r="Q80" s="231"/>
      <c r="R80" s="202"/>
    </row>
    <row r="81" spans="2:18" s="21" customFormat="1">
      <c r="B81" s="14"/>
      <c r="C81" s="13"/>
      <c r="D81" s="199"/>
      <c r="E81" s="199"/>
      <c r="F81" s="199"/>
      <c r="G81" s="199"/>
      <c r="H81" s="199"/>
      <c r="I81" s="199"/>
      <c r="M81" s="199"/>
      <c r="N81" s="199"/>
      <c r="O81" s="199"/>
      <c r="P81" s="199"/>
      <c r="Q81" s="199"/>
      <c r="R81" s="199"/>
    </row>
    <row r="82" spans="2:18" s="21" customFormat="1">
      <c r="B82" s="14"/>
      <c r="C82" s="13"/>
      <c r="D82" s="199"/>
      <c r="E82" s="199"/>
      <c r="F82" s="199"/>
      <c r="G82" s="199"/>
      <c r="H82" s="199"/>
      <c r="I82" s="199"/>
      <c r="M82" s="199"/>
      <c r="N82" s="199"/>
      <c r="O82" s="199"/>
      <c r="P82" s="199"/>
      <c r="Q82" s="199"/>
      <c r="R82" s="199"/>
    </row>
    <row r="83" spans="2:18" s="21" customFormat="1">
      <c r="B83" s="14"/>
      <c r="C83" s="13"/>
      <c r="D83" s="203"/>
      <c r="E83" s="232"/>
      <c r="F83" s="199"/>
      <c r="G83" s="199"/>
      <c r="H83" s="199"/>
      <c r="I83" s="199"/>
      <c r="M83" s="203"/>
      <c r="N83" s="232"/>
      <c r="O83" s="199"/>
      <c r="P83" s="199"/>
      <c r="Q83" s="199"/>
      <c r="R83" s="199"/>
    </row>
    <row r="84" spans="2:18" s="21" customFormat="1">
      <c r="B84" s="14"/>
      <c r="C84" s="13"/>
      <c r="D84" s="200"/>
      <c r="E84" s="232"/>
      <c r="F84" s="199"/>
      <c r="G84" s="199"/>
      <c r="H84" s="199"/>
      <c r="I84" s="199"/>
      <c r="M84" s="200"/>
      <c r="N84" s="232"/>
      <c r="O84" s="199"/>
      <c r="P84" s="199"/>
      <c r="Q84" s="199"/>
      <c r="R84" s="199"/>
    </row>
    <row r="85" spans="2:18" s="21" customFormat="1">
      <c r="B85" s="14"/>
      <c r="C85" s="13"/>
      <c r="D85" s="199"/>
      <c r="E85" s="232"/>
      <c r="F85" s="199"/>
      <c r="G85" s="199"/>
      <c r="H85" s="199"/>
      <c r="I85" s="199"/>
      <c r="M85" s="199"/>
      <c r="N85" s="232"/>
      <c r="O85" s="199"/>
      <c r="P85" s="199"/>
      <c r="Q85" s="199"/>
      <c r="R85" s="199"/>
    </row>
    <row r="86" spans="2:18" s="21" customFormat="1" ht="14">
      <c r="B86" s="199"/>
      <c r="C86" s="200"/>
      <c r="D86" s="205"/>
      <c r="E86" s="205"/>
      <c r="F86" s="205"/>
      <c r="G86" s="205"/>
      <c r="H86" s="205"/>
      <c r="I86" s="205"/>
      <c r="M86" s="205"/>
      <c r="N86" s="205"/>
      <c r="O86" s="205"/>
      <c r="P86" s="205"/>
      <c r="Q86" s="205"/>
      <c r="R86" s="205"/>
    </row>
    <row r="87" spans="2:18" s="21" customFormat="1" ht="14">
      <c r="B87" s="104"/>
      <c r="C87" s="104"/>
      <c r="D87" s="205"/>
      <c r="E87" s="205"/>
      <c r="F87" s="205"/>
      <c r="G87" s="205"/>
      <c r="H87" s="205"/>
      <c r="I87" s="205"/>
      <c r="M87" s="205"/>
      <c r="N87" s="205"/>
      <c r="O87" s="205"/>
      <c r="P87" s="205"/>
      <c r="Q87" s="205"/>
      <c r="R87" s="205"/>
    </row>
    <row r="88" spans="2:18" s="21" customFormat="1" ht="14">
      <c r="B88" s="104"/>
      <c r="C88" s="104"/>
      <c r="D88" s="206"/>
      <c r="E88" s="233"/>
      <c r="F88" s="205"/>
      <c r="G88" s="205"/>
      <c r="H88" s="205"/>
      <c r="I88" s="205"/>
      <c r="M88" s="206"/>
      <c r="N88" s="233"/>
      <c r="O88" s="205"/>
      <c r="P88" s="205"/>
      <c r="Q88" s="205"/>
      <c r="R88" s="205"/>
    </row>
    <row r="89" spans="2:18" s="21" customFormat="1" ht="14">
      <c r="B89" s="203"/>
      <c r="C89" s="232"/>
      <c r="D89" s="208"/>
      <c r="E89" s="233"/>
      <c r="F89" s="205"/>
      <c r="G89" s="205"/>
      <c r="H89" s="205"/>
      <c r="I89" s="205"/>
      <c r="M89" s="208"/>
      <c r="N89" s="233"/>
      <c r="O89" s="205"/>
      <c r="P89" s="205"/>
      <c r="Q89" s="205"/>
      <c r="R89" s="205"/>
    </row>
    <row r="90" spans="2:18" s="21" customFormat="1" ht="14">
      <c r="B90" s="209"/>
      <c r="C90" s="232"/>
      <c r="D90" s="205"/>
      <c r="E90" s="233"/>
      <c r="F90" s="205"/>
      <c r="G90" s="205"/>
      <c r="H90" s="205"/>
      <c r="I90" s="205"/>
      <c r="M90" s="205"/>
      <c r="N90" s="233"/>
      <c r="O90" s="205"/>
      <c r="P90" s="205"/>
      <c r="Q90" s="205"/>
      <c r="R90" s="205"/>
    </row>
    <row r="91" spans="2:18" s="21" customFormat="1">
      <c r="C91" s="232"/>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1" customWidth="1"/>
    <col min="2" max="2" width="50.81640625" style="101" customWidth="1"/>
    <col min="3" max="3" width="14.81640625" style="101" customWidth="1"/>
    <col min="4" max="4" width="19" style="101" customWidth="1"/>
    <col min="5" max="5" width="4.81640625" style="101" customWidth="1"/>
    <col min="6" max="6" width="23.1796875" style="101" customWidth="1"/>
    <col min="7" max="7" width="4.81640625" style="101" customWidth="1"/>
    <col min="8" max="8" width="18.81640625" style="101" customWidth="1"/>
    <col min="9" max="9" width="4.81640625" style="101" customWidth="1"/>
    <col min="10" max="10" width="25.81640625" style="101" customWidth="1"/>
    <col min="11" max="11" width="1.1796875" style="101" customWidth="1"/>
    <col min="12" max="12" width="11.54296875" style="101" bestFit="1" customWidth="1"/>
    <col min="13" max="16384" width="9.1796875" style="101"/>
  </cols>
  <sheetData>
    <row r="1" spans="1:13" ht="6" customHeight="1">
      <c r="A1" s="98"/>
      <c r="B1" s="99"/>
      <c r="C1" s="99"/>
      <c r="D1" s="99"/>
      <c r="E1" s="99"/>
      <c r="F1" s="99"/>
      <c r="G1" s="99"/>
      <c r="H1" s="99"/>
      <c r="I1" s="99"/>
      <c r="J1" s="99"/>
      <c r="K1" s="100"/>
    </row>
    <row r="2" spans="1:13" ht="18">
      <c r="A2" s="102"/>
      <c r="B2" s="103" t="str">
        <f>'Cover Sheet'!B2</f>
        <v>SC Germany Consumer 2021-1</v>
      </c>
      <c r="C2" s="888"/>
      <c r="D2" s="105" t="str">
        <f>'Cover Sheet'!D2</f>
        <v>Calculation Date</v>
      </c>
      <c r="E2" s="106"/>
      <c r="F2" s="107">
        <f>'Cover Sheet'!F2</f>
        <v>45820</v>
      </c>
      <c r="G2" s="106"/>
      <c r="H2" s="106"/>
      <c r="I2" s="106"/>
      <c r="J2" s="108"/>
      <c r="K2" s="109"/>
      <c r="L2" s="889"/>
    </row>
    <row r="3" spans="1:13" ht="18">
      <c r="A3" s="102"/>
      <c r="B3" s="103" t="str">
        <f>'Cover Sheet'!B3</f>
        <v>Monthly Investor Report</v>
      </c>
      <c r="C3" s="888"/>
      <c r="D3" s="111" t="str">
        <f>'Cover Sheet'!D3</f>
        <v>Payment Date</v>
      </c>
      <c r="E3" s="112"/>
      <c r="F3" s="113">
        <f>'Cover Sheet'!F3</f>
        <v>45824</v>
      </c>
      <c r="G3" s="112"/>
      <c r="H3" s="112"/>
      <c r="I3" s="112"/>
      <c r="J3" s="114"/>
      <c r="K3" s="109"/>
      <c r="L3" s="890"/>
    </row>
    <row r="4" spans="1:13" ht="13">
      <c r="A4" s="102"/>
      <c r="B4" s="157"/>
      <c r="C4" s="115"/>
      <c r="D4" s="111" t="str">
        <f>'Cover Sheet'!D4</f>
        <v>Period  No</v>
      </c>
      <c r="E4" s="112"/>
      <c r="F4" s="116">
        <f>'Cover Sheet'!F4</f>
        <v>43</v>
      </c>
      <c r="G4" s="112"/>
      <c r="H4" s="902">
        <f>F4-1</f>
        <v>42</v>
      </c>
      <c r="I4" s="112"/>
      <c r="J4" s="118"/>
      <c r="K4" s="109"/>
      <c r="L4" s="889"/>
    </row>
    <row r="5" spans="1:13" ht="18">
      <c r="A5" s="102"/>
      <c r="B5" s="119" t="s">
        <v>32</v>
      </c>
      <c r="C5" s="891"/>
      <c r="D5" s="111" t="str">
        <f>'Cover Sheet'!D5</f>
        <v>Monthly Period</v>
      </c>
      <c r="E5" s="112"/>
      <c r="F5" s="120">
        <f>'Cover Sheet'!F5</f>
        <v>45824</v>
      </c>
      <c r="G5" s="112"/>
      <c r="H5" s="117"/>
      <c r="I5" s="112"/>
      <c r="J5" s="118"/>
      <c r="K5" s="109"/>
      <c r="L5" s="890"/>
    </row>
    <row r="6" spans="1:13"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25"/>
    </row>
    <row r="7" spans="1:13" ht="13">
      <c r="A7" s="102"/>
      <c r="B7" s="892"/>
      <c r="C7" s="892"/>
      <c r="D7" s="126" t="str">
        <f>'Cover Sheet'!D7</f>
        <v>Collection Period</v>
      </c>
      <c r="E7" s="127" t="str">
        <f>'Cover Sheet'!E7</f>
        <v>from</v>
      </c>
      <c r="F7" s="128" t="str">
        <f>'Cover Sheet'!F7</f>
        <v>01.05.2025</v>
      </c>
      <c r="G7" s="127" t="str">
        <f>'Cover Sheet'!G7</f>
        <v>to</v>
      </c>
      <c r="H7" s="128">
        <f>'Cover Sheet'!H7</f>
        <v>45808</v>
      </c>
      <c r="I7" s="359"/>
      <c r="J7" s="165"/>
      <c r="K7" s="109"/>
    </row>
    <row r="8" spans="1:13" ht="13">
      <c r="A8" s="102"/>
      <c r="B8" s="104"/>
      <c r="C8" s="104"/>
      <c r="D8" s="163"/>
      <c r="E8" s="104"/>
      <c r="F8" s="131"/>
      <c r="G8" s="132"/>
      <c r="H8" s="133"/>
      <c r="I8" s="104"/>
      <c r="J8" s="104"/>
      <c r="K8" s="109"/>
    </row>
    <row r="9" spans="1:13" ht="13">
      <c r="A9" s="102"/>
      <c r="B9" s="104"/>
      <c r="C9" s="104"/>
      <c r="D9" s="163"/>
      <c r="E9" s="104"/>
      <c r="F9" s="131"/>
      <c r="G9" s="132"/>
      <c r="H9" s="133"/>
      <c r="I9" s="104"/>
      <c r="J9" s="104"/>
      <c r="K9" s="109"/>
    </row>
    <row r="10" spans="1:13" ht="13">
      <c r="A10" s="102"/>
      <c r="B10" s="104"/>
      <c r="C10" s="104"/>
      <c r="D10" s="163"/>
      <c r="E10" s="104"/>
      <c r="F10" s="131"/>
      <c r="G10" s="132"/>
      <c r="H10" s="133"/>
      <c r="I10" s="104"/>
      <c r="J10" s="104"/>
      <c r="K10" s="109"/>
    </row>
    <row r="11" spans="1:13" ht="18" customHeight="1">
      <c r="A11" s="102"/>
      <c r="B11" s="104"/>
      <c r="C11" s="104"/>
      <c r="D11" s="163"/>
      <c r="E11" s="104"/>
      <c r="F11" s="131" t="s">
        <v>101</v>
      </c>
      <c r="G11" s="132"/>
      <c r="H11" s="133"/>
      <c r="I11" s="104"/>
      <c r="J11" s="132" t="s">
        <v>102</v>
      </c>
      <c r="K11" s="109"/>
    </row>
    <row r="12" spans="1:13">
      <c r="A12" s="102"/>
      <c r="B12" s="104"/>
      <c r="C12" s="104"/>
      <c r="D12" s="104"/>
      <c r="E12" s="104"/>
      <c r="F12" s="104"/>
      <c r="G12" s="104"/>
      <c r="H12" s="104"/>
      <c r="I12" s="104"/>
      <c r="J12" s="104"/>
      <c r="K12" s="109"/>
    </row>
    <row r="13" spans="1:13" ht="26">
      <c r="A13" s="102"/>
      <c r="B13" s="103" t="s">
        <v>52</v>
      </c>
      <c r="C13" s="893" t="s">
        <v>109</v>
      </c>
      <c r="E13" s="135"/>
      <c r="F13" s="893" t="s">
        <v>103</v>
      </c>
      <c r="G13" s="104"/>
      <c r="H13" s="104"/>
      <c r="I13" s="104"/>
      <c r="J13" s="893" t="s">
        <v>103</v>
      </c>
      <c r="K13" s="109"/>
      <c r="L13" s="894"/>
    </row>
    <row r="14" spans="1:13" ht="18">
      <c r="A14" s="102"/>
      <c r="B14" s="103"/>
      <c r="C14" s="893"/>
      <c r="E14" s="135"/>
      <c r="F14" s="903"/>
      <c r="G14" s="104"/>
      <c r="H14" s="104"/>
      <c r="I14" s="104"/>
      <c r="J14" s="895"/>
      <c r="K14" s="109"/>
    </row>
    <row r="15" spans="1:13" ht="13">
      <c r="A15" s="102"/>
      <c r="B15" s="141" t="s">
        <v>13</v>
      </c>
      <c r="C15" s="511">
        <f>VLOOKUP("Nbr_loans_bop",Assets_21,3,0)</f>
        <v>53059</v>
      </c>
      <c r="D15" s="59"/>
      <c r="E15" s="141"/>
      <c r="F15" s="904">
        <f>VLOOKUP("Outstanding_bop_current",calcdata_21,2,FALSE)</f>
        <v>533508450.68999988</v>
      </c>
      <c r="G15" s="896"/>
      <c r="H15" s="896"/>
      <c r="I15" s="896"/>
      <c r="J15" s="897">
        <f>VLOOKUP("Outstanding_bop_previous",calcdata_21,2,FALSE)</f>
        <v>553545473.4799999</v>
      </c>
      <c r="K15" s="109"/>
    </row>
    <row r="16" spans="1:13" ht="13">
      <c r="A16" s="102"/>
      <c r="F16" s="905"/>
      <c r="G16" s="883"/>
      <c r="H16" s="883"/>
      <c r="I16" s="883"/>
      <c r="J16" s="882"/>
      <c r="K16" s="109"/>
    </row>
    <row r="17" spans="1:11">
      <c r="A17" s="102"/>
      <c r="B17" s="104" t="s">
        <v>37</v>
      </c>
      <c r="C17" s="906"/>
      <c r="E17" s="104"/>
      <c r="F17" s="309">
        <f>F20-F18</f>
        <v>12493808.939999998</v>
      </c>
      <c r="G17" s="883"/>
      <c r="H17" s="883"/>
      <c r="I17" s="883"/>
      <c r="J17" s="309">
        <f>J20-J18</f>
        <v>12678318.619999994</v>
      </c>
      <c r="K17" s="109"/>
    </row>
    <row r="18" spans="1:11">
      <c r="A18" s="102"/>
      <c r="B18" s="104" t="s">
        <v>38</v>
      </c>
      <c r="C18" s="104"/>
      <c r="E18" s="104"/>
      <c r="F18" s="309">
        <f>VLOOKUP(F4,'1.1 Portfolio Information p.p.'!B:E,4,FALSE)</f>
        <v>6201286.3600000041</v>
      </c>
      <c r="G18" s="883"/>
      <c r="H18" s="907"/>
      <c r="I18" s="883"/>
      <c r="J18" s="309">
        <f>VLOOKUP(H4,'1.1 Portfolio Information p.p.'!B:E,4,FALSE)</f>
        <v>6032932.230000007</v>
      </c>
      <c r="K18" s="109"/>
    </row>
    <row r="19" spans="1:11" ht="13">
      <c r="A19" s="102"/>
      <c r="B19" s="104"/>
      <c r="C19" s="104"/>
      <c r="E19" s="104"/>
      <c r="F19" s="885"/>
      <c r="G19" s="883"/>
      <c r="H19" s="883"/>
      <c r="I19" s="883"/>
      <c r="J19" s="882"/>
      <c r="K19" s="109"/>
    </row>
    <row r="20" spans="1:11" ht="13">
      <c r="A20" s="102"/>
      <c r="B20" s="141" t="s">
        <v>39</v>
      </c>
      <c r="C20" s="906"/>
      <c r="E20" s="104"/>
      <c r="F20" s="908">
        <f>VLOOKUP("Total_Principal_Collections_current",calcdata_21,2,FALSE)</f>
        <v>18695095.300000001</v>
      </c>
      <c r="G20" s="883"/>
      <c r="H20" s="883"/>
      <c r="I20" s="883"/>
      <c r="J20" s="882">
        <f>VLOOKUP("Total_Principal_Collections_previous",calcdata_21,2,FALSE)</f>
        <v>18711250.850000001</v>
      </c>
      <c r="K20" s="109"/>
    </row>
    <row r="21" spans="1:11" ht="13">
      <c r="A21" s="102"/>
      <c r="E21" s="104"/>
      <c r="F21" s="905"/>
      <c r="G21" s="883"/>
      <c r="H21" s="883"/>
      <c r="I21" s="883"/>
      <c r="J21" s="882"/>
      <c r="K21" s="109"/>
    </row>
    <row r="22" spans="1:11" ht="13">
      <c r="A22" s="102"/>
      <c r="B22" s="141" t="s">
        <v>40</v>
      </c>
      <c r="C22" s="909"/>
      <c r="E22" s="104"/>
      <c r="F22" s="908">
        <f>VLOOKUP("Collected_Interest_Portion_current",calcdata_21,2,FALSE)</f>
        <v>2224531.1800000002</v>
      </c>
      <c r="G22" s="883"/>
      <c r="H22" s="883"/>
      <c r="I22" s="883"/>
      <c r="J22" s="882">
        <f>VLOOKUP("Collected_Interest_Portion_previous",calcdata_21,2,FALSE)</f>
        <v>2310325.35</v>
      </c>
      <c r="K22" s="109"/>
    </row>
    <row r="23" spans="1:11" ht="13">
      <c r="A23" s="102"/>
      <c r="B23" s="141"/>
      <c r="C23" s="909"/>
      <c r="E23" s="104"/>
      <c r="F23" s="908"/>
      <c r="G23" s="883"/>
      <c r="H23" s="883"/>
      <c r="I23" s="883"/>
      <c r="J23" s="882"/>
      <c r="K23" s="109"/>
    </row>
    <row r="24" spans="1:11" ht="13">
      <c r="A24" s="102"/>
      <c r="B24" s="141" t="s">
        <v>41</v>
      </c>
      <c r="C24" s="906"/>
      <c r="E24" s="104"/>
      <c r="F24" s="908">
        <f>VLOOKUP("Defaults_current",calcdata_21,2,FALSE)</f>
        <v>1410119.14</v>
      </c>
      <c r="G24" s="883"/>
      <c r="H24" s="883"/>
      <c r="I24" s="883"/>
      <c r="J24" s="882">
        <f>VLOOKUP("Defaults_previous",calcdata_21,2,FALSE)</f>
        <v>1325771.94</v>
      </c>
      <c r="K24" s="109"/>
    </row>
    <row r="25" spans="1:11" ht="13">
      <c r="A25" s="102"/>
      <c r="B25" s="141"/>
      <c r="C25" s="906"/>
      <c r="E25" s="104"/>
      <c r="F25" s="908"/>
      <c r="G25" s="883"/>
      <c r="H25" s="883"/>
      <c r="I25" s="883"/>
      <c r="J25" s="882"/>
      <c r="K25" s="109"/>
    </row>
    <row r="26" spans="1:11" ht="13">
      <c r="A26" s="102"/>
      <c r="B26" s="141" t="s">
        <v>145</v>
      </c>
      <c r="C26" s="906"/>
      <c r="E26" s="104"/>
      <c r="F26" s="908">
        <f>VLOOKUP("Replenishment_current",calcdata_21,2,FALSE)</f>
        <v>0</v>
      </c>
      <c r="G26" s="883"/>
      <c r="H26" s="883"/>
      <c r="I26" s="883"/>
      <c r="J26" s="882">
        <f>VLOOKUP("Replenishment_previous",calcdata_21,2,FALSE)</f>
        <v>0</v>
      </c>
      <c r="K26" s="109"/>
    </row>
    <row r="27" spans="1:11" ht="13">
      <c r="A27" s="102"/>
      <c r="B27" s="142"/>
      <c r="C27" s="104"/>
      <c r="E27" s="104"/>
      <c r="F27" s="885"/>
      <c r="G27" s="883"/>
      <c r="H27" s="883"/>
      <c r="I27" s="883"/>
      <c r="J27" s="882"/>
      <c r="K27" s="109"/>
    </row>
    <row r="28" spans="1:11" s="59" customFormat="1" ht="13">
      <c r="A28" s="898"/>
      <c r="B28" s="141" t="s">
        <v>14</v>
      </c>
      <c r="C28" s="910"/>
      <c r="E28" s="141"/>
      <c r="F28" s="911">
        <f>VLOOKUP("Outstanding_eop_current",calcdata_21,2,FALSE)</f>
        <v>513403236.24999988</v>
      </c>
      <c r="G28" s="899"/>
      <c r="H28" s="899"/>
      <c r="I28" s="899"/>
      <c r="J28" s="911">
        <f>VLOOKUP("Outstanding_eop_previous",calcdata_21,2,FALSE)</f>
        <v>533508450.68999988</v>
      </c>
      <c r="K28" s="167"/>
    </row>
    <row r="29" spans="1:11" s="59" customFormat="1" ht="13">
      <c r="A29" s="898"/>
      <c r="B29" s="141"/>
      <c r="C29" s="141"/>
      <c r="E29" s="141"/>
      <c r="F29" s="885"/>
      <c r="G29" s="896"/>
      <c r="H29" s="896"/>
      <c r="I29" s="896"/>
      <c r="J29" s="882"/>
      <c r="K29" s="167"/>
    </row>
    <row r="30" spans="1:11" s="59" customFormat="1" ht="13">
      <c r="A30" s="898"/>
      <c r="B30" s="141" t="s">
        <v>146</v>
      </c>
      <c r="C30" s="141"/>
      <c r="E30" s="141"/>
      <c r="F30" s="908">
        <f>VLOOKUP("Purchase_shortfall_current",calcdata_21,2,FALSE)</f>
        <v>84.499999884516001</v>
      </c>
      <c r="G30" s="896"/>
      <c r="H30" s="896"/>
      <c r="I30" s="896"/>
      <c r="J30" s="882">
        <f>VLOOKUP("Purchase_shortfall_previous",calcdata_21,2,FALSE)</f>
        <v>62.309999883174896</v>
      </c>
      <c r="K30" s="167"/>
    </row>
    <row r="31" spans="1:11">
      <c r="A31" s="102"/>
      <c r="F31" s="905"/>
      <c r="G31" s="907"/>
      <c r="H31" s="907"/>
      <c r="I31" s="907"/>
      <c r="J31" s="905"/>
      <c r="K31" s="109"/>
    </row>
    <row r="32" spans="1:11" s="59" customFormat="1" ht="13">
      <c r="A32" s="898"/>
      <c r="B32" s="59" t="s">
        <v>147</v>
      </c>
      <c r="C32" s="910">
        <f>'7. Current Principal Balance'!G55</f>
        <v>51779</v>
      </c>
      <c r="F32" s="908">
        <f>VLOOKUP("total_assets_current",calcdata_21,2,FALSE)</f>
        <v>513403320.74999976</v>
      </c>
      <c r="G32" s="912"/>
      <c r="H32" s="912"/>
      <c r="I32" s="912"/>
      <c r="J32" s="911">
        <f>VLOOKUP("total_assets_previous",calcdata_21,2,FALSE)</f>
        <v>533508512.99999976</v>
      </c>
      <c r="K32" s="167"/>
    </row>
    <row r="33" spans="1:11">
      <c r="A33" s="102"/>
      <c r="F33" s="903"/>
      <c r="K33" s="109"/>
    </row>
    <row r="34" spans="1:11" ht="13">
      <c r="A34" s="102"/>
      <c r="B34" s="141" t="s">
        <v>9</v>
      </c>
      <c r="C34" s="104"/>
      <c r="E34" s="104"/>
      <c r="F34" s="884">
        <f>IF(F15=0,0,1-(1-(F18/F15))^12)</f>
        <v>0.13090264537726903</v>
      </c>
      <c r="G34" s="104"/>
      <c r="H34" s="104"/>
      <c r="I34" s="104"/>
      <c r="J34" s="157"/>
      <c r="K34" s="109"/>
    </row>
    <row r="35" spans="1:11">
      <c r="A35" s="102"/>
      <c r="F35" s="903"/>
      <c r="J35" s="903"/>
      <c r="K35" s="109"/>
    </row>
    <row r="36" spans="1:11" ht="13">
      <c r="A36" s="102"/>
      <c r="B36" s="59" t="s">
        <v>312</v>
      </c>
      <c r="F36" s="884">
        <f>'5. Outstanding Notes'!C35</f>
        <v>0.32026888050000002</v>
      </c>
      <c r="J36" s="903"/>
      <c r="K36" s="109"/>
    </row>
    <row r="37" spans="1:11">
      <c r="A37" s="102"/>
      <c r="F37" s="903"/>
      <c r="J37" s="903"/>
      <c r="K37" s="109"/>
    </row>
    <row r="38" spans="1:11">
      <c r="A38" s="102"/>
      <c r="F38" s="903"/>
      <c r="J38" s="903"/>
      <c r="K38" s="109"/>
    </row>
    <row r="39" spans="1:11">
      <c r="A39" s="102"/>
      <c r="F39" s="903"/>
      <c r="J39" s="903"/>
      <c r="K39" s="109"/>
    </row>
    <row r="40" spans="1:11">
      <c r="A40" s="102"/>
      <c r="F40" s="903"/>
      <c r="J40" s="903"/>
      <c r="K40" s="109"/>
    </row>
    <row r="41" spans="1:11">
      <c r="A41" s="102"/>
      <c r="F41" s="903"/>
      <c r="J41" s="903"/>
      <c r="K41" s="109"/>
    </row>
    <row r="42" spans="1:11">
      <c r="A42" s="102"/>
      <c r="F42" s="903"/>
      <c r="J42" s="903"/>
      <c r="K42" s="109"/>
    </row>
    <row r="43" spans="1:11">
      <c r="A43" s="102"/>
      <c r="F43" s="903"/>
      <c r="J43" s="903"/>
      <c r="K43" s="109"/>
    </row>
    <row r="44" spans="1:11">
      <c r="A44" s="102"/>
      <c r="J44" s="903"/>
      <c r="K44" s="109"/>
    </row>
    <row r="45" spans="1:11">
      <c r="A45" s="102"/>
      <c r="J45" s="903"/>
      <c r="K45" s="109"/>
    </row>
    <row r="46" spans="1:11">
      <c r="A46" s="102"/>
      <c r="J46" s="903"/>
      <c r="K46" s="109"/>
    </row>
    <row r="47" spans="1:11">
      <c r="A47" s="102"/>
      <c r="J47" s="903"/>
      <c r="K47" s="109"/>
    </row>
    <row r="48" spans="1:11">
      <c r="A48" s="102"/>
      <c r="J48" s="903"/>
      <c r="K48" s="109"/>
    </row>
    <row r="49" spans="1:11">
      <c r="A49" s="102"/>
      <c r="J49" s="903"/>
      <c r="K49" s="109"/>
    </row>
    <row r="50" spans="1:11">
      <c r="A50" s="102"/>
      <c r="J50" s="903"/>
      <c r="K50" s="109"/>
    </row>
    <row r="51" spans="1:11" ht="12.75" customHeight="1">
      <c r="A51" s="145"/>
      <c r="B51" s="147"/>
      <c r="C51" s="147"/>
      <c r="D51" s="147"/>
      <c r="E51" s="147"/>
      <c r="F51" s="147"/>
      <c r="G51" s="147"/>
      <c r="H51" s="147"/>
      <c r="I51" s="147"/>
      <c r="J51" s="147"/>
      <c r="K51" s="148"/>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98" customWidth="1"/>
    <col min="2" max="2" width="25" style="398" customWidth="1"/>
    <col min="3" max="3" width="23" style="398" customWidth="1"/>
    <col min="4" max="4" width="22.81640625" style="398" bestFit="1" customWidth="1"/>
    <col min="5" max="5" width="15.81640625" style="398" customWidth="1"/>
    <col min="6" max="7" width="22.81640625" style="398" bestFit="1" customWidth="1"/>
    <col min="8" max="8" width="21.54296875" style="398" customWidth="1"/>
    <col min="9" max="10" width="22.81640625" style="398" bestFit="1" customWidth="1"/>
    <col min="11" max="11" width="2" style="398" customWidth="1"/>
    <col min="12" max="12" width="1.453125" style="398" customWidth="1"/>
    <col min="13" max="13" width="18.81640625" style="398" customWidth="1"/>
    <col min="14" max="14" width="2" style="398" customWidth="1"/>
    <col min="15" max="16384" width="9.1796875" style="398"/>
  </cols>
  <sheetData>
    <row r="1" spans="1:14" ht="6" customHeight="1">
      <c r="A1" s="394"/>
      <c r="B1" s="395"/>
      <c r="C1" s="395"/>
      <c r="D1" s="395"/>
      <c r="E1" s="395"/>
      <c r="F1" s="395"/>
      <c r="G1" s="395"/>
      <c r="H1" s="395"/>
      <c r="I1" s="395"/>
      <c r="J1" s="395"/>
      <c r="K1" s="396"/>
      <c r="L1" s="397"/>
    </row>
    <row r="2" spans="1:14" ht="18">
      <c r="A2" s="397"/>
      <c r="B2" s="399" t="str">
        <f>'Cover Sheet'!B2</f>
        <v>SC Germany Consumer 2021-1</v>
      </c>
      <c r="C2" s="400"/>
      <c r="D2" s="401" t="str">
        <f>'Cover Sheet'!D2</f>
        <v>Calculation Date</v>
      </c>
      <c r="E2" s="402"/>
      <c r="F2" s="403">
        <f>'Cover Sheet'!F2</f>
        <v>45820</v>
      </c>
      <c r="G2" s="402"/>
      <c r="H2" s="402"/>
      <c r="I2" s="402"/>
      <c r="J2" s="404"/>
      <c r="K2" s="405"/>
      <c r="L2" s="406"/>
    </row>
    <row r="3" spans="1:14" ht="18">
      <c r="A3" s="397"/>
      <c r="B3" s="407" t="str">
        <f>'Cover Sheet'!B3</f>
        <v>Monthly Investor Report</v>
      </c>
      <c r="C3" s="408"/>
      <c r="D3" s="409" t="str">
        <f>'Cover Sheet'!D3</f>
        <v>Payment Date</v>
      </c>
      <c r="E3" s="410"/>
      <c r="F3" s="411">
        <f>'Cover Sheet'!F3</f>
        <v>45824</v>
      </c>
      <c r="G3" s="410"/>
      <c r="H3" s="410"/>
      <c r="I3" s="410"/>
      <c r="J3" s="412"/>
      <c r="K3" s="405"/>
      <c r="L3" s="406"/>
    </row>
    <row r="4" spans="1:14">
      <c r="A4" s="397"/>
      <c r="B4" s="413"/>
      <c r="C4" s="414"/>
      <c r="D4" s="409" t="str">
        <f>'Cover Sheet'!D4</f>
        <v>Period  No</v>
      </c>
      <c r="E4" s="410"/>
      <c r="F4" s="415">
        <f>'Cover Sheet'!F4</f>
        <v>43</v>
      </c>
      <c r="G4" s="410"/>
      <c r="H4" s="416"/>
      <c r="I4" s="410"/>
      <c r="J4" s="412"/>
      <c r="K4" s="417"/>
      <c r="L4" s="418"/>
    </row>
    <row r="5" spans="1:14" ht="18">
      <c r="A5" s="397"/>
      <c r="B5" s="419" t="s">
        <v>406</v>
      </c>
      <c r="C5" s="420"/>
      <c r="D5" s="409" t="str">
        <f>'Cover Sheet'!D5</f>
        <v>Monthly Period</v>
      </c>
      <c r="E5" s="410"/>
      <c r="F5" s="120">
        <f>'Cover Sheet'!F5</f>
        <v>45824</v>
      </c>
      <c r="G5" s="410"/>
      <c r="H5" s="416"/>
      <c r="I5" s="410"/>
      <c r="J5" s="412"/>
      <c r="K5" s="417"/>
      <c r="L5" s="418"/>
    </row>
    <row r="6" spans="1:14" s="428" customFormat="1" ht="15" customHeight="1">
      <c r="A6" s="397"/>
      <c r="B6" s="421"/>
      <c r="C6" s="422"/>
      <c r="D6" s="409" t="str">
        <f>'Cover Sheet'!D6</f>
        <v>Interest Period</v>
      </c>
      <c r="E6" s="423" t="str">
        <f>'Cover Sheet'!E6</f>
        <v>from</v>
      </c>
      <c r="F6" s="411">
        <f>'Cover Sheet'!F6</f>
        <v>45791</v>
      </c>
      <c r="G6" s="423" t="str">
        <f>'Cover Sheet'!G6</f>
        <v>to</v>
      </c>
      <c r="H6" s="411">
        <f>'Cover Sheet'!H6</f>
        <v>45824</v>
      </c>
      <c r="I6" s="423" t="str">
        <f>'Cover Sheet'!I6</f>
        <v>=</v>
      </c>
      <c r="J6" s="424" t="str">
        <f>'Cover Sheet'!J6</f>
        <v>33 days</v>
      </c>
      <c r="K6" s="425"/>
      <c r="L6" s="426"/>
      <c r="M6" s="398"/>
      <c r="N6" s="427"/>
    </row>
    <row r="7" spans="1:14">
      <c r="A7" s="397"/>
      <c r="B7" s="102"/>
      <c r="D7" s="429" t="str">
        <f>'Cover Sheet'!D7</f>
        <v>Collection Period</v>
      </c>
      <c r="E7" s="430" t="str">
        <f>'Cover Sheet'!E7</f>
        <v>from</v>
      </c>
      <c r="F7" s="431" t="str">
        <f>'Cover Sheet'!F7</f>
        <v>01.05.2025</v>
      </c>
      <c r="G7" s="430" t="str">
        <f>'Cover Sheet'!G7</f>
        <v>to</v>
      </c>
      <c r="H7" s="431">
        <f>'Cover Sheet'!H7</f>
        <v>45808</v>
      </c>
      <c r="I7" s="432"/>
      <c r="J7" s="433"/>
      <c r="K7" s="405"/>
      <c r="L7" s="406"/>
    </row>
    <row r="8" spans="1:14" ht="13">
      <c r="A8" s="397"/>
      <c r="B8" s="397"/>
      <c r="F8" s="434"/>
      <c r="G8" s="435"/>
      <c r="H8" s="436"/>
      <c r="J8" s="437"/>
      <c r="K8" s="438"/>
      <c r="L8" s="439"/>
      <c r="M8" s="427"/>
    </row>
    <row r="9" spans="1:14">
      <c r="A9" s="397"/>
      <c r="B9" s="397"/>
      <c r="F9" s="414"/>
      <c r="J9" s="438"/>
      <c r="K9" s="438"/>
      <c r="L9" s="397"/>
    </row>
    <row r="10" spans="1:14">
      <c r="A10" s="397"/>
      <c r="B10" s="397"/>
      <c r="F10" s="440"/>
      <c r="J10" s="438"/>
      <c r="K10" s="438"/>
      <c r="L10" s="397"/>
    </row>
    <row r="11" spans="1:14" ht="18" customHeight="1">
      <c r="A11" s="397"/>
      <c r="B11" s="397"/>
      <c r="F11" s="414"/>
      <c r="J11" s="438"/>
      <c r="K11" s="438"/>
      <c r="L11" s="397"/>
    </row>
    <row r="12" spans="1:14">
      <c r="A12" s="397"/>
      <c r="B12" s="397"/>
      <c r="F12" s="414"/>
      <c r="J12" s="438"/>
      <c r="K12" s="438"/>
      <c r="L12" s="397"/>
    </row>
    <row r="13" spans="1:14">
      <c r="A13" s="397"/>
      <c r="B13" s="397"/>
      <c r="F13" s="441"/>
      <c r="J13" s="405"/>
      <c r="K13" s="405"/>
      <c r="L13" s="406"/>
      <c r="M13" s="442"/>
    </row>
    <row r="14" spans="1:14" ht="18">
      <c r="A14" s="397"/>
      <c r="B14" s="443" t="s">
        <v>354</v>
      </c>
      <c r="C14" s="444"/>
      <c r="D14" s="445"/>
      <c r="E14" s="445"/>
      <c r="F14" s="446"/>
      <c r="G14" s="446"/>
      <c r="H14" s="447"/>
      <c r="J14" s="448"/>
      <c r="K14" s="405"/>
      <c r="L14" s="449"/>
      <c r="M14" s="445"/>
    </row>
    <row r="15" spans="1:14" ht="12.75" customHeight="1">
      <c r="A15" s="397"/>
      <c r="B15" s="407"/>
      <c r="C15" s="444"/>
      <c r="D15" s="450"/>
      <c r="E15" s="442"/>
      <c r="F15" s="451"/>
      <c r="G15" s="442"/>
      <c r="H15" s="451"/>
      <c r="I15" s="442"/>
      <c r="J15" s="452"/>
      <c r="K15" s="405"/>
      <c r="L15" s="406"/>
      <c r="M15" s="445"/>
    </row>
    <row r="16" spans="1:14" ht="13" thickBot="1">
      <c r="A16" s="397"/>
      <c r="B16" s="453"/>
      <c r="F16" s="451"/>
      <c r="H16" s="454"/>
      <c r="I16" s="442"/>
      <c r="J16" s="452"/>
      <c r="K16" s="405"/>
      <c r="L16" s="406"/>
      <c r="M16" s="442"/>
    </row>
    <row r="17" spans="1:13" ht="15" customHeight="1">
      <c r="A17" s="397"/>
      <c r="B17" s="397"/>
      <c r="C17" s="1013" t="s">
        <v>115</v>
      </c>
      <c r="D17" s="1016" t="s">
        <v>355</v>
      </c>
      <c r="E17" s="455"/>
      <c r="F17" s="1013" t="s">
        <v>115</v>
      </c>
      <c r="G17" s="1016" t="s">
        <v>355</v>
      </c>
      <c r="H17" s="427"/>
      <c r="I17" s="442"/>
      <c r="J17" s="452"/>
      <c r="K17" s="405"/>
      <c r="L17" s="456"/>
      <c r="M17" s="442"/>
    </row>
    <row r="18" spans="1:13" ht="13.5" customHeight="1" thickBot="1">
      <c r="A18" s="397"/>
      <c r="B18" s="397"/>
      <c r="C18" s="1014"/>
      <c r="D18" s="1017"/>
      <c r="E18" s="435"/>
      <c r="F18" s="1014"/>
      <c r="G18" s="1017"/>
      <c r="H18" s="435"/>
      <c r="I18" s="442"/>
      <c r="J18" s="452"/>
      <c r="K18" s="452"/>
      <c r="L18" s="457"/>
      <c r="M18" s="442"/>
    </row>
    <row r="19" spans="1:13" ht="13">
      <c r="A19" s="397"/>
      <c r="B19" s="397"/>
      <c r="C19" s="458">
        <v>1</v>
      </c>
      <c r="D19" s="459">
        <f t="shared" ref="D19:D50" si="0">VLOOKUP(CONCATENATE("period_",$C19),Assets_21,3,0)</f>
        <v>513403236.24999714</v>
      </c>
      <c r="E19" s="435"/>
      <c r="F19" s="458">
        <v>51</v>
      </c>
      <c r="G19" s="459">
        <f t="shared" ref="G19:G50" si="1">VLOOKUP(CONCATENATE("period_",$F19),Assets_21,3,0)</f>
        <v>29353842.920000002</v>
      </c>
      <c r="H19" s="435"/>
      <c r="I19" s="442"/>
      <c r="J19" s="452"/>
      <c r="K19" s="452"/>
      <c r="L19" s="406"/>
      <c r="M19" s="442"/>
    </row>
    <row r="20" spans="1:13" ht="13">
      <c r="A20" s="397"/>
      <c r="B20" s="397"/>
      <c r="C20" s="458">
        <v>2</v>
      </c>
      <c r="D20" s="459">
        <f t="shared" si="0"/>
        <v>501509275.82999998</v>
      </c>
      <c r="E20" s="460"/>
      <c r="F20" s="458">
        <v>52</v>
      </c>
      <c r="G20" s="459">
        <f t="shared" si="1"/>
        <v>24720957.440000001</v>
      </c>
      <c r="H20" s="435"/>
      <c r="I20" s="458"/>
      <c r="J20" s="461"/>
      <c r="K20" s="452"/>
      <c r="L20" s="406"/>
      <c r="M20" s="442"/>
    </row>
    <row r="21" spans="1:13" ht="13">
      <c r="A21" s="397"/>
      <c r="B21" s="397"/>
      <c r="C21" s="458">
        <v>3</v>
      </c>
      <c r="D21" s="459">
        <f t="shared" si="0"/>
        <v>489628081.80000001</v>
      </c>
      <c r="E21" s="435"/>
      <c r="F21" s="458">
        <v>53</v>
      </c>
      <c r="G21" s="459">
        <f t="shared" si="1"/>
        <v>20642836.390000001</v>
      </c>
      <c r="H21" s="435"/>
      <c r="I21" s="458"/>
      <c r="J21" s="461"/>
      <c r="K21" s="405"/>
      <c r="L21" s="406"/>
      <c r="M21" s="442"/>
    </row>
    <row r="22" spans="1:13" ht="13">
      <c r="A22" s="397"/>
      <c r="B22" s="397"/>
      <c r="C22" s="458">
        <v>4</v>
      </c>
      <c r="D22" s="459">
        <f t="shared" si="0"/>
        <v>477814239.77999997</v>
      </c>
      <c r="E22" s="455"/>
      <c r="F22" s="458">
        <v>54</v>
      </c>
      <c r="G22" s="459">
        <f t="shared" si="1"/>
        <v>17202610.649999999</v>
      </c>
      <c r="H22" s="427"/>
      <c r="I22" s="458"/>
      <c r="J22" s="461"/>
      <c r="K22" s="462"/>
      <c r="L22" s="456"/>
      <c r="M22" s="463"/>
    </row>
    <row r="23" spans="1:13" ht="13">
      <c r="A23" s="397"/>
      <c r="B23" s="397"/>
      <c r="C23" s="458">
        <v>5</v>
      </c>
      <c r="D23" s="459">
        <f t="shared" si="0"/>
        <v>466061263.07999998</v>
      </c>
      <c r="E23" s="435"/>
      <c r="F23" s="458">
        <v>55</v>
      </c>
      <c r="G23" s="459">
        <f t="shared" si="1"/>
        <v>14325819.4</v>
      </c>
      <c r="H23" s="435"/>
      <c r="I23" s="458"/>
      <c r="J23" s="461"/>
      <c r="K23" s="452"/>
      <c r="L23" s="406"/>
      <c r="M23" s="464"/>
    </row>
    <row r="24" spans="1:13" ht="13">
      <c r="A24" s="397"/>
      <c r="B24" s="397"/>
      <c r="C24" s="458">
        <v>6</v>
      </c>
      <c r="D24" s="459">
        <f t="shared" si="0"/>
        <v>454388130.88</v>
      </c>
      <c r="E24" s="435"/>
      <c r="F24" s="458">
        <v>56</v>
      </c>
      <c r="G24" s="459">
        <f t="shared" si="1"/>
        <v>11815702.539999999</v>
      </c>
      <c r="H24" s="435"/>
      <c r="I24" s="458"/>
      <c r="J24" s="461"/>
      <c r="K24" s="452"/>
      <c r="L24" s="406"/>
      <c r="M24" s="442"/>
    </row>
    <row r="25" spans="1:13" ht="13">
      <c r="A25" s="397"/>
      <c r="B25" s="397"/>
      <c r="C25" s="458">
        <v>7</v>
      </c>
      <c r="D25" s="459">
        <f t="shared" si="0"/>
        <v>442801381.79000002</v>
      </c>
      <c r="E25" s="460"/>
      <c r="F25" s="458">
        <v>57</v>
      </c>
      <c r="G25" s="459">
        <f t="shared" si="1"/>
        <v>9640674.1400000006</v>
      </c>
      <c r="H25" s="435"/>
      <c r="I25" s="458"/>
      <c r="J25" s="461"/>
      <c r="K25" s="452"/>
      <c r="L25" s="406"/>
      <c r="M25" s="442"/>
    </row>
    <row r="26" spans="1:13" ht="13">
      <c r="A26" s="397"/>
      <c r="B26" s="397"/>
      <c r="C26" s="458">
        <v>8</v>
      </c>
      <c r="D26" s="459">
        <f t="shared" si="0"/>
        <v>431278087.20999998</v>
      </c>
      <c r="E26" s="435"/>
      <c r="F26" s="458">
        <v>58</v>
      </c>
      <c r="G26" s="459">
        <f t="shared" si="1"/>
        <v>7738946.6200000001</v>
      </c>
      <c r="H26" s="435"/>
      <c r="I26" s="458"/>
      <c r="J26" s="461"/>
      <c r="K26" s="405"/>
      <c r="L26" s="406"/>
      <c r="M26" s="442"/>
    </row>
    <row r="27" spans="1:13" ht="13">
      <c r="A27" s="397"/>
      <c r="B27" s="397"/>
      <c r="C27" s="458">
        <v>9</v>
      </c>
      <c r="D27" s="459">
        <f t="shared" si="0"/>
        <v>419824630.69</v>
      </c>
      <c r="E27" s="455"/>
      <c r="F27" s="458">
        <v>59</v>
      </c>
      <c r="G27" s="459">
        <f t="shared" si="1"/>
        <v>6136540.5800000001</v>
      </c>
      <c r="H27" s="427"/>
      <c r="I27" s="458"/>
      <c r="J27" s="461"/>
      <c r="K27" s="405"/>
      <c r="L27" s="406"/>
      <c r="M27" s="463"/>
    </row>
    <row r="28" spans="1:13" ht="13">
      <c r="A28" s="397"/>
      <c r="B28" s="397"/>
      <c r="C28" s="458">
        <v>10</v>
      </c>
      <c r="D28" s="459">
        <f t="shared" si="0"/>
        <v>408421057.80000001</v>
      </c>
      <c r="E28" s="435"/>
      <c r="F28" s="458">
        <v>60</v>
      </c>
      <c r="G28" s="459">
        <f t="shared" si="1"/>
        <v>4811831.38</v>
      </c>
      <c r="H28" s="435"/>
      <c r="I28" s="458"/>
      <c r="J28" s="461"/>
      <c r="K28" s="452"/>
      <c r="L28" s="406"/>
      <c r="M28" s="464"/>
    </row>
    <row r="29" spans="1:13" ht="13">
      <c r="A29" s="397"/>
      <c r="B29" s="397"/>
      <c r="C29" s="458">
        <v>11</v>
      </c>
      <c r="D29" s="459">
        <f t="shared" si="0"/>
        <v>397069986.14999998</v>
      </c>
      <c r="E29" s="435"/>
      <c r="F29" s="458">
        <v>61</v>
      </c>
      <c r="G29" s="459">
        <f t="shared" si="1"/>
        <v>3769146.94</v>
      </c>
      <c r="H29" s="435"/>
      <c r="I29" s="458"/>
      <c r="J29" s="461"/>
      <c r="K29" s="452"/>
      <c r="L29" s="406"/>
      <c r="M29" s="442"/>
    </row>
    <row r="30" spans="1:13" ht="13">
      <c r="A30" s="397"/>
      <c r="B30" s="397"/>
      <c r="C30" s="458">
        <v>12</v>
      </c>
      <c r="D30" s="459">
        <f t="shared" si="0"/>
        <v>385781407.20999998</v>
      </c>
      <c r="E30" s="460"/>
      <c r="F30" s="458">
        <v>62</v>
      </c>
      <c r="G30" s="459">
        <f t="shared" si="1"/>
        <v>2937815.45</v>
      </c>
      <c r="H30" s="435"/>
      <c r="I30" s="458"/>
      <c r="J30" s="461"/>
      <c r="K30" s="452"/>
      <c r="L30" s="406"/>
      <c r="M30" s="442"/>
    </row>
    <row r="31" spans="1:13" ht="13">
      <c r="A31" s="397"/>
      <c r="B31" s="397"/>
      <c r="C31" s="458">
        <v>13</v>
      </c>
      <c r="D31" s="459">
        <f t="shared" si="0"/>
        <v>374564232.61000001</v>
      </c>
      <c r="E31" s="435"/>
      <c r="F31" s="458">
        <v>63</v>
      </c>
      <c r="G31" s="459">
        <f t="shared" si="1"/>
        <v>2298698.8199999998</v>
      </c>
      <c r="H31" s="435"/>
      <c r="I31" s="458"/>
      <c r="J31" s="461"/>
      <c r="K31" s="405"/>
      <c r="L31" s="406"/>
      <c r="M31" s="442"/>
    </row>
    <row r="32" spans="1:13" ht="13">
      <c r="A32" s="397"/>
      <c r="B32" s="397"/>
      <c r="C32" s="458">
        <v>14</v>
      </c>
      <c r="D32" s="459">
        <f t="shared" si="0"/>
        <v>363421009.38999999</v>
      </c>
      <c r="E32" s="465"/>
      <c r="F32" s="458">
        <v>64</v>
      </c>
      <c r="G32" s="459">
        <f t="shared" si="1"/>
        <v>1819422.81</v>
      </c>
      <c r="H32" s="458"/>
      <c r="I32" s="458"/>
      <c r="J32" s="461"/>
      <c r="K32" s="405"/>
      <c r="L32" s="406"/>
      <c r="M32" s="442"/>
    </row>
    <row r="33" spans="1:13" ht="13">
      <c r="A33" s="397"/>
      <c r="B33" s="397"/>
      <c r="C33" s="458">
        <v>15</v>
      </c>
      <c r="D33" s="459">
        <f t="shared" si="0"/>
        <v>352360646.62</v>
      </c>
      <c r="E33" s="458"/>
      <c r="F33" s="458">
        <v>65</v>
      </c>
      <c r="G33" s="459">
        <f t="shared" si="1"/>
        <v>1465336.17</v>
      </c>
      <c r="H33" s="458"/>
      <c r="I33" s="458"/>
      <c r="J33" s="461"/>
      <c r="K33" s="452"/>
      <c r="L33" s="406"/>
      <c r="M33" s="442"/>
    </row>
    <row r="34" spans="1:13" ht="13">
      <c r="A34" s="397"/>
      <c r="B34" s="397"/>
      <c r="C34" s="458">
        <v>16</v>
      </c>
      <c r="D34" s="459">
        <f t="shared" si="0"/>
        <v>341388482.42000002</v>
      </c>
      <c r="E34" s="458"/>
      <c r="F34" s="458">
        <v>66</v>
      </c>
      <c r="G34" s="459">
        <f t="shared" si="1"/>
        <v>1202152.56</v>
      </c>
      <c r="H34" s="458"/>
      <c r="I34" s="458"/>
      <c r="J34" s="461"/>
      <c r="K34" s="452"/>
      <c r="L34" s="406"/>
      <c r="M34" s="442"/>
    </row>
    <row r="35" spans="1:13" ht="13">
      <c r="A35" s="397"/>
      <c r="B35" s="397"/>
      <c r="C35" s="458">
        <v>17</v>
      </c>
      <c r="D35" s="459">
        <f t="shared" si="0"/>
        <v>330512434.97000003</v>
      </c>
      <c r="E35" s="466"/>
      <c r="F35" s="458">
        <v>67</v>
      </c>
      <c r="G35" s="459">
        <f t="shared" si="1"/>
        <v>990023.26</v>
      </c>
      <c r="H35" s="458"/>
      <c r="I35" s="458"/>
      <c r="J35" s="461"/>
      <c r="K35" s="452"/>
      <c r="L35" s="406"/>
      <c r="M35" s="442"/>
    </row>
    <row r="36" spans="1:13" ht="13">
      <c r="A36" s="397"/>
      <c r="B36" s="397"/>
      <c r="C36" s="458">
        <v>18</v>
      </c>
      <c r="D36" s="459">
        <f t="shared" si="0"/>
        <v>319729618.54000002</v>
      </c>
      <c r="E36" s="458"/>
      <c r="F36" s="458">
        <v>68</v>
      </c>
      <c r="G36" s="459">
        <f t="shared" si="1"/>
        <v>819193.88</v>
      </c>
      <c r="H36" s="458"/>
      <c r="I36" s="458"/>
      <c r="J36" s="461"/>
      <c r="K36" s="405"/>
      <c r="L36" s="406"/>
      <c r="M36" s="442"/>
    </row>
    <row r="37" spans="1:13" ht="13">
      <c r="A37" s="397"/>
      <c r="B37" s="397"/>
      <c r="C37" s="458">
        <v>19</v>
      </c>
      <c r="D37" s="459">
        <f t="shared" si="0"/>
        <v>309049034.13999999</v>
      </c>
      <c r="E37" s="465"/>
      <c r="F37" s="458">
        <v>69</v>
      </c>
      <c r="G37" s="459">
        <f t="shared" si="1"/>
        <v>678015.04</v>
      </c>
      <c r="H37" s="458"/>
      <c r="I37" s="458"/>
      <c r="J37" s="461"/>
      <c r="K37" s="405"/>
      <c r="L37" s="406"/>
      <c r="M37" s="442"/>
    </row>
    <row r="38" spans="1:13" ht="13">
      <c r="A38" s="397"/>
      <c r="B38" s="397"/>
      <c r="C38" s="458">
        <v>20</v>
      </c>
      <c r="D38" s="459">
        <f t="shared" si="0"/>
        <v>298447242.02999997</v>
      </c>
      <c r="E38" s="458"/>
      <c r="F38" s="458">
        <v>70</v>
      </c>
      <c r="G38" s="459">
        <f t="shared" si="1"/>
        <v>564982.28</v>
      </c>
      <c r="H38" s="458"/>
      <c r="I38" s="458"/>
      <c r="J38" s="438"/>
      <c r="K38" s="452"/>
      <c r="L38" s="406"/>
      <c r="M38" s="442"/>
    </row>
    <row r="39" spans="1:13" ht="13">
      <c r="A39" s="397"/>
      <c r="B39" s="397"/>
      <c r="C39" s="458">
        <v>21</v>
      </c>
      <c r="D39" s="459">
        <f t="shared" si="0"/>
        <v>287935445.25999999</v>
      </c>
      <c r="E39" s="458"/>
      <c r="F39" s="458">
        <v>71</v>
      </c>
      <c r="G39" s="459">
        <f t="shared" si="1"/>
        <v>479275.4</v>
      </c>
      <c r="H39" s="458"/>
      <c r="I39" s="458"/>
      <c r="J39" s="438"/>
      <c r="K39" s="452"/>
      <c r="L39" s="406"/>
      <c r="M39" s="442"/>
    </row>
    <row r="40" spans="1:13" ht="13">
      <c r="A40" s="397"/>
      <c r="B40" s="397"/>
      <c r="C40" s="458">
        <v>22</v>
      </c>
      <c r="D40" s="459">
        <f t="shared" si="0"/>
        <v>277468581.73000002</v>
      </c>
      <c r="E40" s="466"/>
      <c r="F40" s="458">
        <v>72</v>
      </c>
      <c r="G40" s="459">
        <f t="shared" si="1"/>
        <v>411695.16</v>
      </c>
      <c r="H40" s="458"/>
      <c r="I40" s="458"/>
      <c r="J40" s="438"/>
      <c r="K40" s="452"/>
      <c r="L40" s="406"/>
      <c r="M40" s="442"/>
    </row>
    <row r="41" spans="1:13" ht="13">
      <c r="A41" s="397"/>
      <c r="B41" s="397"/>
      <c r="C41" s="458">
        <v>23</v>
      </c>
      <c r="D41" s="459">
        <f t="shared" si="0"/>
        <v>267065383.56</v>
      </c>
      <c r="E41" s="467"/>
      <c r="F41" s="458">
        <v>73</v>
      </c>
      <c r="G41" s="459">
        <f t="shared" si="1"/>
        <v>359723.03</v>
      </c>
      <c r="H41" s="435"/>
      <c r="I41" s="458"/>
      <c r="J41" s="438"/>
      <c r="K41" s="438"/>
      <c r="L41" s="397"/>
    </row>
    <row r="42" spans="1:13" ht="13">
      <c r="A42" s="397"/>
      <c r="B42" s="397"/>
      <c r="C42" s="458">
        <v>24</v>
      </c>
      <c r="D42" s="459">
        <f t="shared" si="0"/>
        <v>256732456.19</v>
      </c>
      <c r="E42" s="435"/>
      <c r="F42" s="458">
        <v>74</v>
      </c>
      <c r="G42" s="459">
        <f t="shared" si="1"/>
        <v>323256.90000000002</v>
      </c>
      <c r="H42" s="435"/>
      <c r="I42" s="458"/>
      <c r="J42" s="438"/>
      <c r="K42" s="438"/>
      <c r="L42" s="397"/>
    </row>
    <row r="43" spans="1:13" ht="13">
      <c r="A43" s="397"/>
      <c r="B43" s="397"/>
      <c r="C43" s="458">
        <v>25</v>
      </c>
      <c r="D43" s="459">
        <f t="shared" si="0"/>
        <v>246471283.24000001</v>
      </c>
      <c r="E43" s="467"/>
      <c r="F43" s="458">
        <v>75</v>
      </c>
      <c r="G43" s="459">
        <f t="shared" si="1"/>
        <v>294420.34000000003</v>
      </c>
      <c r="H43" s="467"/>
      <c r="I43" s="458"/>
      <c r="J43" s="438"/>
      <c r="K43" s="438"/>
      <c r="L43" s="397"/>
    </row>
    <row r="44" spans="1:13" ht="13">
      <c r="A44" s="397"/>
      <c r="B44" s="397"/>
      <c r="C44" s="458">
        <v>26</v>
      </c>
      <c r="D44" s="459">
        <f t="shared" si="0"/>
        <v>236298612.13999999</v>
      </c>
      <c r="E44" s="435"/>
      <c r="F44" s="458">
        <v>76</v>
      </c>
      <c r="G44" s="459">
        <f t="shared" si="1"/>
        <v>269657.03000000003</v>
      </c>
      <c r="H44" s="435"/>
      <c r="I44" s="458"/>
      <c r="J44" s="438"/>
      <c r="K44" s="438"/>
      <c r="L44" s="397"/>
    </row>
    <row r="45" spans="1:13" ht="13">
      <c r="A45" s="397"/>
      <c r="B45" s="397"/>
      <c r="C45" s="458">
        <v>27</v>
      </c>
      <c r="D45" s="459">
        <f t="shared" si="0"/>
        <v>226195137.80000001</v>
      </c>
      <c r="E45" s="435"/>
      <c r="F45" s="458">
        <v>77</v>
      </c>
      <c r="G45" s="459">
        <f t="shared" si="1"/>
        <v>249426.53</v>
      </c>
      <c r="H45" s="435"/>
      <c r="I45" s="458"/>
      <c r="J45" s="438"/>
      <c r="K45" s="438"/>
      <c r="L45" s="397"/>
    </row>
    <row r="46" spans="1:13" ht="13">
      <c r="A46" s="397"/>
      <c r="B46" s="397"/>
      <c r="C46" s="458">
        <v>28</v>
      </c>
      <c r="D46" s="459">
        <f t="shared" si="0"/>
        <v>216166871.43000001</v>
      </c>
      <c r="E46" s="435"/>
      <c r="F46" s="458">
        <v>78</v>
      </c>
      <c r="G46" s="459">
        <f t="shared" si="1"/>
        <v>230037.63</v>
      </c>
      <c r="H46" s="435"/>
      <c r="I46" s="458"/>
      <c r="J46" s="438"/>
      <c r="K46" s="438"/>
      <c r="L46" s="397"/>
    </row>
    <row r="47" spans="1:13" ht="13">
      <c r="A47" s="397"/>
      <c r="B47" s="397"/>
      <c r="C47" s="458">
        <v>29</v>
      </c>
      <c r="D47" s="459">
        <f t="shared" si="0"/>
        <v>206226709.13</v>
      </c>
      <c r="E47" s="435"/>
      <c r="F47" s="458">
        <v>79</v>
      </c>
      <c r="G47" s="459">
        <f t="shared" si="1"/>
        <v>213730.87</v>
      </c>
      <c r="H47" s="435"/>
      <c r="I47" s="458"/>
      <c r="J47" s="438"/>
      <c r="K47" s="438"/>
      <c r="L47" s="397"/>
    </row>
    <row r="48" spans="1:13" ht="13">
      <c r="A48" s="397"/>
      <c r="B48" s="397"/>
      <c r="C48" s="458">
        <v>30</v>
      </c>
      <c r="D48" s="459">
        <f t="shared" si="0"/>
        <v>196376498.19999999</v>
      </c>
      <c r="E48" s="435"/>
      <c r="F48" s="458">
        <v>80</v>
      </c>
      <c r="G48" s="459">
        <f t="shared" si="1"/>
        <v>199396.48000000001</v>
      </c>
      <c r="H48" s="435"/>
      <c r="I48" s="458"/>
      <c r="J48" s="438"/>
      <c r="K48" s="438"/>
      <c r="L48" s="397"/>
    </row>
    <row r="49" spans="1:12" ht="13">
      <c r="A49" s="397"/>
      <c r="B49" s="397"/>
      <c r="C49" s="458">
        <v>31</v>
      </c>
      <c r="D49" s="459">
        <f t="shared" si="0"/>
        <v>186643297.74000001</v>
      </c>
      <c r="E49" s="435"/>
      <c r="F49" s="458">
        <v>81</v>
      </c>
      <c r="G49" s="459">
        <f t="shared" si="1"/>
        <v>186025.07</v>
      </c>
      <c r="H49" s="435"/>
      <c r="I49" s="435"/>
      <c r="J49" s="468"/>
      <c r="K49" s="438"/>
      <c r="L49" s="397"/>
    </row>
    <row r="50" spans="1:12" ht="13">
      <c r="A50" s="397"/>
      <c r="B50" s="397"/>
      <c r="C50" s="458">
        <v>32</v>
      </c>
      <c r="D50" s="459">
        <f t="shared" si="0"/>
        <v>177022039.47</v>
      </c>
      <c r="E50" s="435"/>
      <c r="F50" s="458">
        <v>82</v>
      </c>
      <c r="G50" s="459">
        <f t="shared" si="1"/>
        <v>174192.18</v>
      </c>
      <c r="H50" s="435"/>
      <c r="I50" s="435"/>
      <c r="J50" s="468"/>
      <c r="K50" s="438"/>
      <c r="L50" s="397"/>
    </row>
    <row r="51" spans="1:12" ht="13">
      <c r="A51" s="397"/>
      <c r="B51" s="397"/>
      <c r="C51" s="458">
        <v>33</v>
      </c>
      <c r="D51" s="459">
        <f t="shared" ref="D51:D68" si="2">VLOOKUP(CONCATENATE("period_",$C51),Assets_21,3,0)</f>
        <v>167533638.74000001</v>
      </c>
      <c r="E51" s="435"/>
      <c r="F51" s="458">
        <v>83</v>
      </c>
      <c r="G51" s="459">
        <f t="shared" ref="G51:G68" si="3">VLOOKUP(CONCATENATE("period_",$F51),Assets_21,3,0)</f>
        <v>163321.24</v>
      </c>
      <c r="H51" s="435"/>
      <c r="I51" s="435"/>
      <c r="J51" s="468"/>
      <c r="K51" s="438"/>
      <c r="L51" s="397"/>
    </row>
    <row r="52" spans="1:12" ht="13">
      <c r="A52" s="397"/>
      <c r="B52" s="397"/>
      <c r="C52" s="458">
        <v>34</v>
      </c>
      <c r="D52" s="459">
        <f t="shared" si="2"/>
        <v>158163304.18000001</v>
      </c>
      <c r="E52" s="435"/>
      <c r="F52" s="458">
        <v>84</v>
      </c>
      <c r="G52" s="459">
        <f t="shared" si="3"/>
        <v>153471.89000000001</v>
      </c>
      <c r="H52" s="435"/>
      <c r="I52" s="435"/>
      <c r="J52" s="468"/>
      <c r="K52" s="438"/>
      <c r="L52" s="397"/>
    </row>
    <row r="53" spans="1:12" ht="13">
      <c r="A53" s="397"/>
      <c r="B53" s="397"/>
      <c r="C53" s="458">
        <v>35</v>
      </c>
      <c r="D53" s="459">
        <f t="shared" si="2"/>
        <v>148899920.16999999</v>
      </c>
      <c r="E53" s="435"/>
      <c r="F53" s="458">
        <v>85</v>
      </c>
      <c r="G53" s="459">
        <f t="shared" si="3"/>
        <v>144085.85999999999</v>
      </c>
      <c r="H53" s="435"/>
      <c r="I53" s="435"/>
      <c r="J53" s="468"/>
      <c r="K53" s="438"/>
      <c r="L53" s="397"/>
    </row>
    <row r="54" spans="1:12" ht="13">
      <c r="A54" s="397"/>
      <c r="B54" s="397"/>
      <c r="C54" s="458">
        <v>36</v>
      </c>
      <c r="D54" s="459">
        <f t="shared" si="2"/>
        <v>139785637.47999999</v>
      </c>
      <c r="E54" s="435"/>
      <c r="F54" s="458">
        <v>86</v>
      </c>
      <c r="G54" s="459">
        <f t="shared" si="3"/>
        <v>134649.98000000001</v>
      </c>
      <c r="H54" s="435"/>
      <c r="I54" s="435"/>
      <c r="J54" s="468"/>
      <c r="K54" s="438"/>
      <c r="L54" s="397"/>
    </row>
    <row r="55" spans="1:12" ht="13">
      <c r="A55" s="397"/>
      <c r="B55" s="397"/>
      <c r="C55" s="458">
        <v>37</v>
      </c>
      <c r="D55" s="459">
        <f t="shared" si="2"/>
        <v>130827301.28</v>
      </c>
      <c r="E55" s="435"/>
      <c r="F55" s="458">
        <v>87</v>
      </c>
      <c r="G55" s="459">
        <f t="shared" si="3"/>
        <v>125871.35</v>
      </c>
      <c r="H55" s="435"/>
      <c r="I55" s="435"/>
      <c r="J55" s="468"/>
      <c r="K55" s="438"/>
      <c r="L55" s="397"/>
    </row>
    <row r="56" spans="1:12" ht="13">
      <c r="A56" s="397"/>
      <c r="B56" s="397"/>
      <c r="C56" s="458">
        <v>38</v>
      </c>
      <c r="D56" s="459">
        <f t="shared" si="2"/>
        <v>122026591.36</v>
      </c>
      <c r="E56" s="435"/>
      <c r="F56" s="458">
        <v>88</v>
      </c>
      <c r="G56" s="459">
        <f t="shared" si="3"/>
        <v>117492.09</v>
      </c>
      <c r="H56" s="435"/>
      <c r="I56" s="435"/>
      <c r="J56" s="468"/>
      <c r="K56" s="438"/>
      <c r="L56" s="397"/>
    </row>
    <row r="57" spans="1:12" ht="13">
      <c r="A57" s="397"/>
      <c r="B57" s="397"/>
      <c r="C57" s="458">
        <v>39</v>
      </c>
      <c r="D57" s="459">
        <f t="shared" si="2"/>
        <v>113427864.34999999</v>
      </c>
      <c r="E57" s="435"/>
      <c r="F57" s="458">
        <v>89</v>
      </c>
      <c r="G57" s="459">
        <f t="shared" si="3"/>
        <v>109067.99</v>
      </c>
      <c r="H57" s="435"/>
      <c r="I57" s="435"/>
      <c r="J57" s="468"/>
      <c r="K57" s="438"/>
      <c r="L57" s="397"/>
    </row>
    <row r="58" spans="1:12" ht="13">
      <c r="A58" s="397"/>
      <c r="B58" s="397"/>
      <c r="C58" s="458">
        <v>40</v>
      </c>
      <c r="D58" s="459">
        <f t="shared" si="2"/>
        <v>105033247.88</v>
      </c>
      <c r="E58" s="435"/>
      <c r="F58" s="458">
        <v>90</v>
      </c>
      <c r="G58" s="459">
        <f t="shared" si="3"/>
        <v>100598.77</v>
      </c>
      <c r="H58" s="435"/>
      <c r="I58" s="435"/>
      <c r="J58" s="468"/>
      <c r="K58" s="438"/>
      <c r="L58" s="397"/>
    </row>
    <row r="59" spans="1:12" ht="13">
      <c r="A59" s="397"/>
      <c r="B59" s="397"/>
      <c r="C59" s="458">
        <v>41</v>
      </c>
      <c r="D59" s="459">
        <f t="shared" si="2"/>
        <v>96847427.989999995</v>
      </c>
      <c r="E59" s="435"/>
      <c r="F59" s="458">
        <v>91</v>
      </c>
      <c r="G59" s="459">
        <f t="shared" si="3"/>
        <v>92084.19</v>
      </c>
      <c r="H59" s="435"/>
      <c r="I59" s="435"/>
      <c r="J59" s="468"/>
      <c r="K59" s="438"/>
      <c r="L59" s="397"/>
    </row>
    <row r="60" spans="1:12" ht="13">
      <c r="A60" s="397"/>
      <c r="B60" s="397"/>
      <c r="C60" s="458">
        <v>42</v>
      </c>
      <c r="D60" s="459">
        <f t="shared" si="2"/>
        <v>88854219.650000006</v>
      </c>
      <c r="E60" s="435"/>
      <c r="F60" s="458">
        <v>92</v>
      </c>
      <c r="G60" s="459">
        <f t="shared" si="3"/>
        <v>84364.52</v>
      </c>
      <c r="H60" s="435"/>
      <c r="I60" s="435"/>
      <c r="J60" s="468"/>
      <c r="K60" s="438"/>
      <c r="L60" s="397"/>
    </row>
    <row r="61" spans="1:12" ht="13">
      <c r="A61" s="397"/>
      <c r="B61" s="397"/>
      <c r="C61" s="458">
        <v>43</v>
      </c>
      <c r="D61" s="459">
        <f t="shared" si="2"/>
        <v>81110361.269999996</v>
      </c>
      <c r="E61" s="435"/>
      <c r="F61" s="458">
        <v>93</v>
      </c>
      <c r="G61" s="459">
        <f t="shared" si="3"/>
        <v>77677.149999999994</v>
      </c>
      <c r="H61" s="435"/>
      <c r="I61" s="435"/>
      <c r="J61" s="468"/>
      <c r="K61" s="438"/>
      <c r="L61" s="397"/>
    </row>
    <row r="62" spans="1:12" ht="13">
      <c r="A62" s="397"/>
      <c r="B62" s="397"/>
      <c r="C62" s="458">
        <v>44</v>
      </c>
      <c r="D62" s="459">
        <f t="shared" si="2"/>
        <v>73596354.140000001</v>
      </c>
      <c r="E62" s="435"/>
      <c r="F62" s="458">
        <v>94</v>
      </c>
      <c r="G62" s="459">
        <f t="shared" si="3"/>
        <v>71202.820000000007</v>
      </c>
      <c r="H62" s="435"/>
      <c r="I62" s="435"/>
      <c r="J62" s="468"/>
      <c r="K62" s="438"/>
      <c r="L62" s="397"/>
    </row>
    <row r="63" spans="1:12" ht="13">
      <c r="A63" s="397"/>
      <c r="B63" s="397"/>
      <c r="C63" s="458">
        <v>45</v>
      </c>
      <c r="D63" s="459">
        <f t="shared" si="2"/>
        <v>66345685.18</v>
      </c>
      <c r="E63" s="435"/>
      <c r="F63" s="458">
        <v>95</v>
      </c>
      <c r="G63" s="459">
        <f t="shared" si="3"/>
        <v>64693.41</v>
      </c>
      <c r="H63" s="435"/>
      <c r="I63" s="435"/>
      <c r="J63" s="468"/>
      <c r="K63" s="438"/>
      <c r="L63" s="397"/>
    </row>
    <row r="64" spans="1:12" ht="13">
      <c r="A64" s="397"/>
      <c r="B64" s="397"/>
      <c r="C64" s="458">
        <v>46</v>
      </c>
      <c r="D64" s="459">
        <f t="shared" si="2"/>
        <v>59331876.859999999</v>
      </c>
      <c r="E64" s="435"/>
      <c r="F64" s="458">
        <v>96</v>
      </c>
      <c r="G64" s="459">
        <f t="shared" si="3"/>
        <v>58694.19</v>
      </c>
      <c r="H64" s="435"/>
      <c r="I64" s="435"/>
      <c r="J64" s="468"/>
      <c r="K64" s="438"/>
      <c r="L64" s="397"/>
    </row>
    <row r="65" spans="1:12" ht="13">
      <c r="A65" s="397"/>
      <c r="B65" s="397"/>
      <c r="C65" s="458">
        <v>47</v>
      </c>
      <c r="D65" s="459">
        <f t="shared" si="2"/>
        <v>52565767.979999997</v>
      </c>
      <c r="E65" s="435"/>
      <c r="F65" s="458">
        <v>97</v>
      </c>
      <c r="G65" s="459">
        <f t="shared" si="3"/>
        <v>52662.44</v>
      </c>
      <c r="H65" s="435"/>
      <c r="I65" s="435"/>
      <c r="J65" s="468"/>
      <c r="K65" s="438"/>
      <c r="L65" s="397"/>
    </row>
    <row r="66" spans="1:12" ht="13">
      <c r="A66" s="397"/>
      <c r="B66" s="397"/>
      <c r="C66" s="458">
        <v>48</v>
      </c>
      <c r="D66" s="459">
        <f t="shared" si="2"/>
        <v>46154907.259999998</v>
      </c>
      <c r="E66" s="435"/>
      <c r="F66" s="458">
        <v>98</v>
      </c>
      <c r="G66" s="459">
        <f t="shared" si="3"/>
        <v>46998.13</v>
      </c>
      <c r="H66" s="435"/>
      <c r="I66" s="435"/>
      <c r="J66" s="468"/>
      <c r="K66" s="438"/>
      <c r="L66" s="397"/>
    </row>
    <row r="67" spans="1:12" ht="13">
      <c r="A67" s="397"/>
      <c r="B67" s="397"/>
      <c r="C67" s="458">
        <v>49</v>
      </c>
      <c r="D67" s="459">
        <f t="shared" si="2"/>
        <v>40123452.280000001</v>
      </c>
      <c r="E67" s="435"/>
      <c r="F67" s="458">
        <v>99</v>
      </c>
      <c r="G67" s="459">
        <f t="shared" si="3"/>
        <v>41302.730000000003</v>
      </c>
      <c r="H67" s="435"/>
      <c r="I67" s="435"/>
      <c r="J67" s="468"/>
      <c r="K67" s="438"/>
      <c r="L67" s="397"/>
    </row>
    <row r="68" spans="1:12" ht="13">
      <c r="A68" s="397"/>
      <c r="B68" s="397"/>
      <c r="C68" s="458">
        <v>50</v>
      </c>
      <c r="D68" s="459">
        <f t="shared" si="2"/>
        <v>34486078.380000003</v>
      </c>
      <c r="E68" s="435"/>
      <c r="F68" s="458">
        <v>100</v>
      </c>
      <c r="G68" s="459">
        <f t="shared" si="3"/>
        <v>36084</v>
      </c>
      <c r="H68" s="435"/>
      <c r="I68" s="435"/>
      <c r="J68" s="468"/>
      <c r="K68" s="438"/>
      <c r="L68" s="397"/>
    </row>
    <row r="69" spans="1:12">
      <c r="A69" s="397"/>
      <c r="B69" s="469"/>
      <c r="C69" s="470"/>
      <c r="D69" s="470"/>
      <c r="E69" s="470"/>
      <c r="F69" s="470"/>
      <c r="G69" s="470"/>
      <c r="H69" s="470"/>
      <c r="I69" s="470"/>
      <c r="J69" s="471"/>
      <c r="K69" s="438"/>
      <c r="L69" s="397"/>
    </row>
    <row r="70" spans="1:12">
      <c r="A70" s="469"/>
      <c r="B70" s="470"/>
      <c r="C70" s="470"/>
      <c r="D70" s="470"/>
      <c r="E70" s="470"/>
      <c r="F70" s="470"/>
      <c r="G70" s="470"/>
      <c r="H70" s="470"/>
      <c r="I70" s="470"/>
      <c r="J70" s="470"/>
      <c r="K70" s="471"/>
      <c r="L70" s="397"/>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3" customWidth="1"/>
    <col min="2" max="2" width="2.1796875" style="143" customWidth="1"/>
    <col min="3" max="3" width="72.1796875" style="143" customWidth="1"/>
    <col min="4" max="4" width="17.1796875" style="393" customWidth="1"/>
    <col min="5" max="5" width="17.1796875" style="143" customWidth="1"/>
    <col min="6" max="6" width="11.81640625" style="143" customWidth="1"/>
    <col min="7" max="7" width="17.1796875" style="143" customWidth="1"/>
    <col min="8" max="8" width="12" style="143" customWidth="1"/>
    <col min="9" max="9" width="17.1796875" style="143" customWidth="1"/>
    <col min="10" max="10" width="12" style="143" customWidth="1"/>
    <col min="11" max="11" width="42.81640625" style="143" customWidth="1"/>
    <col min="12" max="12" width="12" style="143" customWidth="1"/>
    <col min="13" max="13" width="17.1796875" style="143" customWidth="1"/>
    <col min="14" max="14" width="12" style="143" customWidth="1"/>
    <col min="15" max="15" width="17.1796875" style="143" customWidth="1"/>
    <col min="16" max="16" width="12" style="143" customWidth="1"/>
    <col min="17" max="17" width="17.1796875" style="143" customWidth="1"/>
    <col min="18" max="18" width="12" style="143" customWidth="1"/>
    <col min="19" max="19" width="31.1796875" style="21" customWidth="1"/>
    <col min="20" max="20" width="7.81640625" style="143" customWidth="1"/>
    <col min="21" max="21" width="1.1796875" style="143" customWidth="1"/>
    <col min="22" max="16384" width="9.1796875" style="143"/>
  </cols>
  <sheetData>
    <row r="1" spans="1:21" ht="6" customHeight="1">
      <c r="A1" s="152"/>
      <c r="B1" s="49"/>
      <c r="C1" s="49"/>
      <c r="D1" s="370"/>
      <c r="E1" s="49"/>
      <c r="F1" s="49"/>
      <c r="G1" s="49"/>
      <c r="H1" s="49"/>
      <c r="I1" s="49"/>
      <c r="J1" s="49"/>
      <c r="K1" s="49"/>
      <c r="L1" s="49"/>
      <c r="M1" s="49"/>
      <c r="N1" s="49"/>
      <c r="O1" s="49"/>
      <c r="P1" s="49"/>
      <c r="Q1" s="49"/>
      <c r="R1" s="49"/>
      <c r="S1" s="49"/>
      <c r="T1" s="49"/>
      <c r="U1" s="153"/>
    </row>
    <row r="2" spans="1:21" s="101" customFormat="1" ht="18">
      <c r="A2" s="102"/>
      <c r="B2" s="104"/>
      <c r="C2" s="103" t="str">
        <f>'Cover Sheet'!B2</f>
        <v>SC Germany Consumer 2021-1</v>
      </c>
      <c r="D2" s="105" t="str">
        <f>'Cover Sheet'!D2</f>
        <v>Calculation Date</v>
      </c>
      <c r="E2" s="106"/>
      <c r="F2" s="107">
        <f>'Cover Sheet'!F2</f>
        <v>45820</v>
      </c>
      <c r="G2" s="106"/>
      <c r="H2" s="106"/>
      <c r="I2" s="106"/>
      <c r="J2" s="108"/>
      <c r="K2" s="104"/>
      <c r="L2" s="104"/>
      <c r="M2" s="104"/>
      <c r="N2" s="104"/>
      <c r="O2" s="104"/>
      <c r="P2" s="104"/>
      <c r="Q2" s="104"/>
      <c r="R2" s="104"/>
      <c r="S2" s="133"/>
      <c r="T2" s="104"/>
      <c r="U2" s="358"/>
    </row>
    <row r="3" spans="1:21" s="101" customFormat="1" ht="18">
      <c r="A3" s="102"/>
      <c r="B3" s="104"/>
      <c r="C3" s="103" t="str">
        <f>'Cover Sheet'!B3</f>
        <v>Monthly Investor Report</v>
      </c>
      <c r="D3" s="111" t="str">
        <f>'Cover Sheet'!D3</f>
        <v>Payment Date</v>
      </c>
      <c r="E3" s="112"/>
      <c r="F3" s="113">
        <f>'Cover Sheet'!F3</f>
        <v>45824</v>
      </c>
      <c r="G3" s="112"/>
      <c r="H3" s="112"/>
      <c r="I3" s="112"/>
      <c r="J3" s="114"/>
      <c r="K3" s="104"/>
      <c r="L3" s="104"/>
      <c r="M3" s="104"/>
      <c r="N3" s="104"/>
      <c r="O3" s="104"/>
      <c r="P3" s="104"/>
      <c r="Q3" s="104"/>
      <c r="R3" s="104"/>
      <c r="S3" s="134"/>
      <c r="T3" s="104"/>
      <c r="U3" s="124"/>
    </row>
    <row r="4" spans="1:21" s="101" customFormat="1" ht="13">
      <c r="A4" s="102"/>
      <c r="B4" s="104"/>
      <c r="C4" s="156"/>
      <c r="D4" s="111" t="str">
        <f>'Cover Sheet'!D4</f>
        <v>Period  No</v>
      </c>
      <c r="E4" s="112"/>
      <c r="F4" s="116">
        <f>'Cover Sheet'!F4</f>
        <v>43</v>
      </c>
      <c r="G4" s="112"/>
      <c r="H4" s="117"/>
      <c r="I4" s="117"/>
      <c r="J4" s="118"/>
      <c r="K4" s="104"/>
      <c r="L4" s="104"/>
      <c r="M4" s="104"/>
      <c r="N4" s="104"/>
      <c r="O4" s="104"/>
      <c r="P4" s="104"/>
      <c r="Q4" s="104"/>
      <c r="R4" s="104"/>
      <c r="S4" s="133"/>
      <c r="T4" s="104"/>
      <c r="U4" s="358"/>
    </row>
    <row r="5" spans="1:21" s="101" customFormat="1" ht="18">
      <c r="A5" s="102"/>
      <c r="B5" s="104"/>
      <c r="C5" s="159" t="s">
        <v>407</v>
      </c>
      <c r="D5" s="111" t="str">
        <f>'Cover Sheet'!D5</f>
        <v>Monthly Period</v>
      </c>
      <c r="E5" s="112"/>
      <c r="F5" s="120">
        <f>'Cover Sheet'!F5</f>
        <v>45824</v>
      </c>
      <c r="G5" s="112"/>
      <c r="H5" s="117"/>
      <c r="I5" s="117"/>
      <c r="J5" s="118"/>
      <c r="K5" s="104"/>
      <c r="L5" s="104"/>
      <c r="M5" s="104"/>
      <c r="N5" s="104"/>
      <c r="O5" s="104"/>
      <c r="P5" s="104"/>
      <c r="Q5" s="104"/>
      <c r="R5" s="104"/>
      <c r="S5" s="134"/>
      <c r="T5" s="104"/>
      <c r="U5" s="124"/>
    </row>
    <row r="6" spans="1:21" s="101" customFormat="1" ht="15" customHeight="1">
      <c r="A6" s="102"/>
      <c r="B6" s="104"/>
      <c r="C6" s="121"/>
      <c r="D6" s="111" t="str">
        <f>'Cover Sheet'!D6</f>
        <v>Interest Period</v>
      </c>
      <c r="E6" s="120" t="s">
        <v>34</v>
      </c>
      <c r="F6" s="113">
        <f>'Cover Sheet'!F6</f>
        <v>45791</v>
      </c>
      <c r="G6" s="122" t="str">
        <f>'Cover Sheet'!G6</f>
        <v>to</v>
      </c>
      <c r="H6" s="113">
        <f>'Cover Sheet'!H6</f>
        <v>45824</v>
      </c>
      <c r="I6" s="113" t="str">
        <f>'Cover Sheet'!I6</f>
        <v>=</v>
      </c>
      <c r="J6" s="371" t="str">
        <f>'Cover Sheet'!J6</f>
        <v>33 days</v>
      </c>
      <c r="K6" s="104"/>
      <c r="L6" s="104"/>
      <c r="M6" s="104"/>
      <c r="N6" s="104"/>
      <c r="O6" s="104"/>
      <c r="P6" s="104"/>
      <c r="Q6" s="104"/>
      <c r="R6" s="104"/>
      <c r="S6" s="134"/>
      <c r="T6" s="104"/>
      <c r="U6" s="124"/>
    </row>
    <row r="7" spans="1:21" s="101" customFormat="1" ht="13">
      <c r="A7" s="102"/>
      <c r="B7" s="104"/>
      <c r="C7" s="104"/>
      <c r="D7" s="126" t="str">
        <f>'Cover Sheet'!D7</f>
        <v>Collection Period</v>
      </c>
      <c r="E7" s="127" t="s">
        <v>34</v>
      </c>
      <c r="F7" s="128" t="str">
        <f>'Cover Sheet'!F7</f>
        <v>01.05.2025</v>
      </c>
      <c r="G7" s="127" t="str">
        <f>'Cover Sheet'!G7</f>
        <v>to</v>
      </c>
      <c r="H7" s="128">
        <f>'Cover Sheet'!H7</f>
        <v>45808</v>
      </c>
      <c r="I7" s="128"/>
      <c r="J7" s="165"/>
      <c r="K7" s="104"/>
      <c r="L7" s="104"/>
      <c r="M7" s="104"/>
      <c r="N7" s="104"/>
      <c r="O7" s="104"/>
      <c r="P7" s="104"/>
      <c r="Q7" s="104"/>
      <c r="R7" s="104"/>
      <c r="S7" s="134"/>
      <c r="T7" s="104"/>
      <c r="U7" s="124"/>
    </row>
    <row r="8" spans="1:21" s="101" customFormat="1" ht="13">
      <c r="A8" s="102"/>
      <c r="B8" s="104"/>
      <c r="C8" s="104"/>
      <c r="D8" s="157"/>
      <c r="E8" s="104"/>
      <c r="F8" s="133"/>
      <c r="G8" s="132"/>
      <c r="H8" s="133"/>
      <c r="I8" s="104"/>
      <c r="J8" s="104"/>
      <c r="K8" s="104"/>
      <c r="L8" s="104"/>
      <c r="M8" s="166"/>
      <c r="N8" s="166"/>
      <c r="O8" s="166"/>
      <c r="P8" s="166"/>
      <c r="Q8" s="166"/>
      <c r="R8" s="104"/>
      <c r="S8" s="134"/>
      <c r="T8" s="104"/>
      <c r="U8" s="124"/>
    </row>
    <row r="9" spans="1:21" s="101" customFormat="1">
      <c r="A9" s="102"/>
      <c r="B9" s="104"/>
      <c r="C9" s="104"/>
      <c r="D9" s="157"/>
      <c r="E9" s="104"/>
      <c r="F9" s="104"/>
      <c r="G9" s="104"/>
      <c r="H9" s="104"/>
      <c r="I9" s="104"/>
      <c r="J9" s="104"/>
      <c r="K9" s="104"/>
      <c r="L9" s="104"/>
      <c r="M9" s="104"/>
      <c r="N9" s="104"/>
      <c r="O9" s="104"/>
      <c r="P9" s="104"/>
      <c r="Q9" s="104"/>
      <c r="R9" s="104"/>
      <c r="S9" s="104"/>
      <c r="T9" s="104"/>
      <c r="U9" s="109"/>
    </row>
    <row r="10" spans="1:21" s="101" customFormat="1">
      <c r="A10" s="102"/>
      <c r="B10" s="104"/>
      <c r="C10" s="104"/>
      <c r="D10" s="157"/>
      <c r="E10" s="21"/>
      <c r="F10" s="104"/>
      <c r="G10" s="144"/>
      <c r="H10" s="104"/>
      <c r="I10" s="104"/>
      <c r="J10" s="104"/>
      <c r="K10" s="104"/>
      <c r="L10" s="104"/>
      <c r="M10" s="21"/>
      <c r="N10" s="21"/>
      <c r="O10" s="21"/>
      <c r="P10" s="21"/>
      <c r="Q10" s="21"/>
      <c r="R10" s="21"/>
      <c r="S10" s="104"/>
      <c r="T10" s="21"/>
      <c r="U10" s="109"/>
    </row>
    <row r="11" spans="1:21" s="101" customFormat="1" ht="18">
      <c r="A11" s="102"/>
      <c r="B11" s="104"/>
      <c r="C11" s="168"/>
      <c r="D11" s="157"/>
      <c r="E11" s="21"/>
      <c r="F11" s="103"/>
      <c r="G11" s="104"/>
      <c r="H11" s="47"/>
      <c r="I11" s="360"/>
      <c r="J11" s="360"/>
      <c r="K11" s="360"/>
      <c r="L11" s="360"/>
      <c r="M11" s="21"/>
      <c r="N11" s="21"/>
      <c r="O11" s="21"/>
      <c r="P11" s="21"/>
      <c r="Q11" s="21"/>
      <c r="R11" s="104"/>
      <c r="S11" s="104"/>
      <c r="T11" s="104"/>
      <c r="U11" s="109"/>
    </row>
    <row r="12" spans="1:21" s="101" customFormat="1">
      <c r="A12" s="102"/>
      <c r="B12" s="104"/>
      <c r="C12" s="104"/>
      <c r="D12" s="163"/>
      <c r="E12" s="21"/>
      <c r="F12" s="104"/>
      <c r="G12" s="104"/>
      <c r="H12" s="104"/>
      <c r="I12" s="104"/>
      <c r="J12" s="104"/>
      <c r="K12" s="104"/>
      <c r="L12" s="104"/>
      <c r="M12" s="104"/>
      <c r="N12" s="104"/>
      <c r="O12" s="104"/>
      <c r="P12" s="104"/>
      <c r="Q12" s="104"/>
      <c r="R12" s="104"/>
      <c r="S12" s="104"/>
      <c r="T12" s="104"/>
      <c r="U12" s="109"/>
    </row>
    <row r="13" spans="1:21" s="101" customFormat="1" ht="18">
      <c r="A13" s="102"/>
      <c r="B13" s="103" t="s">
        <v>396</v>
      </c>
      <c r="C13" s="103"/>
      <c r="D13" s="163"/>
      <c r="E13" s="21"/>
      <c r="F13" s="104"/>
      <c r="G13" s="103"/>
      <c r="H13" s="104"/>
      <c r="I13" s="103" t="s">
        <v>397</v>
      </c>
      <c r="J13" s="104"/>
      <c r="K13" s="104"/>
      <c r="L13" s="104"/>
      <c r="M13" s="104"/>
      <c r="N13" s="104"/>
      <c r="O13" s="104"/>
      <c r="P13" s="104"/>
      <c r="Q13" s="104"/>
      <c r="R13" s="104"/>
      <c r="S13" s="104"/>
      <c r="T13" s="104"/>
      <c r="U13" s="109"/>
    </row>
    <row r="14" spans="1:21" s="101" customFormat="1" ht="10.5" customHeight="1">
      <c r="A14" s="102"/>
      <c r="B14" s="98"/>
      <c r="C14" s="99"/>
      <c r="D14" s="370"/>
      <c r="E14" s="49"/>
      <c r="F14" s="99"/>
      <c r="G14" s="99"/>
      <c r="H14" s="99"/>
      <c r="I14" s="99"/>
      <c r="J14" s="99"/>
      <c r="K14" s="99"/>
      <c r="L14" s="99"/>
      <c r="M14" s="99"/>
      <c r="N14" s="99"/>
      <c r="O14" s="99"/>
      <c r="P14" s="99"/>
      <c r="Q14" s="99"/>
      <c r="R14" s="99"/>
      <c r="S14" s="99"/>
      <c r="T14" s="100"/>
      <c r="U14" s="109"/>
    </row>
    <row r="15" spans="1:21" s="101" customFormat="1" ht="13.5" customHeight="1">
      <c r="A15" s="102"/>
      <c r="B15" s="102"/>
      <c r="C15" s="104" t="s">
        <v>234</v>
      </c>
      <c r="D15" s="163" t="s">
        <v>235</v>
      </c>
      <c r="E15" s="947">
        <f>VLOOKUP("Interest_collections",calcdata_21,2,0)</f>
        <v>2224531.1800000002</v>
      </c>
      <c r="F15" s="21"/>
      <c r="G15" s="104"/>
      <c r="H15" s="104"/>
      <c r="I15" s="1026" t="s">
        <v>344</v>
      </c>
      <c r="J15" s="1026"/>
      <c r="K15" s="1026"/>
      <c r="L15" s="157" t="s">
        <v>235</v>
      </c>
      <c r="M15" s="947">
        <f>VLOOKUP("Principal_collections",calcdata_21,2,0)</f>
        <v>18695095.300000001</v>
      </c>
      <c r="N15" s="104"/>
      <c r="O15" s="104"/>
      <c r="P15" s="104"/>
      <c r="Q15" s="104"/>
      <c r="R15" s="104"/>
      <c r="S15" s="104"/>
      <c r="T15" s="109"/>
      <c r="U15" s="109"/>
    </row>
    <row r="16" spans="1:21" ht="13.5" customHeight="1">
      <c r="A16" s="179"/>
      <c r="B16" s="102"/>
      <c r="C16" s="104" t="s">
        <v>435</v>
      </c>
      <c r="D16" s="163" t="s">
        <v>235</v>
      </c>
      <c r="E16" s="947">
        <f>VLOOKUP("Other_interest_Payments",calcdata_21,2,0)</f>
        <v>0</v>
      </c>
      <c r="F16" s="21"/>
      <c r="G16" s="104"/>
      <c r="H16" s="104"/>
      <c r="I16" s="1026" t="s">
        <v>437</v>
      </c>
      <c r="J16" s="1026"/>
      <c r="K16" s="1026"/>
      <c r="L16" s="157" t="s">
        <v>235</v>
      </c>
      <c r="M16" s="947">
        <f>VLOOKUP("other_Principal_amount",calcdata_21,2,0)</f>
        <v>0</v>
      </c>
      <c r="N16" s="104"/>
      <c r="O16" s="104"/>
      <c r="P16" s="104"/>
      <c r="Q16" s="104"/>
      <c r="R16" s="104"/>
      <c r="S16" s="104"/>
      <c r="T16" s="109"/>
      <c r="U16" s="173"/>
    </row>
    <row r="17" spans="1:21" ht="13.5" customHeight="1">
      <c r="A17" s="179"/>
      <c r="B17" s="102"/>
      <c r="C17" s="104" t="s">
        <v>341</v>
      </c>
      <c r="D17" s="163" t="s">
        <v>235</v>
      </c>
      <c r="E17" s="947">
        <f>VLOOKUP("Recoveries_received",calcdata_21,2,0)</f>
        <v>291125.95000000007</v>
      </c>
      <c r="F17" s="21"/>
      <c r="G17" s="104"/>
      <c r="H17" s="104"/>
      <c r="I17" s="1026" t="s">
        <v>438</v>
      </c>
      <c r="J17" s="1026"/>
      <c r="K17" s="1026"/>
      <c r="L17" s="157" t="s">
        <v>235</v>
      </c>
      <c r="M17" s="947">
        <f>VLOOKUP("final_repurchase_price",calcdata_21,2,0)</f>
        <v>0</v>
      </c>
      <c r="N17" s="104"/>
      <c r="O17" s="104"/>
      <c r="P17" s="104"/>
      <c r="Q17" s="104"/>
      <c r="R17" s="104"/>
      <c r="S17" s="104"/>
      <c r="T17" s="109"/>
      <c r="U17" s="173"/>
    </row>
    <row r="18" spans="1:21" ht="13.5" customHeight="1">
      <c r="A18" s="179"/>
      <c r="B18" s="102"/>
      <c r="C18" s="104" t="s">
        <v>236</v>
      </c>
      <c r="D18" s="163" t="s">
        <v>235</v>
      </c>
      <c r="E18" s="947">
        <f>VLOOKUP("Interests_earned_Transaction_Purchase_Shortfall_Account",calcdata_21,2,0)</f>
        <v>0</v>
      </c>
      <c r="F18" s="104"/>
      <c r="G18" s="104"/>
      <c r="H18" s="104"/>
      <c r="I18" s="1026" t="s">
        <v>439</v>
      </c>
      <c r="J18" s="1026"/>
      <c r="K18" s="1026"/>
      <c r="L18" s="157" t="s">
        <v>235</v>
      </c>
      <c r="M18" s="947">
        <f>VLOOKUP("Amounts_credit_Com_Reserve_Account",calcdata_21,2,0)</f>
        <v>0</v>
      </c>
      <c r="N18" s="104"/>
      <c r="O18" s="104"/>
      <c r="P18" s="104"/>
      <c r="Q18" s="104"/>
      <c r="R18" s="104"/>
      <c r="S18" s="104"/>
      <c r="T18" s="109"/>
      <c r="U18" s="173"/>
    </row>
    <row r="19" spans="1:21" ht="13.5" customHeight="1">
      <c r="A19" s="179"/>
      <c r="B19" s="102"/>
      <c r="C19" s="21" t="s">
        <v>519</v>
      </c>
      <c r="D19" s="163" t="s">
        <v>235</v>
      </c>
      <c r="E19" s="947">
        <f>VLOOKUP("Amounts_ComReserve_Account",calcdata_21,2,0)</f>
        <v>0</v>
      </c>
      <c r="F19" s="104"/>
      <c r="G19" s="104"/>
      <c r="H19" s="104"/>
      <c r="I19" s="1026" t="s">
        <v>501</v>
      </c>
      <c r="J19" s="1026"/>
      <c r="K19" s="1026"/>
      <c r="L19" s="157" t="s">
        <v>235</v>
      </c>
      <c r="M19" s="947">
        <f>VLOOKUP("Amounts_credit_Setoff_Reserve_Account",calcdata_21,2,0)</f>
        <v>0</v>
      </c>
      <c r="N19" s="104"/>
      <c r="O19" s="104"/>
      <c r="P19" s="104"/>
      <c r="Q19" s="104"/>
      <c r="R19" s="104"/>
      <c r="S19" s="104"/>
      <c r="T19" s="109"/>
      <c r="U19" s="173"/>
    </row>
    <row r="20" spans="1:21" ht="13.5" customHeight="1">
      <c r="A20" s="179"/>
      <c r="B20" s="102"/>
      <c r="C20" s="104" t="s">
        <v>342</v>
      </c>
      <c r="D20" s="163" t="s">
        <v>235</v>
      </c>
      <c r="E20" s="947">
        <f>VLOOKUP("Amounts_Liqudity_Reserve_Account",calcdata_21,2,0)</f>
        <v>4993955.25</v>
      </c>
      <c r="F20" s="104"/>
      <c r="G20" s="104"/>
      <c r="H20" s="104"/>
      <c r="I20" s="1026" t="s">
        <v>146</v>
      </c>
      <c r="J20" s="1026"/>
      <c r="K20" s="1026"/>
      <c r="L20" s="157" t="s">
        <v>235</v>
      </c>
      <c r="M20" s="947">
        <f>VLOOKUP("Amounts_credit_Purchase_Shortfall_Account",calcdata_21,2,0)</f>
        <v>62.309999883174896</v>
      </c>
      <c r="N20" s="104"/>
      <c r="O20" s="104"/>
      <c r="P20" s="104"/>
      <c r="Q20" s="104"/>
      <c r="R20" s="104"/>
      <c r="S20" s="104"/>
      <c r="T20" s="109"/>
      <c r="U20" s="173"/>
    </row>
    <row r="21" spans="1:21" ht="13.5" customHeight="1">
      <c r="A21" s="179"/>
      <c r="B21" s="102"/>
      <c r="C21" s="104" t="s">
        <v>343</v>
      </c>
      <c r="D21" s="163" t="s">
        <v>235</v>
      </c>
      <c r="E21" s="947">
        <f>VLOOKUP("Interests_paid_Swap_Counterparty",calcdata_21,2,0)</f>
        <v>1074395.77</v>
      </c>
      <c r="F21" s="104"/>
      <c r="G21" s="104"/>
      <c r="H21" s="104"/>
      <c r="I21" s="1026" t="s">
        <v>440</v>
      </c>
      <c r="J21" s="1026"/>
      <c r="K21" s="1026"/>
      <c r="L21" s="157" t="s">
        <v>235</v>
      </c>
      <c r="M21" s="947">
        <f>VLOOKUP("Mezzanine_loan_disbursement",calcdata_21,2,0)</f>
        <v>0</v>
      </c>
      <c r="N21" s="104"/>
      <c r="O21" s="104"/>
      <c r="P21" s="104"/>
      <c r="Q21" s="104"/>
      <c r="R21" s="104"/>
      <c r="S21" s="104"/>
      <c r="T21" s="109"/>
      <c r="U21" s="173"/>
    </row>
    <row r="22" spans="1:21" ht="13.5" customHeight="1">
      <c r="A22" s="179"/>
      <c r="B22" s="102"/>
      <c r="C22" s="21" t="s">
        <v>537</v>
      </c>
      <c r="D22" s="163" t="s">
        <v>235</v>
      </c>
      <c r="E22" s="948">
        <f>VLOOKUP("Remaining_PreEnforcement_available_Principal_amount",calcdata_21,2,0)</f>
        <v>0</v>
      </c>
      <c r="F22" s="104"/>
      <c r="G22" s="104"/>
      <c r="H22" s="104"/>
      <c r="I22" s="372" t="s">
        <v>441</v>
      </c>
      <c r="J22" s="372"/>
      <c r="K22" s="372"/>
      <c r="L22" s="157" t="s">
        <v>235</v>
      </c>
      <c r="M22" s="947">
        <f>VLOOKUP("PDL",calcdata_21,2,0)</f>
        <v>1410119.14</v>
      </c>
      <c r="N22" s="104"/>
      <c r="O22" s="104"/>
      <c r="P22" s="104"/>
      <c r="Q22" s="104"/>
      <c r="R22" s="104"/>
      <c r="S22" s="104"/>
      <c r="T22" s="109"/>
      <c r="U22" s="173"/>
    </row>
    <row r="23" spans="1:21" ht="13.5" customHeight="1" thickBot="1">
      <c r="A23" s="179"/>
      <c r="B23" s="102"/>
      <c r="C23" s="21" t="s">
        <v>436</v>
      </c>
      <c r="D23" s="163" t="s">
        <v>235</v>
      </c>
      <c r="E23" s="949">
        <f>VLOOKUP("Other_amounts_paid_Interests",calcdata_21,2,0)</f>
        <v>0</v>
      </c>
      <c r="F23" s="104"/>
      <c r="G23" s="104"/>
      <c r="H23" s="104"/>
      <c r="I23" s="372" t="s">
        <v>237</v>
      </c>
      <c r="J23" s="372"/>
      <c r="K23" s="372"/>
      <c r="L23" s="157" t="s">
        <v>235</v>
      </c>
      <c r="M23" s="947">
        <f>VLOOKUP("Rounding_differences_previous",calcdata_21,2,0)</f>
        <v>0</v>
      </c>
      <c r="N23" s="104"/>
      <c r="O23" s="104"/>
      <c r="P23" s="104"/>
      <c r="Q23" s="104"/>
      <c r="R23" s="104"/>
      <c r="S23" s="104"/>
      <c r="T23" s="109"/>
      <c r="U23" s="173"/>
    </row>
    <row r="24" spans="1:21" ht="13.5" customHeight="1" thickTop="1">
      <c r="A24" s="179"/>
      <c r="B24" s="102"/>
      <c r="C24" s="21" t="s">
        <v>232</v>
      </c>
      <c r="D24" s="163" t="s">
        <v>15</v>
      </c>
      <c r="E24" s="948">
        <f>VLOOKUP("Available_Interest_amount",calcdata_21,2,0)</f>
        <v>8584008.1500000004</v>
      </c>
      <c r="F24" s="104"/>
      <c r="G24" s="104"/>
      <c r="H24" s="104"/>
      <c r="I24" s="1026" t="s">
        <v>233</v>
      </c>
      <c r="J24" s="1026"/>
      <c r="K24" s="1026"/>
      <c r="L24" s="157" t="s">
        <v>15</v>
      </c>
      <c r="M24" s="950">
        <f>VLOOKUP("Available_Principal_amount",calcdata_21,2,0)</f>
        <v>20105276.749999885</v>
      </c>
      <c r="N24" s="104"/>
      <c r="O24" s="104"/>
      <c r="P24" s="104"/>
      <c r="Q24" s="104"/>
      <c r="R24" s="104"/>
      <c r="S24" s="104"/>
      <c r="T24" s="109"/>
      <c r="U24" s="173"/>
    </row>
    <row r="25" spans="1:21" ht="13.5" customHeight="1">
      <c r="A25" s="179"/>
      <c r="B25" s="102"/>
      <c r="C25" s="104"/>
      <c r="D25" s="163"/>
      <c r="E25" s="930"/>
      <c r="F25" s="104"/>
      <c r="G25" s="104"/>
      <c r="H25" s="104"/>
      <c r="M25" s="935"/>
      <c r="N25" s="104"/>
      <c r="O25" s="104"/>
      <c r="P25" s="104"/>
      <c r="Q25" s="104"/>
      <c r="R25" s="104"/>
      <c r="S25" s="104"/>
      <c r="T25" s="109"/>
      <c r="U25" s="173"/>
    </row>
    <row r="26" spans="1:21">
      <c r="A26" s="179"/>
      <c r="B26" s="145"/>
      <c r="C26" s="147" t="s">
        <v>538</v>
      </c>
      <c r="D26" s="374"/>
      <c r="E26" s="931"/>
      <c r="F26" s="147"/>
      <c r="G26" s="147"/>
      <c r="H26" s="147"/>
      <c r="I26" s="147"/>
      <c r="J26" s="147"/>
      <c r="K26" s="147"/>
      <c r="L26" s="375"/>
      <c r="M26" s="936"/>
      <c r="N26" s="147"/>
      <c r="O26" s="147"/>
      <c r="P26" s="147"/>
      <c r="Q26" s="147"/>
      <c r="R26" s="147"/>
      <c r="S26" s="147"/>
      <c r="T26" s="148"/>
      <c r="U26" s="173"/>
    </row>
    <row r="27" spans="1:21">
      <c r="A27" s="179"/>
      <c r="B27" s="104"/>
      <c r="C27" s="104"/>
      <c r="D27" s="163"/>
      <c r="E27" s="932"/>
      <c r="F27" s="104"/>
      <c r="G27" s="104"/>
      <c r="H27" s="104"/>
      <c r="I27" s="104"/>
      <c r="J27" s="104"/>
      <c r="K27" s="104"/>
      <c r="L27" s="157"/>
      <c r="M27" s="937"/>
      <c r="N27" s="104"/>
      <c r="O27" s="104"/>
      <c r="P27" s="104"/>
      <c r="Q27" s="104"/>
      <c r="R27" s="104"/>
      <c r="S27" s="104"/>
      <c r="T27" s="104"/>
      <c r="U27" s="173"/>
    </row>
    <row r="28" spans="1:21" ht="18">
      <c r="A28" s="179"/>
      <c r="B28" s="103" t="s">
        <v>415</v>
      </c>
      <c r="C28" s="103"/>
      <c r="D28" s="163"/>
      <c r="E28" s="933"/>
      <c r="F28" s="211"/>
      <c r="G28" s="103"/>
      <c r="H28" s="171"/>
      <c r="I28" s="103" t="s">
        <v>416</v>
      </c>
      <c r="J28" s="171"/>
      <c r="K28" s="171"/>
      <c r="L28" s="376"/>
      <c r="M28" s="932"/>
      <c r="N28" s="172"/>
      <c r="O28" s="172"/>
      <c r="P28" s="172"/>
      <c r="Q28" s="172"/>
      <c r="R28" s="172"/>
      <c r="S28" s="172"/>
      <c r="T28" s="21"/>
      <c r="U28" s="173"/>
    </row>
    <row r="29" spans="1:21" ht="10.5" customHeight="1">
      <c r="A29" s="179"/>
      <c r="B29" s="98"/>
      <c r="C29" s="377"/>
      <c r="D29" s="370"/>
      <c r="E29" s="934"/>
      <c r="F29" s="378"/>
      <c r="G29" s="379"/>
      <c r="H29" s="380"/>
      <c r="I29" s="379"/>
      <c r="J29" s="380"/>
      <c r="K29" s="380"/>
      <c r="L29" s="381"/>
      <c r="M29" s="938"/>
      <c r="N29" s="382"/>
      <c r="O29" s="382"/>
      <c r="P29" s="382"/>
      <c r="Q29" s="382"/>
      <c r="R29" s="382"/>
      <c r="S29" s="382"/>
      <c r="T29" s="153"/>
      <c r="U29" s="173"/>
    </row>
    <row r="30" spans="1:21" ht="13.5" customHeight="1">
      <c r="A30" s="179"/>
      <c r="B30" s="102"/>
      <c r="C30" s="84" t="s">
        <v>232</v>
      </c>
      <c r="D30" s="84"/>
      <c r="E30" s="948">
        <f>VLOOKUP("Available_Interest_amount",calcdata_21,2,0)</f>
        <v>8584008.1500000004</v>
      </c>
      <c r="F30" s="280"/>
      <c r="G30" s="21"/>
      <c r="H30" s="281"/>
      <c r="I30" s="1026" t="s">
        <v>233</v>
      </c>
      <c r="J30" s="1026"/>
      <c r="K30" s="1026"/>
      <c r="L30" s="282"/>
      <c r="M30" s="948">
        <f>VLOOKUP("Available_Principal_amount",calcdata_21,2,0)</f>
        <v>20105276.749999885</v>
      </c>
      <c r="N30" s="171"/>
      <c r="O30" s="171"/>
      <c r="P30" s="171"/>
      <c r="Q30" s="171"/>
      <c r="R30" s="171"/>
      <c r="S30" s="171"/>
      <c r="T30" s="173"/>
      <c r="U30" s="173"/>
    </row>
    <row r="31" spans="1:21" ht="13.5" customHeight="1">
      <c r="A31" s="179"/>
      <c r="B31" s="179"/>
      <c r="C31" s="84" t="s">
        <v>315</v>
      </c>
      <c r="D31" s="85" t="s">
        <v>35</v>
      </c>
      <c r="E31" s="948">
        <f>VLOOKUP("Senior_Expenses",calcdata_21,2,0)</f>
        <v>8290.2199999999993</v>
      </c>
      <c r="F31" s="284"/>
      <c r="G31" s="21"/>
      <c r="H31" s="286"/>
      <c r="I31" s="1026" t="s">
        <v>316</v>
      </c>
      <c r="J31" s="1026"/>
      <c r="K31" s="1026"/>
      <c r="L31" s="285" t="s">
        <v>35</v>
      </c>
      <c r="M31" s="948">
        <f>VLOOKUP("Addition_amounts",calcdata_21,2,0)</f>
        <v>0</v>
      </c>
      <c r="N31" s="218"/>
      <c r="O31" s="218"/>
      <c r="P31" s="218"/>
      <c r="Q31" s="218"/>
      <c r="R31" s="218"/>
      <c r="S31" s="218"/>
      <c r="T31" s="173"/>
      <c r="U31" s="173"/>
    </row>
    <row r="32" spans="1:21" ht="13.5" customHeight="1">
      <c r="A32" s="179"/>
      <c r="B32" s="179"/>
      <c r="C32" s="21" t="s">
        <v>317</v>
      </c>
      <c r="D32" s="85" t="s">
        <v>35</v>
      </c>
      <c r="E32" s="948">
        <f>VLOOKUP("Swap_payment",calcdata_21,2,0)</f>
        <v>0</v>
      </c>
      <c r="F32" s="284"/>
      <c r="G32" s="21"/>
      <c r="H32" s="286"/>
      <c r="I32" s="1026" t="s">
        <v>417</v>
      </c>
      <c r="J32" s="1026"/>
      <c r="K32" s="1026"/>
      <c r="L32" s="143" t="s">
        <v>15</v>
      </c>
      <c r="M32" s="948">
        <f>VLOOKUP("Net_note_available_Principal_Proceeds",calcdata_21,2,0)</f>
        <v>20105276.749999885</v>
      </c>
      <c r="N32" s="218"/>
      <c r="O32" s="218"/>
      <c r="P32" s="218"/>
      <c r="Q32" s="218"/>
      <c r="R32" s="218"/>
      <c r="S32" s="218"/>
      <c r="T32" s="173"/>
      <c r="U32" s="173"/>
    </row>
    <row r="33" spans="1:21" ht="13.5" customHeight="1">
      <c r="A33" s="179"/>
      <c r="B33" s="179"/>
      <c r="C33" s="84" t="s">
        <v>238</v>
      </c>
      <c r="D33" s="85" t="s">
        <v>35</v>
      </c>
      <c r="E33" s="948">
        <f>VLOOKUP("A_interest_amount_notes",calcdata_21,2,0)</f>
        <v>810065.25000000012</v>
      </c>
      <c r="F33" s="284"/>
      <c r="G33" s="21"/>
      <c r="H33" s="286"/>
      <c r="I33" s="1026" t="s">
        <v>239</v>
      </c>
      <c r="J33" s="1026"/>
      <c r="K33" s="1026"/>
      <c r="L33" s="285" t="s">
        <v>35</v>
      </c>
      <c r="M33" s="948">
        <f>VLOOKUP("Replenishment",calcdata_21,2,0)</f>
        <v>0</v>
      </c>
      <c r="N33" s="218"/>
      <c r="O33" s="218"/>
      <c r="P33" s="218"/>
      <c r="Q33" s="218"/>
      <c r="R33" s="218"/>
      <c r="S33" s="218"/>
      <c r="T33" s="173"/>
      <c r="U33" s="173"/>
    </row>
    <row r="34" spans="1:21" ht="13.5" customHeight="1">
      <c r="A34" s="179"/>
      <c r="B34" s="179"/>
      <c r="C34" s="84" t="s">
        <v>318</v>
      </c>
      <c r="D34" s="85" t="s">
        <v>35</v>
      </c>
      <c r="E34" s="948">
        <f>VLOOKUP("B_interest_amount_notes",calcdata_21,2,0)</f>
        <v>114528</v>
      </c>
      <c r="F34" s="284"/>
      <c r="G34" s="21"/>
      <c r="H34" s="286"/>
      <c r="I34" s="1026" t="s">
        <v>146</v>
      </c>
      <c r="J34" s="1026"/>
      <c r="K34" s="1026"/>
      <c r="L34" s="285" t="s">
        <v>35</v>
      </c>
      <c r="M34" s="948">
        <f>VLOOKUP("Purchase_Shortfall",calcdata_21,2,0)</f>
        <v>0</v>
      </c>
      <c r="N34" s="218"/>
      <c r="O34" s="218"/>
      <c r="P34" s="218"/>
      <c r="Q34" s="218"/>
      <c r="R34" s="218"/>
      <c r="S34" s="218"/>
      <c r="T34" s="173"/>
      <c r="U34" s="173"/>
    </row>
    <row r="35" spans="1:21" ht="13.5" customHeight="1">
      <c r="A35" s="179"/>
      <c r="B35" s="179"/>
      <c r="C35" s="84" t="s">
        <v>319</v>
      </c>
      <c r="D35" s="85" t="s">
        <v>35</v>
      </c>
      <c r="E35" s="948">
        <f>VLOOKUP("C_interest_amount_notes",calcdata_21,2,0)</f>
        <v>210327</v>
      </c>
      <c r="F35" s="284"/>
      <c r="G35" s="21"/>
      <c r="H35" s="286"/>
      <c r="I35" s="1026" t="s">
        <v>418</v>
      </c>
      <c r="J35" s="1026"/>
      <c r="K35" s="1026"/>
      <c r="L35" s="285" t="s">
        <v>35</v>
      </c>
      <c r="M35" s="948">
        <f>VLOOKUP("A_prorata_Principal",calcdata_21,2,0)</f>
        <v>0</v>
      </c>
      <c r="N35" s="218"/>
      <c r="O35" s="218"/>
      <c r="P35" s="218"/>
      <c r="Q35" s="218"/>
      <c r="R35" s="218"/>
      <c r="S35" s="218"/>
      <c r="T35" s="173"/>
      <c r="U35" s="173"/>
    </row>
    <row r="36" spans="1:21" ht="13.5" customHeight="1">
      <c r="A36" s="179"/>
      <c r="B36" s="179"/>
      <c r="C36" s="84" t="s">
        <v>321</v>
      </c>
      <c r="D36" s="85" t="s">
        <v>35</v>
      </c>
      <c r="E36" s="948">
        <f>VLOOKUP("D_interest_amount_notes",calcdata_21,2,0)</f>
        <v>185085</v>
      </c>
      <c r="F36" s="284"/>
      <c r="G36" s="21"/>
      <c r="H36" s="286"/>
      <c r="I36" s="1026" t="s">
        <v>419</v>
      </c>
      <c r="J36" s="1026"/>
      <c r="K36" s="1026"/>
      <c r="L36" s="285" t="s">
        <v>35</v>
      </c>
      <c r="M36" s="948">
        <f>VLOOKUP("B_prorata_Principal",calcdata_21,2,0)</f>
        <v>0</v>
      </c>
      <c r="N36" s="218"/>
      <c r="O36" s="218"/>
      <c r="P36" s="218"/>
      <c r="Q36" s="218"/>
      <c r="R36" s="218"/>
      <c r="S36" s="218"/>
      <c r="T36" s="173"/>
      <c r="U36" s="173"/>
    </row>
    <row r="37" spans="1:21" ht="13.5" customHeight="1">
      <c r="A37" s="179"/>
      <c r="B37" s="179"/>
      <c r="C37" s="84" t="s">
        <v>323</v>
      </c>
      <c r="D37" s="85" t="s">
        <v>35</v>
      </c>
      <c r="E37" s="948">
        <f>VLOOKUP("E_interest_amount_notes",calcdata_21,2,0)</f>
        <v>114671.25000000001</v>
      </c>
      <c r="F37" s="284"/>
      <c r="G37" s="21"/>
      <c r="H37" s="286"/>
      <c r="I37" s="1026" t="s">
        <v>420</v>
      </c>
      <c r="J37" s="1026"/>
      <c r="K37" s="1026"/>
      <c r="L37" s="285" t="s">
        <v>35</v>
      </c>
      <c r="M37" s="948">
        <f>VLOOKUP("C_prorata_Principal",calcdata_21,2,0)</f>
        <v>0</v>
      </c>
      <c r="N37" s="218"/>
      <c r="O37" s="218"/>
      <c r="P37" s="218"/>
      <c r="Q37" s="218"/>
      <c r="R37" s="218"/>
      <c r="S37" s="218"/>
      <c r="T37" s="173"/>
      <c r="U37" s="173"/>
    </row>
    <row r="38" spans="1:21" ht="13.5" customHeight="1">
      <c r="A38" s="179"/>
      <c r="B38" s="179"/>
      <c r="C38" s="84" t="s">
        <v>325</v>
      </c>
      <c r="D38" s="85" t="s">
        <v>35</v>
      </c>
      <c r="E38" s="948">
        <f>VLOOKUP("F_interest_amount_notes",calcdata_21,2,0)</f>
        <v>0</v>
      </c>
      <c r="F38" s="284"/>
      <c r="G38" s="21"/>
      <c r="H38" s="286"/>
      <c r="I38" s="1026" t="s">
        <v>421</v>
      </c>
      <c r="J38" s="1026"/>
      <c r="K38" s="1026"/>
      <c r="L38" s="285" t="s">
        <v>35</v>
      </c>
      <c r="M38" s="948">
        <f>VLOOKUP("D_prorata_Principal",calcdata_21,2,0)</f>
        <v>0</v>
      </c>
      <c r="N38" s="218"/>
      <c r="O38" s="218"/>
      <c r="P38" s="218"/>
      <c r="Q38" s="218"/>
      <c r="R38" s="218"/>
      <c r="S38" s="218"/>
      <c r="T38" s="173"/>
      <c r="U38" s="173"/>
    </row>
    <row r="39" spans="1:21" ht="13.5" customHeight="1">
      <c r="A39" s="179"/>
      <c r="B39" s="179"/>
      <c r="C39" s="84" t="s">
        <v>327</v>
      </c>
      <c r="D39" s="85" t="s">
        <v>35</v>
      </c>
      <c r="E39" s="948">
        <f>VLOOKUP("Liquidity_Reserve_amount_Repl",calcdata_21,2,0)</f>
        <v>4985000</v>
      </c>
      <c r="F39" s="284"/>
      <c r="G39" s="21"/>
      <c r="H39" s="286"/>
      <c r="I39" s="1026" t="s">
        <v>422</v>
      </c>
      <c r="J39" s="1026"/>
      <c r="K39" s="1026"/>
      <c r="L39" s="285" t="s">
        <v>35</v>
      </c>
      <c r="M39" s="948">
        <f>VLOOKUP("E_prorata_Principal",calcdata_21,2,0)</f>
        <v>0</v>
      </c>
      <c r="N39" s="218"/>
      <c r="O39" s="218"/>
      <c r="P39" s="218"/>
      <c r="Q39" s="218"/>
      <c r="R39" s="218"/>
      <c r="S39" s="218"/>
      <c r="T39" s="173"/>
      <c r="U39" s="173"/>
    </row>
    <row r="40" spans="1:21" ht="13.5" customHeight="1">
      <c r="A40" s="179"/>
      <c r="B40" s="179"/>
      <c r="C40" s="84" t="s">
        <v>329</v>
      </c>
      <c r="D40" s="85" t="s">
        <v>35</v>
      </c>
      <c r="E40" s="948">
        <f>VLOOKUP("Elimination_PDL",calcdata_21,2,0)</f>
        <v>1410119.14</v>
      </c>
      <c r="F40" s="284"/>
      <c r="G40" s="21"/>
      <c r="H40" s="286"/>
      <c r="I40" s="1026" t="s">
        <v>320</v>
      </c>
      <c r="J40" s="1026"/>
      <c r="K40" s="1026"/>
      <c r="L40" s="285" t="s">
        <v>35</v>
      </c>
      <c r="M40" s="948">
        <f>VLOOKUP("A_sequential_Principal",calcdata_21,2,0)</f>
        <v>20105192.25</v>
      </c>
      <c r="N40" s="218"/>
      <c r="O40" s="218"/>
      <c r="P40" s="218"/>
      <c r="Q40" s="218"/>
      <c r="R40" s="218"/>
      <c r="S40" s="218"/>
      <c r="T40" s="173"/>
      <c r="U40" s="173"/>
    </row>
    <row r="41" spans="1:21" ht="13.5" customHeight="1">
      <c r="A41" s="179"/>
      <c r="B41" s="179"/>
      <c r="C41" s="84" t="s">
        <v>330</v>
      </c>
      <c r="D41" s="85" t="s">
        <v>35</v>
      </c>
      <c r="E41" s="948">
        <f>VLOOKUP("B_Interests_notes",calcdata_21,2,0)</f>
        <v>0</v>
      </c>
      <c r="F41" s="284"/>
      <c r="G41" s="21"/>
      <c r="H41" s="286"/>
      <c r="I41" s="372" t="s">
        <v>442</v>
      </c>
      <c r="J41" s="372"/>
      <c r="K41" s="372"/>
      <c r="L41" s="285" t="s">
        <v>35</v>
      </c>
      <c r="M41" s="948">
        <f>VLOOKUP("B_to_G_Full_Redemption",calcdata_21,2,0)</f>
        <v>0</v>
      </c>
      <c r="N41" s="223"/>
      <c r="O41" s="223"/>
      <c r="P41" s="223"/>
      <c r="Q41" s="223"/>
      <c r="R41" s="223"/>
      <c r="S41" s="223"/>
      <c r="T41" s="173"/>
      <c r="U41" s="173"/>
    </row>
    <row r="42" spans="1:21" ht="13.5" customHeight="1">
      <c r="A42" s="179"/>
      <c r="B42" s="179"/>
      <c r="C42" s="84" t="s">
        <v>331</v>
      </c>
      <c r="D42" s="85" t="s">
        <v>35</v>
      </c>
      <c r="E42" s="948">
        <f>VLOOKUP("C_Interests_notes",calcdata_21,2,0)</f>
        <v>0</v>
      </c>
      <c r="F42" s="284"/>
      <c r="G42" s="21"/>
      <c r="H42" s="286"/>
      <c r="I42" s="372" t="s">
        <v>322</v>
      </c>
      <c r="J42" s="372"/>
      <c r="K42" s="372"/>
      <c r="L42" s="285" t="s">
        <v>35</v>
      </c>
      <c r="M42" s="948">
        <f>VLOOKUP("B_Redemption_triggerbreach",calcdata_21,2,0)</f>
        <v>0</v>
      </c>
      <c r="N42" s="223"/>
      <c r="O42" s="223"/>
      <c r="P42" s="223"/>
      <c r="Q42" s="223"/>
      <c r="R42" s="223"/>
      <c r="S42" s="223"/>
      <c r="T42" s="173"/>
      <c r="U42" s="173"/>
    </row>
    <row r="43" spans="1:21" ht="13.5" customHeight="1">
      <c r="A43" s="179"/>
      <c r="B43" s="179"/>
      <c r="C43" s="84" t="s">
        <v>332</v>
      </c>
      <c r="D43" s="85" t="s">
        <v>35</v>
      </c>
      <c r="E43" s="948">
        <f>VLOOKUP("D_Interests_notes",calcdata_21,2,0)</f>
        <v>0</v>
      </c>
      <c r="F43" s="284"/>
      <c r="G43" s="21"/>
      <c r="H43" s="286"/>
      <c r="I43" s="372" t="s">
        <v>324</v>
      </c>
      <c r="J43" s="372"/>
      <c r="K43" s="372"/>
      <c r="L43" s="285" t="s">
        <v>35</v>
      </c>
      <c r="M43" s="948">
        <f>VLOOKUP("C_Redemption_triggerbreach",calcdata_21,2,0)</f>
        <v>0</v>
      </c>
      <c r="N43" s="223"/>
      <c r="O43" s="223"/>
      <c r="P43" s="223"/>
      <c r="Q43" s="223"/>
      <c r="R43" s="223"/>
      <c r="S43" s="223"/>
      <c r="T43" s="173"/>
      <c r="U43" s="173"/>
    </row>
    <row r="44" spans="1:21" ht="13.5" customHeight="1">
      <c r="A44" s="179"/>
      <c r="B44" s="179"/>
      <c r="C44" s="84" t="s">
        <v>333</v>
      </c>
      <c r="D44" s="85" t="s">
        <v>35</v>
      </c>
      <c r="E44" s="948">
        <f>VLOOKUP("E_Interests_notes",calcdata_21,2,0)</f>
        <v>0</v>
      </c>
      <c r="F44" s="284"/>
      <c r="G44" s="21"/>
      <c r="H44" s="286"/>
      <c r="I44" s="372" t="s">
        <v>326</v>
      </c>
      <c r="J44" s="372"/>
      <c r="K44" s="372"/>
      <c r="L44" s="285" t="s">
        <v>35</v>
      </c>
      <c r="M44" s="948">
        <f>VLOOKUP("D_Redemption_triggerbreach",calcdata_21,2,0)</f>
        <v>0</v>
      </c>
      <c r="N44" s="223"/>
      <c r="O44" s="223"/>
      <c r="P44" s="223"/>
      <c r="Q44" s="223"/>
      <c r="R44" s="223"/>
      <c r="S44" s="223"/>
      <c r="T44" s="173"/>
      <c r="U44" s="173"/>
    </row>
    <row r="45" spans="1:21" ht="13.5" customHeight="1">
      <c r="A45" s="179"/>
      <c r="B45" s="179"/>
      <c r="C45" s="84" t="s">
        <v>334</v>
      </c>
      <c r="D45" s="85" t="s">
        <v>35</v>
      </c>
      <c r="E45" s="948">
        <f>VLOOKUP("F_Interests_notes",calcdata_21,2,0)</f>
        <v>0</v>
      </c>
      <c r="F45" s="284"/>
      <c r="G45" s="21"/>
      <c r="H45" s="286"/>
      <c r="I45" s="372" t="s">
        <v>328</v>
      </c>
      <c r="J45" s="372"/>
      <c r="K45" s="372"/>
      <c r="L45" s="285" t="s">
        <v>35</v>
      </c>
      <c r="M45" s="948">
        <f>VLOOKUP("E_Redemption_triggerbreach",calcdata_21,2,0)</f>
        <v>0</v>
      </c>
      <c r="N45" s="223"/>
      <c r="O45" s="223"/>
      <c r="P45" s="223"/>
      <c r="Q45" s="223"/>
      <c r="R45" s="223"/>
      <c r="S45" s="223"/>
      <c r="T45" s="173"/>
      <c r="U45" s="173"/>
    </row>
    <row r="46" spans="1:21" ht="13.5" customHeight="1">
      <c r="A46" s="179"/>
      <c r="B46" s="179"/>
      <c r="C46" s="84" t="s">
        <v>498</v>
      </c>
      <c r="D46" s="85" t="s">
        <v>35</v>
      </c>
      <c r="E46" s="948">
        <f>VLOOKUP("F_Principal_Redemption_amount",calcdata_21,2,0)</f>
        <v>0</v>
      </c>
      <c r="F46" s="284"/>
      <c r="G46" s="21"/>
      <c r="H46" s="286"/>
      <c r="I46" s="372" t="s">
        <v>499</v>
      </c>
      <c r="J46" s="372"/>
      <c r="K46" s="372"/>
      <c r="L46" s="285" t="s">
        <v>35</v>
      </c>
      <c r="M46" s="948">
        <f>VLOOKUP("F_Redemption_Principal",calcdata_21,2,0)</f>
        <v>0</v>
      </c>
      <c r="N46" s="223"/>
      <c r="O46" s="223"/>
      <c r="P46" s="223"/>
      <c r="Q46" s="223"/>
      <c r="R46" s="223"/>
      <c r="S46" s="223"/>
      <c r="T46" s="173"/>
      <c r="U46" s="173"/>
    </row>
    <row r="47" spans="1:21" ht="13.5" customHeight="1">
      <c r="A47" s="179"/>
      <c r="B47" s="179"/>
      <c r="C47" s="84" t="s">
        <v>335</v>
      </c>
      <c r="D47" s="85" t="s">
        <v>35</v>
      </c>
      <c r="E47" s="948">
        <f>VLOOKUP("G_Interests_notes",calcdata_21,2,0)</f>
        <v>24131.25</v>
      </c>
      <c r="F47" s="284"/>
      <c r="G47" s="21"/>
      <c r="H47" s="286"/>
      <c r="I47" s="372" t="s">
        <v>305</v>
      </c>
      <c r="J47" s="372"/>
      <c r="K47" s="372"/>
      <c r="L47" s="285" t="s">
        <v>35</v>
      </c>
      <c r="M47" s="948">
        <f>VLOOKUP("G_Redemption_Principal",calcdata_21,2,0)</f>
        <v>0</v>
      </c>
      <c r="N47" s="223"/>
      <c r="O47" s="223"/>
      <c r="P47" s="223"/>
      <c r="Q47" s="223"/>
      <c r="R47" s="223"/>
      <c r="S47" s="223"/>
      <c r="T47" s="173"/>
      <c r="U47" s="173"/>
    </row>
    <row r="48" spans="1:21" ht="13.5" customHeight="1">
      <c r="A48" s="179"/>
      <c r="B48" s="179"/>
      <c r="C48" s="84" t="s">
        <v>512</v>
      </c>
      <c r="D48" s="85" t="s">
        <v>35</v>
      </c>
      <c r="E48" s="948">
        <f>VLOOKUP("Mezzanine_loan_interests",calcdata_21,2,0)</f>
        <v>0</v>
      </c>
      <c r="F48" s="284"/>
      <c r="G48" s="21"/>
      <c r="H48" s="286"/>
      <c r="I48" s="372" t="s">
        <v>443</v>
      </c>
      <c r="J48" s="372"/>
      <c r="K48" s="372"/>
      <c r="L48" s="285" t="s">
        <v>35</v>
      </c>
      <c r="M48" s="948">
        <f>VLOOKUP("Mezzanine_loan_principal",calcdata_21,2,0)</f>
        <v>0</v>
      </c>
      <c r="N48" s="223"/>
      <c r="O48" s="223"/>
      <c r="P48" s="223"/>
      <c r="Q48" s="223"/>
      <c r="R48" s="223"/>
      <c r="S48" s="223"/>
      <c r="T48" s="173"/>
      <c r="U48" s="173"/>
    </row>
    <row r="49" spans="1:21" ht="13.5" customHeight="1" thickBot="1">
      <c r="A49" s="179"/>
      <c r="B49" s="179"/>
      <c r="C49" s="84" t="s">
        <v>336</v>
      </c>
      <c r="D49" s="85" t="s">
        <v>35</v>
      </c>
      <c r="E49" s="948">
        <f>VLOOKUP("Subordinated_swap_amounts",calcdata_21,2,0)</f>
        <v>0</v>
      </c>
      <c r="F49" s="284"/>
      <c r="G49" s="21"/>
      <c r="H49" s="286"/>
      <c r="I49" s="975" t="s">
        <v>500</v>
      </c>
      <c r="J49" s="975"/>
      <c r="K49" s="975"/>
      <c r="L49" s="285" t="s">
        <v>35</v>
      </c>
      <c r="M49" s="948">
        <f>VLOOKUP("Rounding_differences_clearing",calcdata_21,2,0)</f>
        <v>0</v>
      </c>
      <c r="N49" s="223"/>
      <c r="O49" s="223"/>
      <c r="P49" s="223"/>
      <c r="Q49" s="223"/>
      <c r="R49" s="223"/>
      <c r="S49" s="223"/>
      <c r="T49" s="173"/>
      <c r="U49" s="173"/>
    </row>
    <row r="50" spans="1:21" ht="13.5" customHeight="1" thickTop="1">
      <c r="A50" s="179"/>
      <c r="B50" s="179"/>
      <c r="C50" s="84" t="s">
        <v>340</v>
      </c>
      <c r="D50" s="85" t="s">
        <v>35</v>
      </c>
      <c r="E50" s="948">
        <f>VLOOKUP("Fees_commingling_setoff_reserve",calcdata_21,2,0)</f>
        <v>0</v>
      </c>
      <c r="F50" s="284"/>
      <c r="G50" s="21"/>
      <c r="H50" s="286"/>
      <c r="I50" s="1026"/>
      <c r="J50" s="1026"/>
      <c r="K50" s="1026"/>
      <c r="L50" s="285"/>
      <c r="M50" s="950"/>
      <c r="N50" s="223"/>
      <c r="O50" s="223"/>
      <c r="P50" s="223"/>
      <c r="Q50" s="223"/>
      <c r="R50" s="223"/>
      <c r="S50" s="223"/>
      <c r="T50" s="173"/>
      <c r="U50" s="173"/>
    </row>
    <row r="51" spans="1:21" ht="13.5" customHeight="1">
      <c r="A51" s="179"/>
      <c r="B51" s="179"/>
      <c r="C51" s="84" t="s">
        <v>337</v>
      </c>
      <c r="D51" s="85" t="s">
        <v>35</v>
      </c>
      <c r="E51" s="948">
        <f>VLOOKUP("Liqudity_Reserve_Interests",calcdata_21,2,0)</f>
        <v>31301.65</v>
      </c>
      <c r="F51" s="284"/>
      <c r="G51" s="21"/>
      <c r="H51" s="286"/>
      <c r="I51" s="383"/>
      <c r="J51" s="285"/>
      <c r="K51" s="285"/>
      <c r="L51" s="285"/>
      <c r="M51" s="223"/>
      <c r="N51" s="223"/>
      <c r="O51" s="223"/>
      <c r="P51" s="223"/>
      <c r="Q51" s="223"/>
      <c r="R51" s="223"/>
      <c r="S51" s="223"/>
      <c r="T51" s="173"/>
      <c r="U51" s="173"/>
    </row>
    <row r="52" spans="1:21" ht="13.5" customHeight="1" thickBot="1">
      <c r="A52" s="179"/>
      <c r="B52" s="179"/>
      <c r="C52" s="84" t="s">
        <v>338</v>
      </c>
      <c r="D52" s="85" t="s">
        <v>35</v>
      </c>
      <c r="E52" s="948">
        <f>VLOOKUP("Liqudity_Reserve_Principal",calcdata_21,2,0)</f>
        <v>0</v>
      </c>
      <c r="F52" s="284"/>
      <c r="G52" s="21"/>
      <c r="H52" s="286"/>
      <c r="I52" s="383"/>
      <c r="J52" s="285"/>
      <c r="K52" s="285"/>
      <c r="L52" s="285"/>
      <c r="M52" s="223"/>
      <c r="N52" s="223"/>
      <c r="O52" s="223"/>
      <c r="P52" s="223"/>
      <c r="Q52" s="223"/>
      <c r="R52" s="223"/>
      <c r="S52" s="223"/>
      <c r="T52" s="173"/>
      <c r="U52" s="173"/>
    </row>
    <row r="53" spans="1:21" ht="13.5" customHeight="1" thickTop="1">
      <c r="A53" s="179"/>
      <c r="B53" s="179"/>
      <c r="C53" s="84" t="s">
        <v>339</v>
      </c>
      <c r="D53" s="85"/>
      <c r="E53" s="950">
        <f>VLOOKUP("Remaining_amount_seller",calcdata_21,2,0)</f>
        <v>690489.38999999978</v>
      </c>
      <c r="F53" s="284"/>
      <c r="G53" s="21"/>
      <c r="H53" s="286"/>
      <c r="I53" s="383"/>
      <c r="J53" s="285"/>
      <c r="K53" s="285"/>
      <c r="L53" s="285"/>
      <c r="M53" s="223"/>
      <c r="N53" s="223"/>
      <c r="O53" s="223"/>
      <c r="P53" s="223"/>
      <c r="Q53" s="223"/>
      <c r="R53" s="223"/>
      <c r="S53" s="223"/>
      <c r="T53" s="173"/>
      <c r="U53" s="173"/>
    </row>
    <row r="54" spans="1:21" ht="13.5" customHeight="1">
      <c r="A54" s="179"/>
      <c r="B54" s="179"/>
      <c r="C54" s="384"/>
      <c r="D54" s="86"/>
      <c r="E54" s="373"/>
      <c r="F54" s="364"/>
      <c r="G54" s="104"/>
      <c r="H54" s="365"/>
      <c r="I54" s="221"/>
      <c r="J54" s="218"/>
      <c r="K54" s="218"/>
      <c r="L54" s="218"/>
      <c r="M54" s="223"/>
      <c r="N54" s="223"/>
      <c r="O54" s="223"/>
      <c r="P54" s="223"/>
      <c r="Q54" s="223"/>
      <c r="R54" s="223"/>
      <c r="S54" s="223"/>
      <c r="T54" s="173"/>
      <c r="U54" s="173"/>
    </row>
    <row r="55" spans="1:21" ht="13.5" customHeight="1">
      <c r="A55" s="179"/>
      <c r="B55" s="194"/>
      <c r="C55" s="29"/>
      <c r="D55" s="11"/>
      <c r="E55" s="50"/>
      <c r="F55" s="50"/>
      <c r="G55" s="50"/>
      <c r="H55" s="50"/>
      <c r="I55" s="50"/>
      <c r="J55" s="50"/>
      <c r="K55" s="50"/>
      <c r="L55" s="50"/>
      <c r="M55" s="50"/>
      <c r="N55" s="50"/>
      <c r="O55" s="50"/>
      <c r="P55" s="50"/>
      <c r="Q55" s="50"/>
      <c r="R55" s="50"/>
      <c r="S55" s="50"/>
      <c r="T55" s="195"/>
      <c r="U55" s="173"/>
    </row>
    <row r="56" spans="1:21" ht="18" customHeight="1">
      <c r="A56" s="179"/>
      <c r="B56" s="21"/>
      <c r="C56" s="82"/>
      <c r="D56" s="83"/>
      <c r="E56" s="49"/>
      <c r="F56" s="49"/>
      <c r="G56" s="49"/>
      <c r="H56" s="49"/>
      <c r="I56" s="49"/>
      <c r="J56" s="49"/>
      <c r="K56" s="49"/>
      <c r="L56" s="49"/>
      <c r="M56" s="49"/>
      <c r="N56" s="49"/>
      <c r="O56" s="49"/>
      <c r="P56" s="49"/>
      <c r="Q56" s="49"/>
      <c r="R56" s="49"/>
      <c r="S56" s="49"/>
      <c r="T56" s="49"/>
      <c r="U56" s="173"/>
    </row>
    <row r="57" spans="1:21" ht="13.5" customHeight="1">
      <c r="A57" s="179"/>
      <c r="B57" s="21"/>
      <c r="C57" s="14"/>
      <c r="D57" s="13"/>
      <c r="E57" s="21"/>
      <c r="F57" s="21"/>
      <c r="G57" s="21"/>
      <c r="H57" s="21"/>
      <c r="I57" s="21"/>
      <c r="J57" s="21"/>
      <c r="K57" s="21"/>
      <c r="L57" s="21"/>
      <c r="M57" s="21"/>
      <c r="N57" s="21"/>
      <c r="O57" s="21"/>
      <c r="P57" s="21"/>
      <c r="Q57" s="21"/>
      <c r="R57" s="21"/>
      <c r="T57" s="21"/>
      <c r="U57" s="173"/>
    </row>
    <row r="58" spans="1:21" ht="12.75" customHeight="1">
      <c r="A58" s="179"/>
      <c r="B58" s="21"/>
      <c r="C58" s="47" t="s">
        <v>90</v>
      </c>
      <c r="D58" s="94" t="s">
        <v>36</v>
      </c>
      <c r="E58" s="48" t="s">
        <v>5</v>
      </c>
      <c r="F58" s="48"/>
      <c r="G58" s="48" t="s">
        <v>6</v>
      </c>
      <c r="H58" s="48"/>
      <c r="I58" s="48" t="s">
        <v>190</v>
      </c>
      <c r="J58" s="48"/>
      <c r="K58" s="48" t="s">
        <v>191</v>
      </c>
      <c r="L58" s="48"/>
      <c r="M58" s="48" t="s">
        <v>192</v>
      </c>
      <c r="N58" s="48"/>
      <c r="O58" s="48" t="s">
        <v>240</v>
      </c>
      <c r="P58" s="48"/>
      <c r="Q58" s="48" t="s">
        <v>251</v>
      </c>
      <c r="R58" s="48"/>
      <c r="S58" s="48" t="s">
        <v>348</v>
      </c>
      <c r="T58" s="48"/>
      <c r="U58" s="173"/>
    </row>
    <row r="59" spans="1:21" ht="13.5" customHeight="1">
      <c r="A59" s="179"/>
      <c r="B59" s="152"/>
      <c r="C59" s="49" t="s">
        <v>83</v>
      </c>
      <c r="D59" s="951">
        <f>E31</f>
        <v>8290.2199999999993</v>
      </c>
      <c r="E59" s="952"/>
      <c r="F59" s="952"/>
      <c r="G59" s="952"/>
      <c r="H59" s="953"/>
      <c r="I59" s="952"/>
      <c r="J59" s="953"/>
      <c r="K59" s="952"/>
      <c r="L59" s="953"/>
      <c r="M59" s="952"/>
      <c r="N59" s="952"/>
      <c r="O59" s="952"/>
      <c r="P59" s="952"/>
      <c r="Q59" s="952"/>
      <c r="R59" s="952"/>
      <c r="S59" s="952"/>
      <c r="T59" s="385"/>
      <c r="U59" s="173"/>
    </row>
    <row r="60" spans="1:21" ht="13.5" customHeight="1">
      <c r="A60" s="179"/>
      <c r="B60" s="179"/>
      <c r="C60" s="21" t="s">
        <v>91</v>
      </c>
      <c r="D60" s="951">
        <f>SUM(E60:S60)</f>
        <v>1490109.4</v>
      </c>
      <c r="E60" s="951">
        <f>VLOOKUP("A_Interests_accrued",calcdata_21,2,0)</f>
        <v>810065.25000000012</v>
      </c>
      <c r="F60" s="954"/>
      <c r="G60" s="951">
        <f>VLOOKUP("B_Interests_accrued",calcdata_21,2,0)</f>
        <v>114528</v>
      </c>
      <c r="H60" s="955"/>
      <c r="I60" s="951">
        <f>VLOOKUP("C_Interests_accrued",calcdata_21,2,0)</f>
        <v>210327</v>
      </c>
      <c r="J60" s="955"/>
      <c r="K60" s="951">
        <f>VLOOKUP("D_Interests_accrued",calcdata_21,2,0)</f>
        <v>185085</v>
      </c>
      <c r="L60" s="955"/>
      <c r="M60" s="951">
        <f>VLOOKUP("E_Interests_accrued",calcdata_21,2,0)</f>
        <v>114671.25000000001</v>
      </c>
      <c r="N60" s="951"/>
      <c r="O60" s="951">
        <f>VLOOKUP("F_Interests_accrued",calcdata_21,2,0)</f>
        <v>0</v>
      </c>
      <c r="P60" s="951"/>
      <c r="Q60" s="951">
        <f>VLOOKUP("G_Interests_accrued",calcdata_21,2,0)</f>
        <v>24131.25</v>
      </c>
      <c r="R60" s="951"/>
      <c r="S60" s="951">
        <f>VLOOKUP("Reserve_Interests_accrued",calcdata_21,2,0)</f>
        <v>31301.65</v>
      </c>
      <c r="T60" s="386"/>
      <c r="U60" s="173"/>
    </row>
    <row r="61" spans="1:21" ht="13.5" customHeight="1">
      <c r="A61" s="179"/>
      <c r="B61" s="179"/>
      <c r="C61" s="21" t="s">
        <v>92</v>
      </c>
      <c r="D61" s="951">
        <f t="shared" ref="D61:D66" si="0">SUM(E61:S61)</f>
        <v>107320293.73999999</v>
      </c>
      <c r="E61" s="951">
        <f>VLOOKUP("A_Interests_accrued_cum",calcdata_21,2,0)</f>
        <v>74742918.75</v>
      </c>
      <c r="F61" s="954"/>
      <c r="G61" s="951">
        <f>VLOOKUP("B_Interests_accrued_cum",calcdata_21,2,0)</f>
        <v>5052834</v>
      </c>
      <c r="H61" s="955"/>
      <c r="I61" s="951">
        <f>VLOOKUP("C_Interests_accrued_cum",calcdata_21,2,0)</f>
        <v>9357192</v>
      </c>
      <c r="J61" s="955"/>
      <c r="K61" s="951">
        <f>VLOOKUP("D_Interests_accrued_cum",calcdata_21,2,0)</f>
        <v>8300062.5</v>
      </c>
      <c r="L61" s="955"/>
      <c r="M61" s="951">
        <f>VLOOKUP("E_Interests_accrued_cum",calcdata_21,2,0)</f>
        <v>5197151.25</v>
      </c>
      <c r="N61" s="951"/>
      <c r="O61" s="951">
        <f>VLOOKUP("F_Interests_accrued_cum",calcdata_21,2,0)</f>
        <v>1504799.9999999995</v>
      </c>
      <c r="P61" s="951"/>
      <c r="Q61" s="951">
        <f>VLOOKUP("G_Interests_accrued_cum",calcdata_21,2,0)</f>
        <v>1602168.75</v>
      </c>
      <c r="R61" s="951"/>
      <c r="S61" s="951">
        <f>VLOOKUP("Reserve_Interests_accrued_cum",calcdata_21,2,0)</f>
        <v>1563166.4900000005</v>
      </c>
      <c r="T61" s="386"/>
      <c r="U61" s="173"/>
    </row>
    <row r="62" spans="1:21" ht="13.5" customHeight="1">
      <c r="A62" s="179"/>
      <c r="B62" s="179"/>
      <c r="C62" s="21" t="s">
        <v>93</v>
      </c>
      <c r="D62" s="951">
        <f t="shared" si="0"/>
        <v>1490109.4</v>
      </c>
      <c r="E62" s="951">
        <f>VLOOKUP("A_Interest_Payments",calcdata_21,2,0)</f>
        <v>810065.25000000012</v>
      </c>
      <c r="F62" s="954"/>
      <c r="G62" s="951">
        <f>VLOOKUP("B_Interest_Payments",calcdata_21,2,0)</f>
        <v>114528</v>
      </c>
      <c r="H62" s="956"/>
      <c r="I62" s="951">
        <f>VLOOKUP("C_Interest_Payments",calcdata_21,2,0)</f>
        <v>210327</v>
      </c>
      <c r="J62" s="956"/>
      <c r="K62" s="951">
        <f>VLOOKUP("D_Interest_Payments",calcdata_21,2,0)</f>
        <v>185085</v>
      </c>
      <c r="L62" s="956"/>
      <c r="M62" s="951">
        <f>VLOOKUP("E_Interest_Payments",calcdata_21,2,0)</f>
        <v>114671.25000000001</v>
      </c>
      <c r="N62" s="951"/>
      <c r="O62" s="951">
        <f>VLOOKUP("F_Interest_Payments",calcdata_21,2,0)</f>
        <v>0</v>
      </c>
      <c r="P62" s="951"/>
      <c r="Q62" s="951">
        <f>VLOOKUP("G_Interest_Payments",calcdata_21,2,0)</f>
        <v>24131.25</v>
      </c>
      <c r="R62" s="951"/>
      <c r="S62" s="951">
        <f>VLOOKUP("Reserve_Interest_Payments",calcdata_21,2,0)</f>
        <v>31301.65</v>
      </c>
      <c r="T62" s="387"/>
      <c r="U62" s="173"/>
    </row>
    <row r="63" spans="1:21" ht="13.5" customHeight="1">
      <c r="A63" s="179"/>
      <c r="B63" s="179"/>
      <c r="C63" s="21" t="s">
        <v>94</v>
      </c>
      <c r="D63" s="951">
        <f t="shared" si="0"/>
        <v>106371323.14</v>
      </c>
      <c r="E63" s="951">
        <f>VLOOKUP("A_Interest_Payments_cum",calcdata_21,2,0)</f>
        <v>74742918.75</v>
      </c>
      <c r="F63" s="954"/>
      <c r="G63" s="951">
        <f>VLOOKUP("B_Interest_Payments_cum",calcdata_21,2,0)</f>
        <v>5052834</v>
      </c>
      <c r="H63" s="956"/>
      <c r="I63" s="951">
        <f>VLOOKUP("C_Interest_Payments_cum",calcdata_21,2,0)</f>
        <v>9357192</v>
      </c>
      <c r="J63" s="956"/>
      <c r="K63" s="951">
        <f>VLOOKUP("D_Interest_Payments_cum",calcdata_21,2,0)</f>
        <v>8300062.5</v>
      </c>
      <c r="L63" s="956"/>
      <c r="M63" s="951">
        <f>VLOOKUP("E_Interest_Payments_cum",calcdata_21,2,0)</f>
        <v>5197151.25</v>
      </c>
      <c r="N63" s="951"/>
      <c r="O63" s="951">
        <f>VLOOKUP("F_Interest_Payments_cum",calcdata_21,2,0)</f>
        <v>1504799.9999999995</v>
      </c>
      <c r="P63" s="951"/>
      <c r="Q63" s="951">
        <f>VLOOKUP("G_Interest_Payments_cum",calcdata_21,2,0)</f>
        <v>955743.75</v>
      </c>
      <c r="R63" s="951"/>
      <c r="S63" s="951">
        <f>VLOOKUP("Reserve_Interest_Payments_cum",calcdata_21,2,0)</f>
        <v>1260620.8900000001</v>
      </c>
      <c r="T63" s="387"/>
      <c r="U63" s="173"/>
    </row>
    <row r="64" spans="1:21" ht="13.5" customHeight="1">
      <c r="A64" s="179"/>
      <c r="B64" s="179"/>
      <c r="C64" s="21" t="s">
        <v>95</v>
      </c>
      <c r="D64" s="951">
        <f t="shared" si="0"/>
        <v>0</v>
      </c>
      <c r="E64" s="951">
        <f>VLOOKUP("A_Interests_unpaid",calcdata_21,2,0)</f>
        <v>0</v>
      </c>
      <c r="F64" s="954"/>
      <c r="G64" s="951">
        <f>VLOOKUP("B_Interests_unpaid",calcdata_21,2,0)</f>
        <v>0</v>
      </c>
      <c r="H64" s="956"/>
      <c r="I64" s="951">
        <f>VLOOKUP("C_Interests_unpaid",calcdata_21,2,0)</f>
        <v>0</v>
      </c>
      <c r="J64" s="956"/>
      <c r="K64" s="951">
        <f>VLOOKUP("D_Interests_unpaid",calcdata_21,2,0)</f>
        <v>0</v>
      </c>
      <c r="L64" s="956"/>
      <c r="M64" s="951">
        <f>VLOOKUP("E_Interests_unpaid",calcdata_21,2,0)</f>
        <v>0</v>
      </c>
      <c r="N64" s="951"/>
      <c r="O64" s="951">
        <f>VLOOKUP("F_Interests_unpaid",calcdata_21,2,0)</f>
        <v>0</v>
      </c>
      <c r="P64" s="951"/>
      <c r="Q64" s="951">
        <f>VLOOKUP("G_Interests_unpaid",calcdata_21,2,0)</f>
        <v>0</v>
      </c>
      <c r="R64" s="951"/>
      <c r="S64" s="951">
        <f>VLOOKUP("Reserve_Interests_unpaid",calcdata_21,2,0)</f>
        <v>0</v>
      </c>
      <c r="T64" s="387"/>
      <c r="U64" s="173"/>
    </row>
    <row r="65" spans="1:21" ht="13.5" customHeight="1">
      <c r="A65" s="179"/>
      <c r="B65" s="179"/>
      <c r="C65" s="21" t="s">
        <v>96</v>
      </c>
      <c r="D65" s="951">
        <f t="shared" si="0"/>
        <v>948970.6</v>
      </c>
      <c r="E65" s="951">
        <f>VLOOKUP("A_Interests_unpaid_cum",calcdata_21,2,0)</f>
        <v>0</v>
      </c>
      <c r="F65" s="954"/>
      <c r="G65" s="951">
        <f>VLOOKUP("B_Interests_unpaid_cum",calcdata_21,2,0)</f>
        <v>0</v>
      </c>
      <c r="H65" s="956"/>
      <c r="I65" s="951">
        <f>VLOOKUP("C_Interests_unpaid_cum",calcdata_21,2,0)</f>
        <v>0</v>
      </c>
      <c r="J65" s="956"/>
      <c r="K65" s="951">
        <f>VLOOKUP("D_Interests_unpaid_cum",calcdata_21,2,0)</f>
        <v>0</v>
      </c>
      <c r="L65" s="956"/>
      <c r="M65" s="951">
        <f>VLOOKUP("E_Interests_unpaid_cum",calcdata_21,2,0)</f>
        <v>0</v>
      </c>
      <c r="N65" s="951"/>
      <c r="O65" s="951">
        <f>VLOOKUP("F_Interests_unpaid_cum",calcdata_21,2,0)</f>
        <v>0</v>
      </c>
      <c r="P65" s="951"/>
      <c r="Q65" s="951">
        <f>VLOOKUP("G_Interests_unpaid_cum",calcdata_21,2,0)</f>
        <v>646425</v>
      </c>
      <c r="R65" s="951"/>
      <c r="S65" s="951">
        <f>VLOOKUP("Reserve_Interests_unpaid_cum",calcdata_21,2,0)</f>
        <v>302545.59999999998</v>
      </c>
      <c r="T65" s="387"/>
      <c r="U65" s="173"/>
    </row>
    <row r="66" spans="1:21" ht="13.5" customHeight="1">
      <c r="A66" s="179"/>
      <c r="B66" s="194"/>
      <c r="C66" s="50" t="s">
        <v>349</v>
      </c>
      <c r="D66" s="957">
        <f t="shared" si="0"/>
        <v>4985000</v>
      </c>
      <c r="E66" s="957"/>
      <c r="F66" s="958"/>
      <c r="G66" s="957"/>
      <c r="H66" s="959"/>
      <c r="I66" s="957"/>
      <c r="J66" s="959"/>
      <c r="K66" s="957"/>
      <c r="L66" s="959"/>
      <c r="M66" s="957"/>
      <c r="N66" s="957"/>
      <c r="O66" s="957"/>
      <c r="P66" s="957"/>
      <c r="Q66" s="957"/>
      <c r="R66" s="957"/>
      <c r="S66" s="957">
        <f>VLOOKUP("Reserve_outstanding",calcdata_21,2,0)</f>
        <v>4985000</v>
      </c>
      <c r="T66" s="388"/>
      <c r="U66" s="173"/>
    </row>
    <row r="67" spans="1:21" s="21" customFormat="1">
      <c r="A67" s="179"/>
      <c r="C67" s="14"/>
      <c r="D67" s="13"/>
      <c r="E67" s="196"/>
      <c r="F67" s="13"/>
      <c r="G67" s="197"/>
      <c r="H67" s="198"/>
      <c r="I67" s="197"/>
      <c r="J67" s="197"/>
      <c r="K67" s="197"/>
      <c r="L67" s="197"/>
      <c r="M67" s="172"/>
      <c r="N67" s="172"/>
      <c r="O67" s="172"/>
      <c r="P67" s="172"/>
      <c r="Q67" s="172"/>
      <c r="U67" s="173"/>
    </row>
    <row r="68" spans="1:21" s="21" customFormat="1">
      <c r="A68" s="194"/>
      <c r="B68" s="50"/>
      <c r="C68" s="29"/>
      <c r="D68" s="11"/>
      <c r="E68" s="348"/>
      <c r="F68" s="11"/>
      <c r="G68" s="315"/>
      <c r="H68" s="349"/>
      <c r="I68" s="315"/>
      <c r="J68" s="315"/>
      <c r="K68" s="315"/>
      <c r="L68" s="315"/>
      <c r="M68" s="389"/>
      <c r="N68" s="389"/>
      <c r="O68" s="389"/>
      <c r="P68" s="389"/>
      <c r="Q68" s="389"/>
      <c r="R68" s="50"/>
      <c r="S68" s="50"/>
      <c r="T68" s="50"/>
      <c r="U68" s="195"/>
    </row>
    <row r="69" spans="1:21" s="104" customFormat="1" ht="15" customHeight="1">
      <c r="C69" s="14"/>
      <c r="D69" s="13"/>
      <c r="E69" s="196"/>
      <c r="F69" s="13"/>
      <c r="G69" s="197"/>
      <c r="H69" s="198"/>
      <c r="I69" s="197"/>
      <c r="J69" s="197"/>
      <c r="K69" s="197"/>
      <c r="L69" s="197"/>
      <c r="M69" s="144"/>
      <c r="N69" s="144"/>
      <c r="O69" s="144"/>
      <c r="P69" s="144"/>
      <c r="Q69" s="144"/>
    </row>
    <row r="70" spans="1:21" s="104" customFormat="1">
      <c r="C70" s="14"/>
      <c r="D70" s="13"/>
      <c r="E70" s="196"/>
      <c r="F70" s="13"/>
      <c r="G70" s="197"/>
      <c r="H70" s="198"/>
      <c r="I70" s="197"/>
      <c r="J70" s="197"/>
      <c r="K70" s="197"/>
      <c r="L70" s="197"/>
      <c r="M70" s="144"/>
      <c r="N70" s="144"/>
      <c r="O70" s="144"/>
      <c r="P70" s="144"/>
      <c r="Q70" s="144"/>
    </row>
    <row r="71" spans="1:21" s="21" customFormat="1">
      <c r="C71" s="14"/>
      <c r="D71" s="13"/>
      <c r="E71" s="196"/>
      <c r="F71" s="13"/>
      <c r="G71" s="197"/>
      <c r="H71" s="198"/>
      <c r="I71" s="197"/>
      <c r="J71" s="197"/>
      <c r="K71" s="197"/>
      <c r="L71" s="197"/>
      <c r="M71" s="172"/>
      <c r="N71" s="172"/>
      <c r="O71" s="172"/>
      <c r="P71" s="172"/>
      <c r="Q71" s="172"/>
    </row>
    <row r="72" spans="1:21" s="21" customFormat="1">
      <c r="C72" s="14"/>
      <c r="D72" s="13"/>
      <c r="E72" s="196"/>
      <c r="F72" s="13"/>
      <c r="G72" s="197"/>
      <c r="H72" s="198"/>
      <c r="I72" s="197"/>
      <c r="J72" s="197"/>
      <c r="K72" s="197"/>
      <c r="L72" s="197"/>
      <c r="M72" s="172"/>
      <c r="N72" s="172"/>
      <c r="O72" s="172"/>
      <c r="P72" s="172"/>
      <c r="Q72" s="172"/>
    </row>
    <row r="73" spans="1:21" s="21" customFormat="1">
      <c r="C73" s="14"/>
      <c r="D73" s="13"/>
      <c r="E73" s="196"/>
      <c r="F73" s="13"/>
      <c r="G73" s="197"/>
      <c r="H73" s="198"/>
      <c r="I73" s="197"/>
      <c r="J73" s="197"/>
      <c r="K73" s="197"/>
      <c r="L73" s="197"/>
      <c r="M73" s="172"/>
      <c r="N73" s="172"/>
      <c r="O73" s="172"/>
      <c r="P73" s="172"/>
      <c r="Q73" s="172"/>
    </row>
    <row r="74" spans="1:21" s="21" customFormat="1">
      <c r="C74" s="14"/>
      <c r="D74" s="13"/>
      <c r="E74" s="196"/>
      <c r="F74" s="13"/>
      <c r="G74" s="197"/>
      <c r="H74" s="198"/>
      <c r="I74" s="197"/>
      <c r="J74" s="197"/>
      <c r="K74" s="197"/>
      <c r="L74" s="197"/>
      <c r="M74" s="172"/>
      <c r="N74" s="172"/>
      <c r="O74" s="172"/>
      <c r="P74" s="172"/>
      <c r="Q74" s="172"/>
    </row>
    <row r="75" spans="1:21" s="21" customFormat="1">
      <c r="C75" s="14"/>
      <c r="D75" s="13"/>
      <c r="E75" s="196"/>
      <c r="F75" s="13"/>
      <c r="G75" s="197"/>
      <c r="H75" s="198"/>
      <c r="I75" s="197"/>
      <c r="J75" s="197"/>
      <c r="K75" s="197"/>
      <c r="L75" s="197"/>
      <c r="M75" s="172"/>
      <c r="N75" s="172"/>
      <c r="O75" s="172"/>
      <c r="P75" s="172"/>
      <c r="Q75" s="172"/>
    </row>
    <row r="76" spans="1:21" s="21" customFormat="1">
      <c r="C76" s="14"/>
      <c r="D76" s="13"/>
      <c r="E76" s="196"/>
      <c r="F76" s="13"/>
      <c r="G76" s="197"/>
      <c r="H76" s="198"/>
      <c r="I76" s="197"/>
      <c r="J76" s="197"/>
      <c r="K76" s="197"/>
      <c r="L76" s="197"/>
      <c r="M76" s="172"/>
      <c r="N76" s="172"/>
      <c r="O76" s="172"/>
      <c r="P76" s="172"/>
      <c r="Q76" s="172"/>
    </row>
    <row r="77" spans="1:21" s="21" customFormat="1">
      <c r="C77" s="14"/>
      <c r="D77" s="13"/>
      <c r="E77" s="196"/>
      <c r="F77" s="13"/>
      <c r="G77" s="197"/>
      <c r="H77" s="198"/>
      <c r="I77" s="197"/>
      <c r="J77" s="197"/>
      <c r="K77" s="197"/>
      <c r="L77" s="197"/>
      <c r="M77" s="172"/>
      <c r="N77" s="172"/>
      <c r="O77" s="172"/>
      <c r="P77" s="172"/>
      <c r="Q77" s="172"/>
    </row>
    <row r="78" spans="1:21" s="21" customFormat="1">
      <c r="C78" s="14"/>
      <c r="D78" s="13"/>
      <c r="E78" s="196"/>
      <c r="F78" s="13"/>
      <c r="G78" s="197"/>
      <c r="H78" s="198"/>
      <c r="I78" s="197"/>
      <c r="J78" s="197"/>
      <c r="K78" s="197"/>
      <c r="L78" s="197"/>
      <c r="M78" s="172"/>
      <c r="N78" s="172"/>
      <c r="O78" s="172"/>
      <c r="P78" s="172"/>
      <c r="Q78" s="172"/>
    </row>
    <row r="79" spans="1:21" s="21" customFormat="1">
      <c r="C79" s="14"/>
      <c r="D79" s="13"/>
      <c r="E79" s="196"/>
      <c r="F79" s="13"/>
      <c r="G79" s="197"/>
      <c r="H79" s="198"/>
      <c r="I79" s="197"/>
      <c r="J79" s="197"/>
      <c r="K79" s="197"/>
      <c r="L79" s="197"/>
      <c r="M79" s="172"/>
      <c r="N79" s="172"/>
      <c r="O79" s="172"/>
      <c r="P79" s="172"/>
      <c r="Q79" s="172"/>
    </row>
    <row r="80" spans="1:21" s="21" customFormat="1">
      <c r="C80" s="14"/>
      <c r="D80" s="13"/>
      <c r="E80" s="196"/>
      <c r="F80" s="13"/>
      <c r="G80" s="197"/>
      <c r="H80" s="198"/>
      <c r="I80" s="197"/>
      <c r="J80" s="197"/>
      <c r="K80" s="197"/>
      <c r="L80" s="197"/>
      <c r="M80" s="172"/>
      <c r="N80" s="172"/>
      <c r="O80" s="172"/>
      <c r="P80" s="172"/>
      <c r="Q80" s="172"/>
    </row>
    <row r="81" spans="3:17" s="21" customFormat="1">
      <c r="C81" s="14"/>
      <c r="D81" s="13"/>
      <c r="E81" s="196"/>
      <c r="F81" s="13"/>
      <c r="G81" s="197"/>
      <c r="H81" s="198"/>
      <c r="I81" s="197"/>
      <c r="J81" s="197"/>
      <c r="K81" s="197"/>
      <c r="L81" s="197"/>
      <c r="M81" s="172"/>
      <c r="N81" s="172"/>
      <c r="O81" s="172"/>
      <c r="P81" s="172"/>
      <c r="Q81" s="172"/>
    </row>
    <row r="82" spans="3:17" s="21" customFormat="1">
      <c r="C82" s="14"/>
      <c r="D82" s="13"/>
      <c r="E82" s="196"/>
      <c r="F82" s="13"/>
      <c r="G82" s="197"/>
      <c r="H82" s="198"/>
      <c r="I82" s="197"/>
      <c r="J82" s="197"/>
      <c r="K82" s="197"/>
      <c r="L82" s="197"/>
      <c r="M82" s="172"/>
      <c r="N82" s="172"/>
      <c r="O82" s="172"/>
      <c r="P82" s="172"/>
      <c r="Q82" s="172"/>
    </row>
    <row r="83" spans="3:17" s="21" customFormat="1">
      <c r="C83" s="14"/>
      <c r="D83" s="13"/>
      <c r="E83" s="196"/>
      <c r="F83" s="13"/>
      <c r="G83" s="197"/>
      <c r="H83" s="198"/>
      <c r="I83" s="197"/>
      <c r="J83" s="197"/>
      <c r="K83" s="197"/>
      <c r="L83" s="197"/>
      <c r="M83" s="172"/>
      <c r="N83" s="172"/>
      <c r="O83" s="172"/>
      <c r="P83" s="172"/>
      <c r="Q83" s="172"/>
    </row>
    <row r="84" spans="3:17" s="21" customFormat="1">
      <c r="C84" s="14"/>
      <c r="D84" s="13"/>
      <c r="E84" s="196"/>
      <c r="F84" s="13"/>
      <c r="G84" s="197"/>
      <c r="H84" s="198"/>
      <c r="I84" s="197"/>
      <c r="J84" s="197"/>
      <c r="K84" s="197"/>
      <c r="L84" s="197"/>
      <c r="M84" s="172"/>
      <c r="N84" s="172"/>
      <c r="O84" s="172"/>
      <c r="P84" s="172"/>
      <c r="Q84" s="172"/>
    </row>
    <row r="85" spans="3:17" s="21" customFormat="1">
      <c r="C85" s="14"/>
      <c r="D85" s="13"/>
      <c r="E85" s="196"/>
      <c r="F85" s="13"/>
      <c r="G85" s="197"/>
      <c r="H85" s="198"/>
      <c r="I85" s="197"/>
      <c r="J85" s="197"/>
      <c r="K85" s="197"/>
      <c r="L85" s="197"/>
      <c r="M85" s="172"/>
      <c r="N85" s="172"/>
      <c r="O85" s="172"/>
      <c r="P85" s="172"/>
      <c r="Q85" s="172"/>
    </row>
    <row r="86" spans="3:17" s="21" customFormat="1">
      <c r="C86" s="14"/>
      <c r="D86" s="13"/>
      <c r="E86" s="196"/>
      <c r="F86" s="13"/>
      <c r="G86" s="197"/>
      <c r="H86" s="198"/>
      <c r="I86" s="197"/>
      <c r="J86" s="197"/>
      <c r="K86" s="197"/>
      <c r="L86" s="197"/>
      <c r="M86" s="172"/>
      <c r="N86" s="172"/>
      <c r="O86" s="172"/>
      <c r="P86" s="172"/>
      <c r="Q86" s="172"/>
    </row>
    <row r="87" spans="3:17" s="21" customFormat="1">
      <c r="C87" s="14"/>
      <c r="D87" s="13"/>
      <c r="E87" s="196"/>
      <c r="F87" s="13"/>
      <c r="G87" s="197"/>
      <c r="H87" s="198"/>
      <c r="I87" s="197"/>
      <c r="J87" s="197"/>
      <c r="K87" s="197"/>
      <c r="L87" s="197"/>
      <c r="M87" s="172"/>
      <c r="N87" s="172"/>
      <c r="O87" s="172"/>
      <c r="P87" s="172"/>
      <c r="Q87" s="172"/>
    </row>
    <row r="88" spans="3:17" s="21" customFormat="1">
      <c r="C88" s="14"/>
      <c r="D88" s="13"/>
      <c r="E88" s="196"/>
      <c r="F88" s="13"/>
      <c r="G88" s="197"/>
      <c r="H88" s="198"/>
      <c r="I88" s="197"/>
      <c r="J88" s="197"/>
      <c r="K88" s="197"/>
      <c r="L88" s="197"/>
      <c r="M88" s="172"/>
      <c r="N88" s="172"/>
      <c r="O88" s="172"/>
      <c r="P88" s="172"/>
      <c r="Q88" s="172"/>
    </row>
    <row r="89" spans="3:17" s="21" customFormat="1">
      <c r="C89" s="14"/>
      <c r="D89" s="13"/>
      <c r="E89" s="196"/>
      <c r="F89" s="13"/>
      <c r="G89" s="197"/>
      <c r="H89" s="198"/>
      <c r="I89" s="197"/>
      <c r="J89" s="197"/>
      <c r="K89" s="197"/>
      <c r="L89" s="197"/>
      <c r="M89" s="172"/>
      <c r="N89" s="172"/>
      <c r="O89" s="172"/>
      <c r="P89" s="172"/>
      <c r="Q89" s="172"/>
    </row>
    <row r="90" spans="3:17" s="21" customFormat="1">
      <c r="C90" s="14"/>
      <c r="D90" s="13"/>
      <c r="E90" s="196"/>
      <c r="F90" s="13"/>
      <c r="G90" s="197"/>
      <c r="H90" s="198"/>
      <c r="I90" s="197"/>
      <c r="J90" s="197"/>
      <c r="K90" s="197"/>
      <c r="L90" s="197"/>
      <c r="M90" s="172"/>
      <c r="N90" s="172"/>
      <c r="O90" s="172"/>
      <c r="P90" s="172"/>
      <c r="Q90" s="172"/>
    </row>
    <row r="91" spans="3:17" s="21" customFormat="1">
      <c r="C91" s="14"/>
      <c r="D91" s="13"/>
      <c r="E91" s="196"/>
      <c r="F91" s="13"/>
      <c r="G91" s="197"/>
      <c r="H91" s="198"/>
      <c r="I91" s="197"/>
      <c r="J91" s="197"/>
      <c r="K91" s="197"/>
      <c r="L91" s="197"/>
      <c r="M91" s="172"/>
      <c r="N91" s="172"/>
      <c r="O91" s="172"/>
      <c r="P91" s="172"/>
      <c r="Q91" s="172"/>
    </row>
    <row r="92" spans="3:17" s="21" customFormat="1">
      <c r="C92" s="14"/>
      <c r="D92" s="13"/>
      <c r="E92" s="196"/>
      <c r="F92" s="13"/>
      <c r="G92" s="197"/>
      <c r="H92" s="198"/>
      <c r="I92" s="197"/>
      <c r="J92" s="197"/>
      <c r="K92" s="197"/>
      <c r="L92" s="197"/>
      <c r="M92" s="172"/>
      <c r="N92" s="172"/>
      <c r="O92" s="172"/>
      <c r="P92" s="172"/>
      <c r="Q92" s="172"/>
    </row>
    <row r="93" spans="3:17" s="21" customFormat="1">
      <c r="C93" s="14"/>
      <c r="D93" s="13"/>
      <c r="E93" s="196"/>
      <c r="F93" s="13"/>
      <c r="G93" s="197"/>
      <c r="H93" s="198"/>
      <c r="I93" s="197"/>
      <c r="J93" s="197"/>
      <c r="K93" s="197"/>
      <c r="L93" s="197"/>
      <c r="M93" s="172"/>
      <c r="N93" s="172"/>
      <c r="O93" s="172"/>
      <c r="P93" s="172"/>
      <c r="Q93" s="172"/>
    </row>
    <row r="94" spans="3:17" s="21" customFormat="1">
      <c r="C94" s="14"/>
      <c r="D94" s="13"/>
      <c r="E94" s="196"/>
      <c r="F94" s="13"/>
      <c r="G94" s="197"/>
      <c r="H94" s="198"/>
      <c r="I94" s="197"/>
      <c r="J94" s="197"/>
      <c r="K94" s="197"/>
      <c r="L94" s="197"/>
      <c r="M94" s="172"/>
      <c r="N94" s="172"/>
      <c r="O94" s="172"/>
      <c r="P94" s="172"/>
      <c r="Q94" s="172"/>
    </row>
    <row r="95" spans="3:17" s="21" customFormat="1">
      <c r="C95" s="14"/>
      <c r="D95" s="13"/>
      <c r="E95" s="196"/>
      <c r="F95" s="13"/>
      <c r="G95" s="197"/>
      <c r="H95" s="198"/>
      <c r="I95" s="197"/>
      <c r="J95" s="197"/>
      <c r="K95" s="197"/>
      <c r="L95" s="197"/>
      <c r="M95" s="172"/>
      <c r="N95" s="172"/>
      <c r="O95" s="172"/>
      <c r="P95" s="172"/>
      <c r="Q95" s="172"/>
    </row>
    <row r="96" spans="3:17" s="21" customFormat="1">
      <c r="C96" s="14"/>
      <c r="D96" s="13"/>
      <c r="E96" s="196"/>
      <c r="F96" s="13"/>
      <c r="G96" s="197"/>
      <c r="H96" s="198"/>
      <c r="I96" s="197"/>
      <c r="J96" s="197"/>
      <c r="K96" s="197"/>
      <c r="L96" s="197"/>
      <c r="M96" s="172"/>
      <c r="N96" s="172"/>
      <c r="O96" s="172"/>
      <c r="P96" s="172"/>
      <c r="Q96" s="172"/>
    </row>
    <row r="97" spans="3:17" s="21" customFormat="1">
      <c r="C97" s="14"/>
      <c r="D97" s="13"/>
      <c r="E97" s="196"/>
      <c r="F97" s="13"/>
      <c r="G97" s="197"/>
      <c r="H97" s="198"/>
      <c r="I97" s="197"/>
      <c r="J97" s="197"/>
      <c r="K97" s="197"/>
      <c r="L97" s="197"/>
      <c r="M97" s="172"/>
      <c r="N97" s="172"/>
      <c r="O97" s="172"/>
      <c r="P97" s="172"/>
      <c r="Q97" s="172"/>
    </row>
    <row r="98" spans="3:17" s="21" customFormat="1">
      <c r="C98" s="14"/>
      <c r="D98" s="13"/>
      <c r="E98" s="196"/>
      <c r="F98" s="13"/>
      <c r="G98" s="197"/>
      <c r="H98" s="198"/>
      <c r="I98" s="197"/>
      <c r="J98" s="197"/>
      <c r="K98" s="197"/>
      <c r="L98" s="197"/>
      <c r="M98" s="172"/>
      <c r="N98" s="172"/>
      <c r="O98" s="172"/>
      <c r="P98" s="172"/>
      <c r="Q98" s="172"/>
    </row>
    <row r="99" spans="3:17" s="21" customFormat="1">
      <c r="C99" s="14"/>
      <c r="D99" s="13"/>
      <c r="E99" s="199"/>
      <c r="F99" s="200"/>
      <c r="G99" s="231"/>
      <c r="H99" s="202"/>
      <c r="I99" s="231"/>
      <c r="J99" s="231"/>
      <c r="K99" s="231"/>
      <c r="L99" s="231"/>
      <c r="M99" s="172"/>
      <c r="N99" s="172"/>
      <c r="O99" s="172"/>
      <c r="P99" s="172"/>
      <c r="Q99" s="172"/>
    </row>
    <row r="100" spans="3:17" s="21" customFormat="1">
      <c r="C100" s="14"/>
      <c r="D100" s="13"/>
      <c r="E100" s="199"/>
      <c r="F100" s="199"/>
      <c r="G100" s="199"/>
      <c r="H100" s="199"/>
      <c r="I100" s="199"/>
      <c r="J100" s="199"/>
      <c r="K100" s="199"/>
      <c r="L100" s="199"/>
      <c r="M100" s="172"/>
      <c r="N100" s="172"/>
      <c r="O100" s="172"/>
      <c r="P100" s="172"/>
      <c r="Q100" s="172"/>
    </row>
    <row r="101" spans="3:17" s="21" customFormat="1">
      <c r="C101" s="14"/>
      <c r="D101" s="13"/>
      <c r="E101" s="199"/>
      <c r="F101" s="199"/>
      <c r="G101" s="199"/>
      <c r="H101" s="199"/>
      <c r="I101" s="199"/>
      <c r="J101" s="199"/>
      <c r="K101" s="199"/>
      <c r="L101" s="199"/>
      <c r="M101" s="172"/>
      <c r="N101" s="172"/>
      <c r="O101" s="172"/>
      <c r="P101" s="172"/>
      <c r="Q101" s="172"/>
    </row>
    <row r="102" spans="3:17" s="21" customFormat="1">
      <c r="C102" s="14"/>
      <c r="D102" s="13"/>
      <c r="E102" s="203"/>
      <c r="F102" s="390"/>
      <c r="G102" s="199"/>
      <c r="H102" s="199"/>
      <c r="I102" s="199"/>
      <c r="J102" s="199"/>
      <c r="K102" s="199"/>
      <c r="L102" s="199"/>
      <c r="M102" s="172"/>
      <c r="N102" s="172"/>
      <c r="O102" s="172"/>
      <c r="P102" s="172"/>
      <c r="Q102" s="172"/>
    </row>
    <row r="103" spans="3:17" s="21" customFormat="1">
      <c r="C103" s="14"/>
      <c r="D103" s="13"/>
      <c r="E103" s="200"/>
      <c r="F103" s="390"/>
      <c r="G103" s="199"/>
      <c r="H103" s="199"/>
      <c r="I103" s="199"/>
      <c r="J103" s="199"/>
      <c r="K103" s="199"/>
      <c r="L103" s="199"/>
      <c r="M103" s="172"/>
      <c r="N103" s="172"/>
      <c r="O103" s="172"/>
      <c r="P103" s="172"/>
      <c r="Q103" s="172"/>
    </row>
    <row r="104" spans="3:17" s="21" customFormat="1">
      <c r="C104" s="14"/>
      <c r="D104" s="13"/>
      <c r="E104" s="199"/>
      <c r="F104" s="390"/>
      <c r="G104" s="199"/>
      <c r="H104" s="199"/>
      <c r="I104" s="199"/>
      <c r="J104" s="199"/>
      <c r="K104" s="199"/>
      <c r="L104" s="199"/>
      <c r="M104" s="172"/>
      <c r="N104" s="172"/>
      <c r="O104" s="172"/>
      <c r="P104" s="172"/>
      <c r="Q104" s="172"/>
    </row>
    <row r="105" spans="3:17" s="21" customFormat="1" ht="14">
      <c r="C105" s="199"/>
      <c r="D105" s="391"/>
      <c r="E105" s="205"/>
      <c r="F105" s="205"/>
      <c r="G105" s="205"/>
      <c r="H105" s="205"/>
      <c r="I105" s="205"/>
      <c r="J105" s="205"/>
      <c r="K105" s="205"/>
      <c r="L105" s="205"/>
      <c r="M105" s="172"/>
      <c r="N105" s="172"/>
      <c r="O105" s="172"/>
      <c r="P105" s="172"/>
      <c r="Q105" s="172"/>
    </row>
    <row r="106" spans="3:17" s="21" customFormat="1" ht="14">
      <c r="C106" s="104"/>
      <c r="D106" s="157"/>
      <c r="E106" s="205"/>
      <c r="F106" s="205"/>
      <c r="G106" s="205"/>
      <c r="H106" s="205"/>
      <c r="I106" s="205"/>
      <c r="J106" s="205"/>
      <c r="K106" s="205"/>
      <c r="L106" s="205"/>
      <c r="M106" s="172"/>
      <c r="N106" s="172"/>
      <c r="O106" s="172"/>
      <c r="P106" s="172"/>
      <c r="Q106" s="172"/>
    </row>
    <row r="107" spans="3:17" s="21" customFormat="1" ht="14">
      <c r="C107" s="104"/>
      <c r="D107" s="157"/>
      <c r="E107" s="206"/>
      <c r="F107" s="392"/>
      <c r="G107" s="205"/>
      <c r="H107" s="205"/>
      <c r="I107" s="205"/>
      <c r="J107" s="205"/>
      <c r="K107" s="205"/>
      <c r="L107" s="205"/>
      <c r="M107" s="172"/>
      <c r="N107" s="172"/>
      <c r="O107" s="172"/>
      <c r="P107" s="172"/>
      <c r="Q107" s="172"/>
    </row>
    <row r="108" spans="3:17" s="21" customFormat="1" ht="14">
      <c r="C108" s="203"/>
      <c r="D108" s="390"/>
      <c r="E108" s="208"/>
      <c r="F108" s="392"/>
      <c r="G108" s="205"/>
      <c r="H108" s="205"/>
      <c r="I108" s="205"/>
      <c r="J108" s="205"/>
      <c r="K108" s="205"/>
      <c r="L108" s="205"/>
      <c r="M108" s="172"/>
      <c r="N108" s="172"/>
      <c r="O108" s="172"/>
      <c r="P108" s="172"/>
      <c r="Q108" s="172"/>
    </row>
    <row r="109" spans="3:17" s="21" customFormat="1" ht="14">
      <c r="C109" s="209"/>
      <c r="D109" s="390"/>
      <c r="E109" s="205"/>
      <c r="F109" s="392"/>
      <c r="G109" s="205"/>
      <c r="H109" s="205"/>
      <c r="I109" s="205"/>
      <c r="J109" s="205"/>
      <c r="K109" s="205"/>
      <c r="L109" s="205"/>
      <c r="M109" s="172"/>
      <c r="N109" s="172"/>
      <c r="O109" s="172"/>
      <c r="P109" s="172"/>
      <c r="Q109" s="172"/>
    </row>
    <row r="110" spans="3:17" s="21" customFormat="1">
      <c r="D110" s="390"/>
      <c r="M110" s="172"/>
      <c r="N110" s="172"/>
      <c r="O110" s="172"/>
      <c r="P110" s="172"/>
      <c r="Q110" s="172"/>
    </row>
    <row r="111" spans="3:17" s="21" customFormat="1">
      <c r="D111" s="163"/>
      <c r="M111" s="172"/>
      <c r="N111" s="172"/>
      <c r="O111" s="172"/>
      <c r="P111" s="172"/>
      <c r="Q111" s="172"/>
    </row>
    <row r="112" spans="3:17" s="21" customFormat="1">
      <c r="D112" s="163"/>
      <c r="M112" s="172"/>
      <c r="N112" s="172"/>
      <c r="O112" s="172"/>
      <c r="P112" s="172"/>
      <c r="Q112" s="172"/>
    </row>
    <row r="113" spans="4:17" s="21" customFormat="1">
      <c r="D113" s="163"/>
      <c r="M113" s="172"/>
      <c r="N113" s="172"/>
      <c r="O113" s="172"/>
      <c r="P113" s="172"/>
      <c r="Q113" s="172"/>
    </row>
    <row r="114" spans="4:17" s="21" customFormat="1">
      <c r="D114" s="163"/>
      <c r="M114" s="172"/>
      <c r="N114" s="172"/>
      <c r="O114" s="172"/>
      <c r="P114" s="172"/>
      <c r="Q114" s="172"/>
    </row>
    <row r="115" spans="4:17" s="21" customFormat="1">
      <c r="D115" s="163"/>
      <c r="M115" s="172"/>
      <c r="N115" s="172"/>
      <c r="O115" s="172"/>
      <c r="P115" s="172"/>
      <c r="Q115" s="172"/>
    </row>
    <row r="116" spans="4:17" s="21" customFormat="1">
      <c r="D116" s="163"/>
      <c r="M116" s="172"/>
      <c r="N116" s="172"/>
      <c r="O116" s="172"/>
      <c r="P116" s="172"/>
      <c r="Q116" s="172"/>
    </row>
    <row r="117" spans="4:17" s="21" customFormat="1">
      <c r="D117" s="163"/>
      <c r="M117" s="172"/>
      <c r="N117" s="172"/>
      <c r="O117" s="172"/>
      <c r="P117" s="172"/>
      <c r="Q117" s="172"/>
    </row>
    <row r="118" spans="4:17" s="21" customFormat="1">
      <c r="D118" s="163"/>
      <c r="M118" s="172"/>
      <c r="N118" s="172"/>
      <c r="O118" s="172"/>
      <c r="P118" s="172"/>
      <c r="Q118" s="172"/>
    </row>
    <row r="119" spans="4:17" s="21" customFormat="1">
      <c r="D119" s="163"/>
      <c r="M119" s="172"/>
      <c r="N119" s="172"/>
      <c r="O119" s="172"/>
      <c r="P119" s="172"/>
      <c r="Q119" s="172"/>
    </row>
    <row r="120" spans="4:17" s="21" customFormat="1">
      <c r="D120" s="163"/>
      <c r="M120" s="172"/>
      <c r="N120" s="172"/>
      <c r="O120" s="172"/>
      <c r="P120" s="172"/>
      <c r="Q120" s="172"/>
    </row>
    <row r="121" spans="4:17" s="21" customFormat="1">
      <c r="D121" s="163"/>
      <c r="M121" s="172"/>
      <c r="N121" s="172"/>
      <c r="O121" s="172"/>
      <c r="P121" s="172"/>
      <c r="Q121" s="172"/>
    </row>
    <row r="122" spans="4:17" s="21" customFormat="1">
      <c r="D122" s="163"/>
      <c r="M122" s="172"/>
      <c r="N122" s="172"/>
      <c r="O122" s="172"/>
      <c r="P122" s="172"/>
      <c r="Q122" s="172"/>
    </row>
    <row r="123" spans="4:17" s="21" customFormat="1">
      <c r="D123" s="163"/>
      <c r="M123" s="172"/>
      <c r="N123" s="172"/>
      <c r="O123" s="172"/>
      <c r="P123" s="172"/>
      <c r="Q123" s="172"/>
    </row>
    <row r="124" spans="4:17" s="21" customFormat="1">
      <c r="D124" s="163"/>
      <c r="M124" s="172"/>
      <c r="N124" s="172"/>
      <c r="O124" s="172"/>
      <c r="P124" s="172"/>
      <c r="Q124" s="172"/>
    </row>
    <row r="125" spans="4:17" s="21" customFormat="1">
      <c r="D125" s="163"/>
      <c r="M125" s="172"/>
      <c r="N125" s="172"/>
      <c r="O125" s="172"/>
      <c r="P125" s="172"/>
      <c r="Q125" s="172"/>
    </row>
    <row r="126" spans="4:17" s="21" customFormat="1">
      <c r="D126" s="163"/>
      <c r="M126" s="172"/>
      <c r="N126" s="172"/>
      <c r="O126" s="172"/>
      <c r="P126" s="172"/>
      <c r="Q126" s="172"/>
    </row>
    <row r="127" spans="4:17" s="21" customFormat="1">
      <c r="D127" s="163"/>
      <c r="M127" s="172"/>
      <c r="N127" s="172"/>
      <c r="O127" s="172"/>
      <c r="P127" s="172"/>
      <c r="Q127" s="172"/>
    </row>
    <row r="128" spans="4:17" s="21" customFormat="1">
      <c r="D128" s="163"/>
      <c r="M128" s="172"/>
      <c r="N128" s="172"/>
      <c r="O128" s="172"/>
      <c r="P128" s="172"/>
      <c r="Q128" s="172"/>
    </row>
    <row r="129" spans="4:17" s="21" customFormat="1">
      <c r="D129" s="163"/>
      <c r="M129" s="172"/>
      <c r="N129" s="172"/>
      <c r="O129" s="172"/>
      <c r="P129" s="172"/>
      <c r="Q129" s="172"/>
    </row>
    <row r="130" spans="4:17" s="21" customFormat="1">
      <c r="D130" s="163"/>
      <c r="M130" s="172"/>
      <c r="N130" s="172"/>
      <c r="O130" s="172"/>
      <c r="P130" s="172"/>
      <c r="Q130" s="172"/>
    </row>
    <row r="131" spans="4:17" s="21" customFormat="1">
      <c r="D131" s="163"/>
      <c r="M131" s="172"/>
      <c r="N131" s="172"/>
      <c r="O131" s="172"/>
      <c r="P131" s="172"/>
      <c r="Q131" s="172"/>
    </row>
    <row r="132" spans="4:17" s="21" customFormat="1">
      <c r="D132" s="163"/>
      <c r="M132" s="172"/>
      <c r="N132" s="172"/>
      <c r="O132" s="172"/>
      <c r="P132" s="172"/>
      <c r="Q132" s="172"/>
    </row>
    <row r="133" spans="4:17" s="21" customFormat="1">
      <c r="D133" s="163"/>
      <c r="M133" s="172"/>
      <c r="N133" s="172"/>
      <c r="O133" s="172"/>
      <c r="P133" s="172"/>
      <c r="Q133" s="172"/>
    </row>
    <row r="134" spans="4:17" s="21" customFormat="1">
      <c r="D134" s="163"/>
      <c r="M134" s="172"/>
      <c r="N134" s="172"/>
      <c r="O134" s="172"/>
      <c r="P134" s="172"/>
      <c r="Q134" s="172"/>
    </row>
    <row r="135" spans="4:17" s="21" customFormat="1">
      <c r="D135" s="163"/>
      <c r="M135" s="172"/>
      <c r="N135" s="172"/>
      <c r="O135" s="172"/>
      <c r="P135" s="172"/>
      <c r="Q135" s="172"/>
    </row>
    <row r="136" spans="4:17" s="21" customFormat="1">
      <c r="D136" s="163"/>
      <c r="M136" s="172"/>
      <c r="N136" s="172"/>
      <c r="O136" s="172"/>
      <c r="P136" s="172"/>
      <c r="Q136" s="172"/>
    </row>
    <row r="137" spans="4:17" s="21" customFormat="1">
      <c r="D137" s="163"/>
      <c r="M137" s="172"/>
      <c r="N137" s="172"/>
      <c r="O137" s="172"/>
      <c r="P137" s="172"/>
      <c r="Q137" s="172"/>
    </row>
    <row r="138" spans="4:17" s="21" customFormat="1">
      <c r="D138" s="163"/>
      <c r="M138" s="172"/>
      <c r="N138" s="172"/>
      <c r="O138" s="172"/>
      <c r="P138" s="172"/>
      <c r="Q138" s="172"/>
    </row>
    <row r="139" spans="4:17" s="21" customFormat="1">
      <c r="D139" s="163"/>
      <c r="M139" s="172"/>
      <c r="N139" s="172"/>
      <c r="O139" s="172"/>
      <c r="P139" s="172"/>
      <c r="Q139" s="172"/>
    </row>
    <row r="140" spans="4:17" s="21" customFormat="1">
      <c r="D140" s="163"/>
      <c r="M140" s="172"/>
      <c r="N140" s="172"/>
      <c r="O140" s="172"/>
      <c r="P140" s="172"/>
      <c r="Q140" s="172"/>
    </row>
    <row r="141" spans="4:17" s="21" customFormat="1">
      <c r="D141" s="163"/>
      <c r="M141" s="172"/>
      <c r="N141" s="172"/>
      <c r="O141" s="172"/>
      <c r="P141" s="172"/>
      <c r="Q141" s="172"/>
    </row>
    <row r="142" spans="4:17" s="21" customFormat="1">
      <c r="D142" s="163"/>
      <c r="M142" s="172"/>
      <c r="N142" s="172"/>
      <c r="O142" s="172"/>
      <c r="P142" s="172"/>
      <c r="Q142" s="172"/>
    </row>
    <row r="143" spans="4:17" s="21" customFormat="1">
      <c r="D143" s="163"/>
      <c r="M143" s="172"/>
      <c r="N143" s="172"/>
      <c r="O143" s="172"/>
      <c r="P143" s="172"/>
      <c r="Q143" s="172"/>
    </row>
    <row r="144" spans="4:17" s="21" customFormat="1">
      <c r="D144" s="163"/>
      <c r="M144" s="172"/>
      <c r="N144" s="172"/>
      <c r="O144" s="172"/>
      <c r="P144" s="172"/>
      <c r="Q144" s="172"/>
    </row>
    <row r="145" spans="4:17" s="21" customFormat="1">
      <c r="D145" s="163"/>
      <c r="M145" s="172"/>
      <c r="N145" s="172"/>
      <c r="O145" s="172"/>
      <c r="P145" s="172"/>
      <c r="Q145" s="172"/>
    </row>
    <row r="146" spans="4:17" s="21" customFormat="1">
      <c r="D146" s="163"/>
      <c r="M146" s="172"/>
      <c r="N146" s="172"/>
      <c r="O146" s="172"/>
      <c r="P146" s="172"/>
      <c r="Q146" s="172"/>
    </row>
    <row r="147" spans="4:17" s="21" customFormat="1">
      <c r="D147" s="163"/>
      <c r="M147" s="172"/>
      <c r="N147" s="172"/>
      <c r="O147" s="172"/>
      <c r="P147" s="172"/>
      <c r="Q147" s="172"/>
    </row>
    <row r="148" spans="4:17" s="21" customFormat="1">
      <c r="D148" s="163"/>
      <c r="M148" s="172"/>
      <c r="N148" s="172"/>
      <c r="O148" s="172"/>
      <c r="P148" s="172"/>
      <c r="Q148" s="172"/>
    </row>
    <row r="149" spans="4:17" s="21" customFormat="1">
      <c r="D149" s="163"/>
      <c r="M149" s="172"/>
      <c r="N149" s="172"/>
      <c r="O149" s="172"/>
      <c r="P149" s="172"/>
      <c r="Q149" s="172"/>
    </row>
    <row r="150" spans="4:17" s="21" customFormat="1">
      <c r="D150" s="163"/>
      <c r="M150" s="172"/>
      <c r="N150" s="172"/>
      <c r="O150" s="172"/>
      <c r="P150" s="172"/>
      <c r="Q150" s="172"/>
    </row>
    <row r="151" spans="4:17" s="21" customFormat="1">
      <c r="D151" s="163"/>
      <c r="M151" s="172"/>
      <c r="N151" s="172"/>
      <c r="O151" s="172"/>
      <c r="P151" s="172"/>
      <c r="Q151" s="172"/>
    </row>
    <row r="152" spans="4:17" s="21" customFormat="1">
      <c r="D152" s="163"/>
      <c r="M152" s="172"/>
      <c r="N152" s="172"/>
      <c r="O152" s="172"/>
      <c r="P152" s="172"/>
      <c r="Q152" s="172"/>
    </row>
    <row r="153" spans="4:17" s="21" customFormat="1">
      <c r="D153" s="163"/>
      <c r="M153" s="172"/>
      <c r="N153" s="172"/>
      <c r="O153" s="172"/>
      <c r="P153" s="172"/>
      <c r="Q153" s="172"/>
    </row>
    <row r="154" spans="4:17" s="21" customFormat="1">
      <c r="D154" s="163"/>
      <c r="M154" s="172"/>
      <c r="N154" s="172"/>
      <c r="O154" s="172"/>
      <c r="P154" s="172"/>
      <c r="Q154" s="172"/>
    </row>
    <row r="155" spans="4:17" s="21" customFormat="1">
      <c r="D155" s="163"/>
      <c r="M155" s="172"/>
      <c r="N155" s="172"/>
      <c r="O155" s="172"/>
      <c r="P155" s="172"/>
      <c r="Q155" s="172"/>
    </row>
    <row r="156" spans="4:17" s="21" customFormat="1">
      <c r="D156" s="163"/>
      <c r="M156" s="172"/>
      <c r="N156" s="172"/>
      <c r="O156" s="172"/>
      <c r="P156" s="172"/>
      <c r="Q156" s="172"/>
    </row>
    <row r="157" spans="4:17" s="21" customFormat="1">
      <c r="D157" s="163"/>
      <c r="M157" s="172"/>
      <c r="N157" s="172"/>
      <c r="O157" s="172"/>
      <c r="P157" s="172"/>
      <c r="Q157" s="172"/>
    </row>
    <row r="158" spans="4:17" s="21" customFormat="1">
      <c r="D158" s="163"/>
      <c r="M158" s="172"/>
      <c r="N158" s="172"/>
      <c r="O158" s="172"/>
      <c r="P158" s="172"/>
      <c r="Q158" s="172"/>
    </row>
    <row r="159" spans="4:17" s="21" customFormat="1">
      <c r="D159" s="163"/>
      <c r="M159" s="172"/>
      <c r="N159" s="172"/>
      <c r="O159" s="172"/>
      <c r="P159" s="172"/>
      <c r="Q159" s="172"/>
    </row>
    <row r="160" spans="4:17" s="21" customFormat="1">
      <c r="D160" s="163"/>
      <c r="M160" s="172"/>
      <c r="N160" s="172"/>
      <c r="O160" s="172"/>
      <c r="P160" s="172"/>
      <c r="Q160" s="172"/>
    </row>
    <row r="161" spans="4:17" s="21" customFormat="1">
      <c r="D161" s="163"/>
      <c r="M161" s="172"/>
      <c r="N161" s="172"/>
      <c r="O161" s="172"/>
      <c r="P161" s="172"/>
      <c r="Q161" s="172"/>
    </row>
    <row r="162" spans="4:17" s="21" customFormat="1">
      <c r="D162" s="163"/>
      <c r="M162" s="172"/>
      <c r="N162" s="172"/>
      <c r="O162" s="172"/>
      <c r="P162" s="172"/>
      <c r="Q162" s="172"/>
    </row>
    <row r="163" spans="4:17" s="21" customFormat="1">
      <c r="D163" s="163"/>
      <c r="M163" s="172"/>
      <c r="N163" s="172"/>
      <c r="O163" s="172"/>
      <c r="P163" s="172"/>
      <c r="Q163" s="172"/>
    </row>
    <row r="164" spans="4:17" s="21" customFormat="1">
      <c r="D164" s="163"/>
      <c r="M164" s="172"/>
      <c r="N164" s="172"/>
      <c r="O164" s="172"/>
      <c r="P164" s="172"/>
      <c r="Q164" s="172"/>
    </row>
    <row r="165" spans="4:17" s="21" customFormat="1">
      <c r="D165" s="163"/>
      <c r="M165" s="172"/>
      <c r="N165" s="172"/>
      <c r="O165" s="172"/>
      <c r="P165" s="172"/>
      <c r="Q165" s="172"/>
    </row>
    <row r="166" spans="4:17" s="21" customFormat="1">
      <c r="D166" s="163"/>
      <c r="M166" s="172"/>
      <c r="N166" s="172"/>
      <c r="O166" s="172"/>
      <c r="P166" s="172"/>
      <c r="Q166" s="172"/>
    </row>
    <row r="167" spans="4:17" s="21" customFormat="1">
      <c r="D167" s="163"/>
      <c r="M167" s="172"/>
      <c r="N167" s="172"/>
      <c r="O167" s="172"/>
      <c r="P167" s="172"/>
      <c r="Q167" s="172"/>
    </row>
    <row r="168" spans="4:17" s="21" customFormat="1">
      <c r="D168" s="163"/>
      <c r="M168" s="172"/>
      <c r="N168" s="172"/>
      <c r="O168" s="172"/>
      <c r="P168" s="172"/>
      <c r="Q168" s="172"/>
    </row>
    <row r="169" spans="4:17" s="21" customFormat="1">
      <c r="D169" s="163"/>
      <c r="M169" s="172"/>
      <c r="N169" s="172"/>
      <c r="O169" s="172"/>
      <c r="P169" s="172"/>
      <c r="Q169" s="172"/>
    </row>
    <row r="170" spans="4:17" s="21" customFormat="1">
      <c r="D170" s="163"/>
      <c r="M170" s="172"/>
      <c r="N170" s="172"/>
      <c r="O170" s="172"/>
      <c r="P170" s="172"/>
      <c r="Q170" s="172"/>
    </row>
    <row r="171" spans="4:17" s="21" customFormat="1">
      <c r="D171" s="163"/>
      <c r="M171" s="172"/>
      <c r="N171" s="172"/>
      <c r="O171" s="172"/>
      <c r="P171" s="172"/>
      <c r="Q171" s="172"/>
    </row>
    <row r="172" spans="4:17" s="21" customFormat="1">
      <c r="D172" s="163"/>
      <c r="M172" s="172"/>
      <c r="N172" s="172"/>
      <c r="O172" s="172"/>
      <c r="P172" s="172"/>
      <c r="Q172" s="172"/>
    </row>
    <row r="173" spans="4:17" s="21" customFormat="1">
      <c r="D173" s="163"/>
      <c r="M173" s="172"/>
      <c r="N173" s="172"/>
      <c r="O173" s="172"/>
      <c r="P173" s="172"/>
      <c r="Q173" s="172"/>
    </row>
    <row r="174" spans="4:17" s="21" customFormat="1">
      <c r="D174" s="163"/>
      <c r="M174" s="172"/>
      <c r="N174" s="172"/>
      <c r="O174" s="172"/>
      <c r="P174" s="172"/>
      <c r="Q174" s="172"/>
    </row>
    <row r="175" spans="4:17" s="21" customFormat="1">
      <c r="D175" s="163"/>
      <c r="M175" s="172"/>
      <c r="N175" s="172"/>
      <c r="O175" s="172"/>
      <c r="P175" s="172"/>
      <c r="Q175" s="172"/>
    </row>
    <row r="176" spans="4:17" s="21" customFormat="1">
      <c r="D176" s="163"/>
      <c r="M176" s="172"/>
      <c r="N176" s="172"/>
      <c r="O176" s="172"/>
      <c r="P176" s="172"/>
      <c r="Q176" s="172"/>
    </row>
    <row r="177" spans="4:17" s="21" customFormat="1">
      <c r="D177" s="163"/>
      <c r="M177" s="172"/>
      <c r="N177" s="172"/>
      <c r="O177" s="172"/>
      <c r="P177" s="172"/>
      <c r="Q177" s="172"/>
    </row>
    <row r="178" spans="4:17" s="21" customFormat="1">
      <c r="D178" s="163"/>
      <c r="M178" s="172"/>
      <c r="N178" s="172"/>
      <c r="O178" s="172"/>
      <c r="P178" s="172"/>
      <c r="Q178" s="172"/>
    </row>
    <row r="179" spans="4:17" s="21" customFormat="1">
      <c r="D179" s="163"/>
      <c r="M179" s="172"/>
      <c r="N179" s="172"/>
      <c r="O179" s="172"/>
      <c r="P179" s="172"/>
      <c r="Q179" s="172"/>
    </row>
    <row r="180" spans="4:17" s="21" customFormat="1">
      <c r="D180" s="163"/>
      <c r="M180" s="172"/>
      <c r="N180" s="172"/>
      <c r="O180" s="172"/>
      <c r="P180" s="172"/>
      <c r="Q180" s="172"/>
    </row>
    <row r="181" spans="4:17" s="21" customFormat="1">
      <c r="D181" s="163"/>
      <c r="M181" s="172"/>
      <c r="N181" s="172"/>
      <c r="O181" s="172"/>
      <c r="P181" s="172"/>
      <c r="Q181" s="172"/>
    </row>
    <row r="182" spans="4:17" s="21" customFormat="1">
      <c r="D182" s="163"/>
      <c r="M182" s="172"/>
      <c r="N182" s="172"/>
      <c r="O182" s="172"/>
      <c r="P182" s="172"/>
      <c r="Q182" s="172"/>
    </row>
    <row r="183" spans="4:17" s="21" customFormat="1">
      <c r="D183" s="163"/>
      <c r="M183" s="172"/>
      <c r="N183" s="172"/>
      <c r="O183" s="172"/>
      <c r="P183" s="172"/>
      <c r="Q183" s="172"/>
    </row>
    <row r="184" spans="4:17" s="21" customFormat="1">
      <c r="D184" s="163"/>
      <c r="M184" s="172"/>
      <c r="N184" s="172"/>
      <c r="O184" s="172"/>
      <c r="P184" s="172"/>
      <c r="Q184" s="172"/>
    </row>
    <row r="185" spans="4:17" s="21" customFormat="1">
      <c r="D185" s="163"/>
      <c r="M185" s="172"/>
      <c r="N185" s="172"/>
      <c r="O185" s="172"/>
      <c r="P185" s="172"/>
      <c r="Q185" s="172"/>
    </row>
    <row r="186" spans="4:17" s="21" customFormat="1">
      <c r="D186" s="163"/>
      <c r="M186" s="172"/>
      <c r="N186" s="172"/>
      <c r="O186" s="172"/>
      <c r="P186" s="172"/>
      <c r="Q186" s="172"/>
    </row>
    <row r="187" spans="4:17" s="21" customFormat="1">
      <c r="D187" s="163"/>
      <c r="M187" s="172"/>
      <c r="N187" s="172"/>
      <c r="O187" s="172"/>
      <c r="P187" s="172"/>
      <c r="Q187" s="172"/>
    </row>
    <row r="188" spans="4:17" s="21" customFormat="1">
      <c r="D188" s="163"/>
      <c r="M188" s="172"/>
      <c r="N188" s="172"/>
      <c r="O188" s="172"/>
      <c r="P188" s="172"/>
      <c r="Q188" s="172"/>
    </row>
    <row r="189" spans="4:17" s="21" customFormat="1">
      <c r="D189" s="163"/>
      <c r="M189" s="172"/>
      <c r="N189" s="172"/>
      <c r="O189" s="172"/>
      <c r="P189" s="172"/>
      <c r="Q189" s="172"/>
    </row>
    <row r="190" spans="4:17" s="21" customFormat="1">
      <c r="D190" s="163"/>
      <c r="M190" s="172"/>
      <c r="N190" s="172"/>
      <c r="O190" s="172"/>
      <c r="P190" s="172"/>
      <c r="Q190" s="172"/>
    </row>
    <row r="191" spans="4:17" s="21" customFormat="1">
      <c r="D191" s="163"/>
      <c r="M191" s="172"/>
      <c r="N191" s="172"/>
      <c r="O191" s="172"/>
      <c r="P191" s="172"/>
      <c r="Q191" s="172"/>
    </row>
    <row r="192" spans="4:17" s="21" customFormat="1">
      <c r="D192" s="163"/>
      <c r="M192" s="172"/>
      <c r="N192" s="172"/>
      <c r="O192" s="172"/>
      <c r="P192" s="172"/>
      <c r="Q192" s="172"/>
    </row>
    <row r="193" spans="4:17" s="21" customFormat="1">
      <c r="D193" s="163"/>
      <c r="M193" s="172"/>
      <c r="N193" s="172"/>
      <c r="O193" s="172"/>
      <c r="P193" s="172"/>
      <c r="Q193" s="172"/>
    </row>
    <row r="194" spans="4:17" s="21" customFormat="1">
      <c r="D194" s="163"/>
      <c r="M194" s="172"/>
      <c r="N194" s="172"/>
      <c r="O194" s="172"/>
      <c r="P194" s="172"/>
      <c r="Q194" s="172"/>
    </row>
    <row r="195" spans="4:17" s="21" customFormat="1">
      <c r="D195" s="163"/>
      <c r="M195" s="172"/>
      <c r="N195" s="172"/>
      <c r="O195" s="172"/>
      <c r="P195" s="172"/>
      <c r="Q195" s="172"/>
    </row>
    <row r="196" spans="4:17" s="21" customFormat="1">
      <c r="D196" s="163"/>
      <c r="M196" s="172"/>
      <c r="N196" s="172"/>
      <c r="O196" s="172"/>
      <c r="P196" s="172"/>
      <c r="Q196" s="172"/>
    </row>
    <row r="197" spans="4:17" s="21" customFormat="1">
      <c r="D197" s="163"/>
      <c r="M197" s="172"/>
      <c r="N197" s="172"/>
      <c r="O197" s="172"/>
      <c r="P197" s="172"/>
      <c r="Q197" s="172"/>
    </row>
    <row r="198" spans="4:17" s="21" customFormat="1">
      <c r="D198" s="163"/>
      <c r="M198" s="172"/>
      <c r="N198" s="172"/>
      <c r="O198" s="172"/>
      <c r="P198" s="172"/>
      <c r="Q198" s="172"/>
    </row>
    <row r="199" spans="4:17" s="21" customFormat="1">
      <c r="D199" s="163"/>
      <c r="M199" s="172"/>
      <c r="N199" s="172"/>
      <c r="O199" s="172"/>
      <c r="P199" s="172"/>
      <c r="Q199" s="172"/>
    </row>
    <row r="200" spans="4:17" s="21" customFormat="1">
      <c r="D200" s="163"/>
      <c r="M200" s="172"/>
      <c r="N200" s="172"/>
      <c r="O200" s="172"/>
      <c r="P200" s="172"/>
      <c r="Q200" s="172"/>
    </row>
    <row r="201" spans="4:17" s="21" customFormat="1">
      <c r="D201" s="163"/>
      <c r="M201" s="172"/>
      <c r="N201" s="172"/>
      <c r="O201" s="172"/>
      <c r="P201" s="172"/>
      <c r="Q201" s="172"/>
    </row>
    <row r="202" spans="4:17" s="21" customFormat="1">
      <c r="D202" s="163"/>
      <c r="M202" s="172"/>
      <c r="N202" s="172"/>
      <c r="O202" s="172"/>
      <c r="P202" s="172"/>
      <c r="Q202" s="172"/>
    </row>
    <row r="203" spans="4:17" s="21" customFormat="1">
      <c r="D203" s="163"/>
      <c r="M203" s="172"/>
      <c r="N203" s="172"/>
      <c r="O203" s="172"/>
      <c r="P203" s="172"/>
      <c r="Q203" s="172"/>
    </row>
    <row r="204" spans="4:17" s="21" customFormat="1">
      <c r="D204" s="163"/>
      <c r="M204" s="172"/>
      <c r="N204" s="172"/>
      <c r="O204" s="172"/>
      <c r="P204" s="172"/>
      <c r="Q204" s="172"/>
    </row>
    <row r="205" spans="4:17" s="21" customFormat="1">
      <c r="D205" s="163"/>
      <c r="M205" s="172"/>
      <c r="N205" s="172"/>
      <c r="O205" s="172"/>
      <c r="P205" s="172"/>
      <c r="Q205" s="172"/>
    </row>
    <row r="206" spans="4:17" s="21" customFormat="1">
      <c r="D206" s="163"/>
      <c r="M206" s="172"/>
      <c r="N206" s="172"/>
      <c r="O206" s="172"/>
      <c r="P206" s="172"/>
      <c r="Q206" s="172"/>
    </row>
    <row r="207" spans="4:17" s="21" customFormat="1">
      <c r="D207" s="163"/>
      <c r="M207" s="172"/>
      <c r="N207" s="172"/>
      <c r="O207" s="172"/>
      <c r="P207" s="172"/>
      <c r="Q207" s="172"/>
    </row>
    <row r="208" spans="4:17" s="21" customFormat="1">
      <c r="D208" s="163"/>
      <c r="M208" s="172"/>
      <c r="N208" s="172"/>
      <c r="O208" s="172"/>
      <c r="P208" s="172"/>
      <c r="Q208" s="172"/>
    </row>
    <row r="209" spans="4:17" s="21" customFormat="1">
      <c r="D209" s="163"/>
      <c r="M209" s="172"/>
      <c r="N209" s="172"/>
      <c r="O209" s="172"/>
      <c r="P209" s="172"/>
      <c r="Q209" s="172"/>
    </row>
    <row r="210" spans="4:17" s="21" customFormat="1">
      <c r="D210" s="163"/>
      <c r="M210" s="172"/>
      <c r="N210" s="172"/>
      <c r="O210" s="172"/>
      <c r="P210" s="172"/>
      <c r="Q210" s="172"/>
    </row>
    <row r="211" spans="4:17" s="21" customFormat="1">
      <c r="D211" s="163"/>
      <c r="M211" s="172"/>
      <c r="N211" s="172"/>
      <c r="O211" s="172"/>
      <c r="P211" s="172"/>
      <c r="Q211" s="172"/>
    </row>
    <row r="212" spans="4:17" s="21" customFormat="1">
      <c r="D212" s="163"/>
      <c r="M212" s="172"/>
      <c r="N212" s="172"/>
      <c r="O212" s="172"/>
      <c r="P212" s="172"/>
      <c r="Q212" s="172"/>
    </row>
    <row r="213" spans="4:17" s="21" customFormat="1">
      <c r="D213" s="163"/>
      <c r="M213" s="172"/>
      <c r="N213" s="172"/>
      <c r="O213" s="172"/>
      <c r="P213" s="172"/>
      <c r="Q213" s="172"/>
    </row>
    <row r="214" spans="4:17" s="21" customFormat="1">
      <c r="D214" s="163"/>
      <c r="M214" s="172"/>
      <c r="N214" s="172"/>
      <c r="O214" s="172"/>
      <c r="P214" s="172"/>
      <c r="Q214" s="172"/>
    </row>
    <row r="215" spans="4:17" s="21" customFormat="1">
      <c r="D215" s="163"/>
      <c r="M215" s="172"/>
      <c r="N215" s="172"/>
      <c r="O215" s="172"/>
      <c r="P215" s="172"/>
      <c r="Q215" s="172"/>
    </row>
    <row r="216" spans="4:17" s="21" customFormat="1">
      <c r="D216" s="163"/>
      <c r="M216" s="172"/>
      <c r="N216" s="172"/>
      <c r="O216" s="172"/>
      <c r="P216" s="172"/>
      <c r="Q216" s="172"/>
    </row>
    <row r="217" spans="4:17" s="21" customFormat="1">
      <c r="D217" s="163"/>
      <c r="M217" s="172"/>
      <c r="N217" s="172"/>
      <c r="O217" s="172"/>
      <c r="P217" s="172"/>
      <c r="Q217" s="172"/>
    </row>
    <row r="218" spans="4:17" s="21" customFormat="1">
      <c r="D218" s="163"/>
      <c r="M218" s="172"/>
      <c r="N218" s="172"/>
      <c r="O218" s="172"/>
      <c r="P218" s="172"/>
      <c r="Q218" s="172"/>
    </row>
    <row r="219" spans="4:17" s="21" customFormat="1">
      <c r="D219" s="163"/>
      <c r="M219" s="172"/>
      <c r="N219" s="172"/>
      <c r="O219" s="172"/>
      <c r="P219" s="172"/>
      <c r="Q219" s="172"/>
    </row>
    <row r="220" spans="4:17" s="21" customFormat="1">
      <c r="D220" s="163"/>
      <c r="M220" s="172"/>
      <c r="N220" s="172"/>
      <c r="O220" s="172"/>
      <c r="P220" s="172"/>
      <c r="Q220" s="172"/>
    </row>
    <row r="221" spans="4:17" s="21" customFormat="1">
      <c r="D221" s="163"/>
      <c r="M221" s="172"/>
      <c r="N221" s="172"/>
      <c r="O221" s="172"/>
      <c r="P221" s="172"/>
      <c r="Q221" s="172"/>
    </row>
    <row r="222" spans="4:17" s="21" customFormat="1">
      <c r="D222" s="163"/>
      <c r="M222" s="172"/>
      <c r="N222" s="172"/>
      <c r="O222" s="172"/>
      <c r="P222" s="172"/>
      <c r="Q222" s="172"/>
    </row>
    <row r="223" spans="4:17" s="21" customFormat="1">
      <c r="D223" s="163"/>
      <c r="M223" s="172"/>
      <c r="N223" s="172"/>
      <c r="O223" s="172"/>
      <c r="P223" s="172"/>
      <c r="Q223" s="172"/>
    </row>
    <row r="224" spans="4:17" s="21" customFormat="1">
      <c r="D224" s="163"/>
      <c r="M224" s="172"/>
      <c r="N224" s="172"/>
      <c r="O224" s="172"/>
      <c r="P224" s="172"/>
      <c r="Q224" s="172"/>
    </row>
    <row r="225" spans="4:17" s="21" customFormat="1">
      <c r="D225" s="163"/>
      <c r="M225" s="172"/>
      <c r="N225" s="172"/>
      <c r="O225" s="172"/>
      <c r="P225" s="172"/>
      <c r="Q225" s="172"/>
    </row>
    <row r="226" spans="4:17" s="21" customFormat="1">
      <c r="D226" s="163"/>
      <c r="M226" s="172"/>
      <c r="N226" s="172"/>
      <c r="O226" s="172"/>
      <c r="P226" s="172"/>
      <c r="Q226" s="172"/>
    </row>
    <row r="227" spans="4:17" s="21" customFormat="1">
      <c r="D227" s="163"/>
      <c r="M227" s="172"/>
      <c r="N227" s="172"/>
      <c r="O227" s="172"/>
      <c r="P227" s="172"/>
      <c r="Q227" s="172"/>
    </row>
    <row r="228" spans="4:17" s="21" customFormat="1">
      <c r="D228" s="163"/>
      <c r="M228" s="172"/>
      <c r="N228" s="172"/>
      <c r="O228" s="172"/>
      <c r="P228" s="172"/>
      <c r="Q228" s="172"/>
    </row>
    <row r="229" spans="4:17" s="21" customFormat="1">
      <c r="D229" s="163"/>
      <c r="M229" s="172"/>
      <c r="N229" s="172"/>
      <c r="O229" s="172"/>
      <c r="P229" s="172"/>
      <c r="Q229" s="172"/>
    </row>
    <row r="230" spans="4:17" s="21" customFormat="1">
      <c r="D230" s="163"/>
      <c r="M230" s="172"/>
      <c r="N230" s="172"/>
      <c r="O230" s="172"/>
      <c r="P230" s="172"/>
      <c r="Q230" s="172"/>
    </row>
    <row r="231" spans="4:17" s="21" customFormat="1">
      <c r="D231" s="163"/>
      <c r="M231" s="172"/>
      <c r="N231" s="172"/>
      <c r="O231" s="172"/>
      <c r="P231" s="172"/>
      <c r="Q231" s="172"/>
    </row>
    <row r="232" spans="4:17" s="21" customFormat="1">
      <c r="D232" s="163"/>
      <c r="M232" s="172"/>
      <c r="N232" s="172"/>
      <c r="O232" s="172"/>
      <c r="P232" s="172"/>
      <c r="Q232" s="172"/>
    </row>
    <row r="233" spans="4:17" s="21" customFormat="1">
      <c r="D233" s="163"/>
      <c r="M233" s="172"/>
      <c r="N233" s="172"/>
      <c r="O233" s="172"/>
      <c r="P233" s="172"/>
      <c r="Q233" s="172"/>
    </row>
    <row r="234" spans="4:17" s="21" customFormat="1">
      <c r="D234" s="163"/>
      <c r="M234" s="172"/>
      <c r="N234" s="172"/>
      <c r="O234" s="172"/>
      <c r="P234" s="172"/>
      <c r="Q234" s="172"/>
    </row>
    <row r="235" spans="4:17" s="21" customFormat="1">
      <c r="D235" s="163"/>
      <c r="M235" s="172"/>
      <c r="N235" s="172"/>
      <c r="O235" s="172"/>
      <c r="P235" s="172"/>
      <c r="Q235" s="172"/>
    </row>
    <row r="236" spans="4:17" s="21" customFormat="1">
      <c r="D236" s="163"/>
      <c r="M236" s="172"/>
      <c r="N236" s="172"/>
      <c r="O236" s="172"/>
      <c r="P236" s="172"/>
      <c r="Q236" s="172"/>
    </row>
    <row r="237" spans="4:17" s="21" customFormat="1">
      <c r="D237" s="163"/>
      <c r="M237" s="172"/>
      <c r="N237" s="172"/>
      <c r="O237" s="172"/>
      <c r="P237" s="172"/>
      <c r="Q237" s="172"/>
    </row>
    <row r="238" spans="4:17" s="21" customFormat="1">
      <c r="D238" s="163"/>
      <c r="M238" s="172"/>
      <c r="N238" s="172"/>
      <c r="O238" s="172"/>
      <c r="P238" s="172"/>
      <c r="Q238" s="172"/>
    </row>
    <row r="239" spans="4:17" s="21" customFormat="1">
      <c r="D239" s="163"/>
      <c r="M239" s="172"/>
      <c r="N239" s="172"/>
      <c r="O239" s="172"/>
      <c r="P239" s="172"/>
      <c r="Q239" s="172"/>
    </row>
    <row r="240" spans="4:17" s="21" customFormat="1">
      <c r="D240" s="163"/>
      <c r="M240" s="172"/>
      <c r="N240" s="172"/>
      <c r="O240" s="172"/>
      <c r="P240" s="172"/>
      <c r="Q240" s="172"/>
    </row>
    <row r="241" spans="4:17" s="21" customFormat="1">
      <c r="D241" s="163"/>
      <c r="M241" s="172"/>
      <c r="N241" s="172"/>
      <c r="O241" s="172"/>
      <c r="P241" s="172"/>
      <c r="Q241" s="172"/>
    </row>
    <row r="242" spans="4:17" s="21" customFormat="1">
      <c r="D242" s="163"/>
      <c r="M242" s="172"/>
      <c r="N242" s="172"/>
      <c r="O242" s="172"/>
      <c r="P242" s="172"/>
      <c r="Q242" s="172"/>
    </row>
    <row r="243" spans="4:17" s="21" customFormat="1">
      <c r="D243" s="163"/>
      <c r="M243" s="172"/>
      <c r="N243" s="172"/>
      <c r="O243" s="172"/>
      <c r="P243" s="172"/>
      <c r="Q243" s="172"/>
    </row>
    <row r="244" spans="4:17" s="21" customFormat="1">
      <c r="D244" s="163"/>
      <c r="M244" s="172"/>
      <c r="N244" s="172"/>
      <c r="O244" s="172"/>
      <c r="P244" s="172"/>
      <c r="Q244" s="172"/>
    </row>
    <row r="245" spans="4:17" s="21" customFormat="1">
      <c r="D245" s="163"/>
      <c r="M245" s="172"/>
      <c r="N245" s="172"/>
      <c r="O245" s="172"/>
      <c r="P245" s="172"/>
      <c r="Q245" s="172"/>
    </row>
    <row r="246" spans="4:17" s="21" customFormat="1">
      <c r="D246" s="163"/>
      <c r="M246" s="172"/>
      <c r="N246" s="172"/>
      <c r="O246" s="172"/>
      <c r="P246" s="172"/>
      <c r="Q246" s="172"/>
    </row>
    <row r="247" spans="4:17" s="21" customFormat="1">
      <c r="D247" s="163"/>
      <c r="M247" s="172"/>
      <c r="N247" s="172"/>
      <c r="O247" s="172"/>
      <c r="P247" s="172"/>
      <c r="Q247" s="172"/>
    </row>
    <row r="248" spans="4:17" s="21" customFormat="1">
      <c r="D248" s="163"/>
      <c r="M248" s="172"/>
      <c r="N248" s="172"/>
      <c r="O248" s="172"/>
      <c r="P248" s="172"/>
      <c r="Q248" s="172"/>
    </row>
    <row r="249" spans="4:17" s="21" customFormat="1">
      <c r="D249" s="163"/>
      <c r="M249" s="172"/>
      <c r="N249" s="172"/>
      <c r="O249" s="172"/>
      <c r="P249" s="172"/>
      <c r="Q249" s="172"/>
    </row>
    <row r="250" spans="4:17" s="21" customFormat="1">
      <c r="D250" s="163"/>
      <c r="M250" s="172"/>
      <c r="N250" s="172"/>
      <c r="O250" s="172"/>
      <c r="P250" s="172"/>
      <c r="Q250" s="172"/>
    </row>
    <row r="251" spans="4:17" s="21" customFormat="1">
      <c r="D251" s="163"/>
      <c r="M251" s="172"/>
      <c r="N251" s="172"/>
      <c r="O251" s="172"/>
      <c r="P251" s="172"/>
      <c r="Q251" s="172"/>
    </row>
    <row r="252" spans="4:17" s="21" customFormat="1">
      <c r="D252" s="163"/>
      <c r="M252" s="172"/>
      <c r="N252" s="172"/>
      <c r="O252" s="172"/>
      <c r="P252" s="172"/>
      <c r="Q252" s="172"/>
    </row>
    <row r="253" spans="4:17" s="21" customFormat="1">
      <c r="D253" s="163"/>
      <c r="M253" s="172"/>
      <c r="N253" s="172"/>
      <c r="O253" s="172"/>
      <c r="P253" s="172"/>
      <c r="Q253" s="172"/>
    </row>
    <row r="254" spans="4:17" s="21" customFormat="1">
      <c r="D254" s="163"/>
      <c r="M254" s="172"/>
      <c r="N254" s="172"/>
      <c r="O254" s="172"/>
      <c r="P254" s="172"/>
      <c r="Q254" s="172"/>
    </row>
    <row r="255" spans="4:17" s="21" customFormat="1">
      <c r="D255" s="163"/>
      <c r="M255" s="172"/>
      <c r="N255" s="172"/>
      <c r="O255" s="172"/>
      <c r="P255" s="172"/>
      <c r="Q255" s="172"/>
    </row>
    <row r="256" spans="4:17" s="21" customFormat="1">
      <c r="D256" s="163"/>
      <c r="M256" s="172"/>
      <c r="N256" s="172"/>
      <c r="O256" s="172"/>
      <c r="P256" s="172"/>
      <c r="Q256" s="172"/>
    </row>
    <row r="257" spans="4:17" s="21" customFormat="1">
      <c r="D257" s="163"/>
      <c r="M257" s="172"/>
      <c r="N257" s="172"/>
      <c r="O257" s="172"/>
      <c r="P257" s="172"/>
      <c r="Q257" s="172"/>
    </row>
    <row r="258" spans="4:17" s="21" customFormat="1">
      <c r="D258" s="163"/>
      <c r="M258" s="172"/>
      <c r="N258" s="172"/>
      <c r="O258" s="172"/>
      <c r="P258" s="172"/>
      <c r="Q258" s="172"/>
    </row>
    <row r="259" spans="4:17" s="21" customFormat="1">
      <c r="D259" s="163"/>
      <c r="M259" s="172"/>
      <c r="N259" s="172"/>
      <c r="O259" s="172"/>
      <c r="P259" s="172"/>
      <c r="Q259" s="172"/>
    </row>
    <row r="260" spans="4:17" s="21" customFormat="1">
      <c r="D260" s="163"/>
      <c r="M260" s="172"/>
      <c r="N260" s="172"/>
      <c r="O260" s="172"/>
      <c r="P260" s="172"/>
      <c r="Q260" s="172"/>
    </row>
    <row r="261" spans="4:17" s="21" customFormat="1">
      <c r="D261" s="163"/>
      <c r="M261" s="172"/>
      <c r="N261" s="172"/>
      <c r="O261" s="172"/>
      <c r="P261" s="172"/>
      <c r="Q261" s="172"/>
    </row>
    <row r="262" spans="4:17" s="21" customFormat="1">
      <c r="D262" s="163"/>
      <c r="M262" s="172"/>
      <c r="N262" s="172"/>
      <c r="O262" s="172"/>
      <c r="P262" s="172"/>
      <c r="Q262" s="172"/>
    </row>
    <row r="263" spans="4:17" s="21" customFormat="1">
      <c r="D263" s="163"/>
      <c r="M263" s="172"/>
      <c r="N263" s="172"/>
      <c r="O263" s="172"/>
      <c r="P263" s="172"/>
      <c r="Q263" s="172"/>
    </row>
    <row r="264" spans="4:17" s="21" customFormat="1">
      <c r="D264" s="163"/>
      <c r="M264" s="172"/>
      <c r="N264" s="172"/>
      <c r="O264" s="172"/>
      <c r="P264" s="172"/>
      <c r="Q264" s="172"/>
    </row>
    <row r="265" spans="4:17" s="21" customFormat="1">
      <c r="D265" s="163"/>
      <c r="M265" s="172"/>
      <c r="N265" s="172"/>
      <c r="O265" s="172"/>
      <c r="P265" s="172"/>
      <c r="Q265" s="172"/>
    </row>
    <row r="266" spans="4:17" s="21" customFormat="1">
      <c r="D266" s="163"/>
      <c r="M266" s="172"/>
      <c r="N266" s="172"/>
      <c r="O266" s="172"/>
      <c r="P266" s="172"/>
      <c r="Q266" s="172"/>
    </row>
    <row r="267" spans="4:17" s="21" customFormat="1">
      <c r="D267" s="163"/>
      <c r="M267" s="172"/>
      <c r="N267" s="172"/>
      <c r="O267" s="172"/>
      <c r="P267" s="172"/>
      <c r="Q267" s="172"/>
    </row>
    <row r="268" spans="4:17" s="21" customFormat="1">
      <c r="D268" s="163"/>
      <c r="M268" s="172"/>
      <c r="N268" s="172"/>
      <c r="O268" s="172"/>
      <c r="P268" s="172"/>
      <c r="Q268" s="172"/>
    </row>
    <row r="269" spans="4:17" s="21" customFormat="1">
      <c r="D269" s="163"/>
      <c r="M269" s="172"/>
      <c r="N269" s="172"/>
      <c r="O269" s="172"/>
      <c r="P269" s="172"/>
      <c r="Q269" s="172"/>
    </row>
    <row r="270" spans="4:17" s="21" customFormat="1">
      <c r="D270" s="163"/>
      <c r="M270" s="172"/>
      <c r="N270" s="172"/>
      <c r="O270" s="172"/>
      <c r="P270" s="172"/>
      <c r="Q270" s="172"/>
    </row>
    <row r="271" spans="4:17" s="21" customFormat="1">
      <c r="D271" s="163"/>
      <c r="M271" s="172"/>
      <c r="N271" s="172"/>
      <c r="O271" s="172"/>
      <c r="P271" s="172"/>
      <c r="Q271" s="172"/>
    </row>
    <row r="272" spans="4:17" s="21" customFormat="1">
      <c r="D272" s="163"/>
      <c r="M272" s="172"/>
      <c r="N272" s="172"/>
      <c r="O272" s="172"/>
      <c r="P272" s="172"/>
      <c r="Q272" s="172"/>
    </row>
    <row r="273" spans="4:17" s="21" customFormat="1">
      <c r="D273" s="163"/>
      <c r="M273" s="172"/>
      <c r="N273" s="172"/>
      <c r="O273" s="172"/>
      <c r="P273" s="172"/>
      <c r="Q273" s="172"/>
    </row>
    <row r="274" spans="4:17" s="21" customFormat="1">
      <c r="D274" s="163"/>
      <c r="M274" s="172"/>
      <c r="N274" s="172"/>
      <c r="O274" s="172"/>
      <c r="P274" s="172"/>
      <c r="Q274" s="172"/>
    </row>
    <row r="275" spans="4:17" s="21" customFormat="1">
      <c r="D275" s="163"/>
      <c r="M275" s="172"/>
      <c r="N275" s="172"/>
      <c r="O275" s="172"/>
      <c r="P275" s="172"/>
      <c r="Q275" s="172"/>
    </row>
    <row r="276" spans="4:17" s="21" customFormat="1">
      <c r="D276" s="163"/>
      <c r="M276" s="172"/>
      <c r="N276" s="172"/>
      <c r="O276" s="172"/>
      <c r="P276" s="172"/>
      <c r="Q276" s="172"/>
    </row>
    <row r="277" spans="4:17" s="21" customFormat="1">
      <c r="D277" s="163"/>
      <c r="M277" s="172"/>
      <c r="N277" s="172"/>
      <c r="O277" s="172"/>
      <c r="P277" s="172"/>
      <c r="Q277" s="172"/>
    </row>
    <row r="278" spans="4:17" s="21" customFormat="1">
      <c r="D278" s="163"/>
      <c r="M278" s="172"/>
      <c r="N278" s="172"/>
      <c r="O278" s="172"/>
      <c r="P278" s="172"/>
      <c r="Q278" s="172"/>
    </row>
    <row r="279" spans="4:17" s="21" customFormat="1">
      <c r="D279" s="163"/>
      <c r="M279" s="172"/>
      <c r="N279" s="172"/>
      <c r="O279" s="172"/>
      <c r="P279" s="172"/>
      <c r="Q279" s="172"/>
    </row>
    <row r="280" spans="4:17" s="21" customFormat="1">
      <c r="D280" s="163"/>
      <c r="M280" s="172"/>
      <c r="N280" s="172"/>
      <c r="O280" s="172"/>
      <c r="P280" s="172"/>
      <c r="Q280" s="172"/>
    </row>
    <row r="281" spans="4:17" s="21" customFormat="1">
      <c r="D281" s="163"/>
      <c r="M281" s="172"/>
      <c r="N281" s="172"/>
      <c r="O281" s="172"/>
      <c r="P281" s="172"/>
      <c r="Q281" s="172"/>
    </row>
    <row r="282" spans="4:17" s="21" customFormat="1">
      <c r="D282" s="163"/>
      <c r="M282" s="172"/>
      <c r="N282" s="172"/>
      <c r="O282" s="172"/>
      <c r="P282" s="172"/>
      <c r="Q282" s="172"/>
    </row>
    <row r="283" spans="4:17" s="21" customFormat="1">
      <c r="D283" s="163"/>
      <c r="M283" s="172"/>
      <c r="N283" s="172"/>
      <c r="O283" s="172"/>
      <c r="P283" s="172"/>
      <c r="Q283" s="172"/>
    </row>
    <row r="284" spans="4:17" s="21" customFormat="1">
      <c r="D284" s="163"/>
      <c r="M284" s="172"/>
      <c r="N284" s="172"/>
      <c r="O284" s="172"/>
      <c r="P284" s="172"/>
      <c r="Q284" s="172"/>
    </row>
    <row r="285" spans="4:17" s="21" customFormat="1">
      <c r="D285" s="163"/>
      <c r="M285" s="172"/>
      <c r="N285" s="172"/>
      <c r="O285" s="172"/>
      <c r="P285" s="172"/>
      <c r="Q285" s="172"/>
    </row>
    <row r="286" spans="4:17" s="21" customFormat="1">
      <c r="D286" s="163"/>
      <c r="M286" s="172"/>
      <c r="N286" s="172"/>
      <c r="O286" s="172"/>
      <c r="P286" s="172"/>
      <c r="Q286" s="172"/>
    </row>
    <row r="287" spans="4:17" s="21" customFormat="1">
      <c r="D287" s="163"/>
      <c r="M287" s="172"/>
      <c r="N287" s="172"/>
      <c r="O287" s="172"/>
      <c r="P287" s="172"/>
      <c r="Q287" s="172"/>
    </row>
    <row r="288" spans="4:17" s="21" customFormat="1">
      <c r="D288" s="163"/>
      <c r="M288" s="172"/>
      <c r="N288" s="172"/>
      <c r="O288" s="172"/>
      <c r="P288" s="172"/>
      <c r="Q288" s="172"/>
    </row>
    <row r="289" spans="4:17" s="21" customFormat="1">
      <c r="D289" s="163"/>
      <c r="M289" s="172"/>
      <c r="N289" s="172"/>
      <c r="O289" s="172"/>
      <c r="P289" s="172"/>
      <c r="Q289" s="172"/>
    </row>
    <row r="290" spans="4:17" s="21" customFormat="1">
      <c r="D290" s="163"/>
      <c r="M290" s="172"/>
      <c r="N290" s="172"/>
      <c r="O290" s="172"/>
      <c r="P290" s="172"/>
      <c r="Q290" s="172"/>
    </row>
    <row r="291" spans="4:17" s="21" customFormat="1">
      <c r="D291" s="163"/>
      <c r="M291" s="172"/>
      <c r="N291" s="172"/>
      <c r="O291" s="172"/>
      <c r="P291" s="172"/>
      <c r="Q291" s="172"/>
    </row>
    <row r="292" spans="4:17" s="21" customFormat="1">
      <c r="D292" s="163"/>
      <c r="M292" s="172"/>
      <c r="N292" s="172"/>
      <c r="O292" s="172"/>
      <c r="P292" s="172"/>
      <c r="Q292" s="172"/>
    </row>
    <row r="293" spans="4:17" s="21" customFormat="1">
      <c r="D293" s="163"/>
      <c r="M293" s="172"/>
      <c r="N293" s="172"/>
      <c r="O293" s="172"/>
      <c r="P293" s="172"/>
      <c r="Q293" s="172"/>
    </row>
    <row r="294" spans="4:17" s="21" customFormat="1">
      <c r="D294" s="163"/>
      <c r="M294" s="172"/>
      <c r="N294" s="172"/>
      <c r="O294" s="172"/>
      <c r="P294" s="172"/>
      <c r="Q294" s="172"/>
    </row>
    <row r="295" spans="4:17" s="21" customFormat="1">
      <c r="D295" s="163"/>
      <c r="M295" s="172"/>
      <c r="N295" s="172"/>
      <c r="O295" s="172"/>
      <c r="P295" s="172"/>
      <c r="Q295" s="172"/>
    </row>
    <row r="296" spans="4:17" s="21" customFormat="1">
      <c r="D296" s="163"/>
      <c r="M296" s="172"/>
      <c r="N296" s="172"/>
      <c r="O296" s="172"/>
      <c r="P296" s="172"/>
      <c r="Q296" s="172"/>
    </row>
    <row r="297" spans="4:17" s="21" customFormat="1">
      <c r="D297" s="163"/>
      <c r="M297" s="172"/>
      <c r="N297" s="172"/>
      <c r="O297" s="172"/>
      <c r="P297" s="172"/>
      <c r="Q297" s="172"/>
    </row>
    <row r="298" spans="4:17" s="21" customFormat="1">
      <c r="D298" s="163"/>
      <c r="M298" s="172"/>
      <c r="N298" s="172"/>
      <c r="O298" s="172"/>
      <c r="P298" s="172"/>
      <c r="Q298" s="172"/>
    </row>
    <row r="299" spans="4:17" s="21" customFormat="1">
      <c r="D299" s="163"/>
      <c r="M299" s="172"/>
      <c r="N299" s="172"/>
      <c r="O299" s="172"/>
      <c r="P299" s="172"/>
      <c r="Q299" s="172"/>
    </row>
    <row r="300" spans="4:17" s="21" customFormat="1">
      <c r="D300" s="163"/>
      <c r="M300" s="172"/>
      <c r="N300" s="172"/>
      <c r="O300" s="172"/>
      <c r="P300" s="172"/>
      <c r="Q300" s="172"/>
    </row>
    <row r="301" spans="4:17" s="21" customFormat="1">
      <c r="D301" s="163"/>
      <c r="M301" s="172"/>
      <c r="N301" s="172"/>
      <c r="O301" s="172"/>
      <c r="P301" s="172"/>
      <c r="Q301" s="172"/>
    </row>
    <row r="302" spans="4:17" s="21" customFormat="1">
      <c r="D302" s="163"/>
      <c r="M302" s="172"/>
      <c r="N302" s="172"/>
      <c r="O302" s="172"/>
      <c r="P302" s="172"/>
      <c r="Q302" s="172"/>
    </row>
    <row r="303" spans="4:17" s="21" customFormat="1">
      <c r="D303" s="163"/>
      <c r="M303" s="172"/>
      <c r="N303" s="172"/>
      <c r="O303" s="172"/>
      <c r="P303" s="172"/>
      <c r="Q303" s="172"/>
    </row>
    <row r="304" spans="4:17" s="21" customFormat="1">
      <c r="D304" s="163"/>
      <c r="M304" s="172"/>
      <c r="N304" s="172"/>
      <c r="O304" s="172"/>
      <c r="P304" s="172"/>
      <c r="Q304" s="172"/>
    </row>
    <row r="305" spans="4:17" s="21" customFormat="1">
      <c r="D305" s="163"/>
      <c r="M305" s="172"/>
      <c r="N305" s="172"/>
      <c r="O305" s="172"/>
      <c r="P305" s="172"/>
      <c r="Q305" s="172"/>
    </row>
    <row r="306" spans="4:17" s="21" customFormat="1">
      <c r="D306" s="163"/>
      <c r="M306" s="172"/>
      <c r="N306" s="172"/>
      <c r="O306" s="172"/>
      <c r="P306" s="172"/>
      <c r="Q306" s="172"/>
    </row>
    <row r="307" spans="4:17" s="21" customFormat="1">
      <c r="D307" s="163"/>
      <c r="M307" s="172"/>
      <c r="N307" s="172"/>
      <c r="O307" s="172"/>
      <c r="P307" s="172"/>
      <c r="Q307" s="172"/>
    </row>
    <row r="308" spans="4:17" s="21" customFormat="1">
      <c r="D308" s="163"/>
      <c r="M308" s="172"/>
      <c r="N308" s="172"/>
      <c r="O308" s="172"/>
      <c r="P308" s="172"/>
      <c r="Q308" s="172"/>
    </row>
    <row r="309" spans="4:17" s="21" customFormat="1">
      <c r="D309" s="163"/>
      <c r="M309" s="172"/>
      <c r="N309" s="172"/>
      <c r="O309" s="172"/>
      <c r="P309" s="172"/>
      <c r="Q309" s="172"/>
    </row>
    <row r="310" spans="4:17" s="21" customFormat="1">
      <c r="D310" s="163"/>
      <c r="M310" s="172"/>
      <c r="N310" s="172"/>
      <c r="O310" s="172"/>
      <c r="P310" s="172"/>
      <c r="Q310" s="172"/>
    </row>
    <row r="311" spans="4:17" s="21" customFormat="1">
      <c r="D311" s="163"/>
      <c r="M311" s="172"/>
      <c r="N311" s="172"/>
      <c r="O311" s="172"/>
      <c r="P311" s="172"/>
      <c r="Q311" s="172"/>
    </row>
    <row r="312" spans="4:17" s="21" customFormat="1">
      <c r="D312" s="163"/>
      <c r="M312" s="172"/>
      <c r="N312" s="172"/>
      <c r="O312" s="172"/>
      <c r="P312" s="172"/>
      <c r="Q312" s="172"/>
    </row>
    <row r="313" spans="4:17" s="21" customFormat="1">
      <c r="D313" s="163"/>
      <c r="M313" s="172"/>
      <c r="N313" s="172"/>
      <c r="O313" s="172"/>
      <c r="P313" s="172"/>
      <c r="Q313" s="172"/>
    </row>
    <row r="314" spans="4:17" s="21" customFormat="1">
      <c r="D314" s="163"/>
      <c r="M314" s="172"/>
      <c r="N314" s="172"/>
      <c r="O314" s="172"/>
      <c r="P314" s="172"/>
      <c r="Q314" s="172"/>
    </row>
    <row r="315" spans="4:17" s="21" customFormat="1">
      <c r="D315" s="163"/>
      <c r="M315" s="172"/>
      <c r="N315" s="172"/>
      <c r="O315" s="172"/>
      <c r="P315" s="172"/>
      <c r="Q315" s="172"/>
    </row>
    <row r="316" spans="4:17" s="21" customFormat="1">
      <c r="D316" s="163"/>
      <c r="M316" s="172"/>
      <c r="N316" s="172"/>
      <c r="O316" s="172"/>
      <c r="P316" s="172"/>
      <c r="Q316" s="172"/>
    </row>
    <row r="317" spans="4:17" s="21" customFormat="1">
      <c r="D317" s="163"/>
      <c r="M317" s="172"/>
      <c r="N317" s="172"/>
      <c r="O317" s="172"/>
      <c r="P317" s="172"/>
      <c r="Q317" s="172"/>
    </row>
    <row r="318" spans="4:17" s="21" customFormat="1">
      <c r="D318" s="163"/>
      <c r="M318" s="172"/>
      <c r="N318" s="172"/>
      <c r="O318" s="172"/>
      <c r="P318" s="172"/>
      <c r="Q318" s="172"/>
    </row>
    <row r="319" spans="4:17" s="21" customFormat="1">
      <c r="D319" s="163"/>
      <c r="M319" s="172"/>
      <c r="N319" s="172"/>
      <c r="O319" s="172"/>
      <c r="P319" s="172"/>
      <c r="Q319" s="172"/>
    </row>
    <row r="320" spans="4:17" s="21" customFormat="1">
      <c r="D320" s="163"/>
      <c r="M320" s="172"/>
      <c r="N320" s="172"/>
      <c r="O320" s="172"/>
      <c r="P320" s="172"/>
      <c r="Q320" s="172"/>
    </row>
    <row r="321" spans="4:17" s="21" customFormat="1">
      <c r="D321" s="163"/>
      <c r="M321" s="172"/>
      <c r="N321" s="172"/>
      <c r="O321" s="172"/>
      <c r="P321" s="172"/>
      <c r="Q321" s="172"/>
    </row>
    <row r="322" spans="4:17" s="21" customFormat="1">
      <c r="D322" s="163"/>
      <c r="M322" s="172"/>
      <c r="N322" s="172"/>
      <c r="O322" s="172"/>
      <c r="P322" s="172"/>
      <c r="Q322" s="172"/>
    </row>
    <row r="323" spans="4:17" s="21" customFormat="1">
      <c r="D323" s="163"/>
      <c r="M323" s="172"/>
      <c r="N323" s="172"/>
      <c r="O323" s="172"/>
      <c r="P323" s="172"/>
      <c r="Q323" s="172"/>
    </row>
    <row r="324" spans="4:17" s="21" customFormat="1">
      <c r="D324" s="163"/>
      <c r="M324" s="172"/>
      <c r="N324" s="172"/>
      <c r="O324" s="172"/>
      <c r="P324" s="172"/>
      <c r="Q324" s="172"/>
    </row>
    <row r="325" spans="4:17" s="21" customFormat="1">
      <c r="D325" s="163"/>
      <c r="M325" s="172"/>
      <c r="N325" s="172"/>
      <c r="O325" s="172"/>
      <c r="P325" s="172"/>
      <c r="Q325" s="172"/>
    </row>
    <row r="326" spans="4:17" s="21" customFormat="1">
      <c r="D326" s="163"/>
      <c r="M326" s="172"/>
      <c r="N326" s="172"/>
      <c r="O326" s="172"/>
      <c r="P326" s="172"/>
      <c r="Q326" s="172"/>
    </row>
    <row r="327" spans="4:17" s="21" customFormat="1">
      <c r="D327" s="163"/>
      <c r="M327" s="172"/>
      <c r="N327" s="172"/>
      <c r="O327" s="172"/>
      <c r="P327" s="172"/>
      <c r="Q327" s="172"/>
    </row>
    <row r="328" spans="4:17" s="21" customFormat="1">
      <c r="D328" s="163"/>
      <c r="M328" s="172"/>
      <c r="N328" s="172"/>
      <c r="O328" s="172"/>
      <c r="P328" s="172"/>
      <c r="Q328" s="172"/>
    </row>
    <row r="329" spans="4:17" s="21" customFormat="1">
      <c r="D329" s="163"/>
    </row>
    <row r="330" spans="4:17" s="21" customFormat="1">
      <c r="D330" s="163"/>
    </row>
    <row r="331" spans="4:17" s="21" customFormat="1">
      <c r="D331" s="163"/>
    </row>
    <row r="332" spans="4:17" s="21" customFormat="1">
      <c r="D332" s="163"/>
    </row>
    <row r="333" spans="4:17" s="21" customFormat="1">
      <c r="D333" s="163"/>
    </row>
    <row r="334" spans="4:17" s="21" customFormat="1">
      <c r="D334" s="163"/>
    </row>
    <row r="335" spans="4:17" s="21" customFormat="1">
      <c r="D335" s="163"/>
    </row>
    <row r="336" spans="4:17" s="21" customFormat="1">
      <c r="D336" s="163"/>
    </row>
    <row r="337" spans="4:4" s="21" customFormat="1">
      <c r="D337" s="163"/>
    </row>
    <row r="338" spans="4:4" s="21" customFormat="1">
      <c r="D338" s="163"/>
    </row>
    <row r="339" spans="4:4" s="21" customFormat="1">
      <c r="D339" s="163"/>
    </row>
    <row r="340" spans="4:4" s="21" customFormat="1">
      <c r="D340" s="163"/>
    </row>
    <row r="341" spans="4:4" s="21" customFormat="1">
      <c r="D341" s="163"/>
    </row>
    <row r="342" spans="4:4" s="21" customFormat="1">
      <c r="D342" s="163"/>
    </row>
    <row r="343" spans="4:4" s="21" customFormat="1">
      <c r="D343" s="163"/>
    </row>
    <row r="344" spans="4:4" s="21" customFormat="1">
      <c r="D344" s="163"/>
    </row>
    <row r="345" spans="4:4" s="21" customFormat="1">
      <c r="D345" s="163"/>
    </row>
    <row r="346" spans="4:4" s="21" customFormat="1">
      <c r="D346" s="163"/>
    </row>
    <row r="347" spans="4:4" s="21" customFormat="1">
      <c r="D347" s="163"/>
    </row>
    <row r="348" spans="4:4" s="21" customFormat="1">
      <c r="D348" s="163"/>
    </row>
    <row r="349" spans="4:4" s="21" customFormat="1">
      <c r="D349" s="163"/>
    </row>
    <row r="350" spans="4:4" s="21" customFormat="1">
      <c r="D350" s="163"/>
    </row>
    <row r="351" spans="4:4" s="21" customFormat="1">
      <c r="D351" s="163"/>
    </row>
    <row r="352" spans="4:4" s="21" customFormat="1">
      <c r="D352" s="163"/>
    </row>
    <row r="353" spans="4:4" s="21" customFormat="1">
      <c r="D353" s="163"/>
    </row>
    <row r="354" spans="4:4" s="21" customFormat="1">
      <c r="D354" s="163"/>
    </row>
    <row r="355" spans="4:4" s="21" customFormat="1">
      <c r="D355" s="163"/>
    </row>
    <row r="356" spans="4:4" s="21" customFormat="1">
      <c r="D356" s="163"/>
    </row>
    <row r="357" spans="4:4" s="21" customFormat="1">
      <c r="D357" s="163"/>
    </row>
    <row r="358" spans="4:4" s="21" customFormat="1">
      <c r="D358" s="163"/>
    </row>
    <row r="359" spans="4:4" s="21" customFormat="1">
      <c r="D359" s="163"/>
    </row>
    <row r="360" spans="4:4" s="21" customFormat="1">
      <c r="D360" s="163"/>
    </row>
    <row r="361" spans="4:4" s="21" customFormat="1">
      <c r="D361" s="163"/>
    </row>
    <row r="362" spans="4:4" s="21" customFormat="1">
      <c r="D362" s="163"/>
    </row>
    <row r="363" spans="4:4" s="21" customFormat="1">
      <c r="D363" s="163"/>
    </row>
    <row r="364" spans="4:4" s="21" customFormat="1">
      <c r="D364" s="163"/>
    </row>
    <row r="365" spans="4:4" s="21" customFormat="1">
      <c r="D365" s="163"/>
    </row>
    <row r="366" spans="4:4" s="21" customFormat="1">
      <c r="D366" s="163"/>
    </row>
    <row r="367" spans="4:4" s="21" customFormat="1">
      <c r="D367" s="163"/>
    </row>
    <row r="368" spans="4:4" s="21" customFormat="1">
      <c r="D368" s="163"/>
    </row>
    <row r="369" spans="4:4" s="21" customFormat="1">
      <c r="D369" s="163"/>
    </row>
    <row r="370" spans="4:4" s="21" customFormat="1">
      <c r="D370" s="163"/>
    </row>
    <row r="371" spans="4:4" s="21" customFormat="1">
      <c r="D371" s="163"/>
    </row>
    <row r="372" spans="4:4" s="21" customFormat="1">
      <c r="D372" s="163"/>
    </row>
    <row r="373" spans="4:4" s="21" customFormat="1">
      <c r="D373" s="163"/>
    </row>
    <row r="374" spans="4:4" s="21" customFormat="1">
      <c r="D374" s="163"/>
    </row>
    <row r="375" spans="4:4" s="21" customFormat="1">
      <c r="D375" s="163"/>
    </row>
    <row r="376" spans="4:4" s="21" customFormat="1">
      <c r="D376" s="163"/>
    </row>
    <row r="377" spans="4:4" s="21" customFormat="1">
      <c r="D377" s="163"/>
    </row>
    <row r="378" spans="4:4" s="21" customFormat="1">
      <c r="D378" s="163"/>
    </row>
    <row r="379" spans="4:4" s="21" customFormat="1">
      <c r="D379" s="163"/>
    </row>
    <row r="380" spans="4:4" s="21" customFormat="1">
      <c r="D380" s="163"/>
    </row>
    <row r="381" spans="4:4" s="21" customFormat="1">
      <c r="D381" s="163"/>
    </row>
    <row r="382" spans="4:4" s="21" customFormat="1">
      <c r="D382" s="163"/>
    </row>
    <row r="383" spans="4:4" s="21" customFormat="1">
      <c r="D383" s="163"/>
    </row>
    <row r="384" spans="4:4" s="21" customFormat="1">
      <c r="D384" s="163"/>
    </row>
    <row r="385" spans="4:4" s="21" customFormat="1">
      <c r="D385" s="163"/>
    </row>
    <row r="386" spans="4:4" s="21" customFormat="1">
      <c r="D386" s="163"/>
    </row>
    <row r="387" spans="4:4" s="21" customFormat="1">
      <c r="D387" s="163"/>
    </row>
    <row r="388" spans="4:4" s="21" customFormat="1">
      <c r="D388" s="163"/>
    </row>
    <row r="389" spans="4:4" s="21" customFormat="1">
      <c r="D389" s="163"/>
    </row>
    <row r="390" spans="4:4" s="21" customFormat="1">
      <c r="D390" s="163"/>
    </row>
    <row r="391" spans="4:4" s="21" customFormat="1">
      <c r="D391" s="163"/>
    </row>
    <row r="392" spans="4:4" s="21" customFormat="1">
      <c r="D392" s="163"/>
    </row>
    <row r="393" spans="4:4" s="21" customFormat="1">
      <c r="D393" s="163"/>
    </row>
    <row r="394" spans="4:4" s="21" customFormat="1">
      <c r="D394" s="163"/>
    </row>
    <row r="395" spans="4:4" s="21" customFormat="1">
      <c r="D395" s="163"/>
    </row>
    <row r="396" spans="4:4" s="21" customFormat="1">
      <c r="D396" s="163"/>
    </row>
    <row r="397" spans="4:4" s="21" customFormat="1">
      <c r="D397" s="163"/>
    </row>
    <row r="398" spans="4:4" s="21" customFormat="1">
      <c r="D398" s="163"/>
    </row>
    <row r="399" spans="4:4" s="21" customFormat="1">
      <c r="D399" s="163"/>
    </row>
    <row r="400" spans="4:4" s="21" customFormat="1">
      <c r="D400" s="163"/>
    </row>
    <row r="401" spans="4:4" s="21" customFormat="1">
      <c r="D401" s="163"/>
    </row>
    <row r="402" spans="4:4" s="21" customFormat="1">
      <c r="D402" s="163"/>
    </row>
    <row r="403" spans="4:4" s="21" customFormat="1">
      <c r="D403" s="163"/>
    </row>
    <row r="404" spans="4:4" s="21" customFormat="1">
      <c r="D404" s="163"/>
    </row>
    <row r="405" spans="4:4" s="21" customFormat="1">
      <c r="D405" s="163"/>
    </row>
    <row r="406" spans="4:4" s="21" customFormat="1">
      <c r="D406" s="163"/>
    </row>
    <row r="407" spans="4:4" s="21" customFormat="1">
      <c r="D407" s="163"/>
    </row>
    <row r="408" spans="4:4" s="21" customFormat="1">
      <c r="D408" s="163"/>
    </row>
    <row r="409" spans="4:4" s="21" customFormat="1">
      <c r="D409" s="163"/>
    </row>
    <row r="410" spans="4:4" s="21" customFormat="1">
      <c r="D410" s="163"/>
    </row>
    <row r="411" spans="4:4" s="21" customFormat="1">
      <c r="D411" s="163"/>
    </row>
    <row r="412" spans="4:4" s="21" customFormat="1">
      <c r="D412" s="163"/>
    </row>
    <row r="413" spans="4:4" s="21" customFormat="1">
      <c r="D413" s="163"/>
    </row>
    <row r="414" spans="4:4" s="21" customFormat="1">
      <c r="D414" s="163"/>
    </row>
    <row r="415" spans="4:4" s="21" customFormat="1">
      <c r="D415" s="163"/>
    </row>
    <row r="416" spans="4:4" s="21" customFormat="1">
      <c r="D416" s="163"/>
    </row>
    <row r="417" spans="4:4" s="21" customFormat="1">
      <c r="D417" s="163"/>
    </row>
    <row r="418" spans="4:4" s="21" customFormat="1">
      <c r="D418" s="163"/>
    </row>
    <row r="419" spans="4:4" s="21" customFormat="1">
      <c r="D419" s="163"/>
    </row>
    <row r="420" spans="4:4" s="21" customFormat="1">
      <c r="D420" s="163"/>
    </row>
    <row r="421" spans="4:4" s="21" customFormat="1">
      <c r="D421" s="163"/>
    </row>
    <row r="422" spans="4:4" s="21" customFormat="1">
      <c r="D422" s="163"/>
    </row>
    <row r="423" spans="4:4" s="21" customFormat="1">
      <c r="D423" s="163"/>
    </row>
    <row r="424" spans="4:4" s="21" customFormat="1">
      <c r="D424" s="163"/>
    </row>
    <row r="425" spans="4:4" s="21" customFormat="1">
      <c r="D425" s="163"/>
    </row>
    <row r="426" spans="4:4" s="21" customFormat="1">
      <c r="D426" s="163"/>
    </row>
    <row r="427" spans="4:4" s="21" customFormat="1">
      <c r="D427" s="163"/>
    </row>
    <row r="428" spans="4:4" s="21" customFormat="1">
      <c r="D428" s="163"/>
    </row>
    <row r="429" spans="4:4" s="21" customFormat="1">
      <c r="D429" s="163"/>
    </row>
    <row r="430" spans="4:4" s="21" customFormat="1">
      <c r="D430" s="163"/>
    </row>
    <row r="431" spans="4:4" s="21" customFormat="1">
      <c r="D431" s="163"/>
    </row>
    <row r="432" spans="4:4" s="21" customFormat="1">
      <c r="D432" s="163"/>
    </row>
    <row r="433" spans="4:4" s="21" customFormat="1">
      <c r="D433" s="163"/>
    </row>
    <row r="434" spans="4:4" s="21" customFormat="1">
      <c r="D434" s="163"/>
    </row>
    <row r="435" spans="4:4" s="21" customFormat="1">
      <c r="D435" s="163"/>
    </row>
    <row r="436" spans="4:4" s="21" customFormat="1">
      <c r="D436" s="163"/>
    </row>
    <row r="437" spans="4:4" s="21" customFormat="1">
      <c r="D437" s="163"/>
    </row>
    <row r="438" spans="4:4" s="21" customFormat="1">
      <c r="D438" s="163"/>
    </row>
    <row r="439" spans="4:4" s="21" customFormat="1">
      <c r="D439" s="163"/>
    </row>
    <row r="440" spans="4:4" s="21" customFormat="1">
      <c r="D440" s="163"/>
    </row>
    <row r="441" spans="4:4" s="21" customFormat="1">
      <c r="D441" s="163"/>
    </row>
    <row r="442" spans="4:4" s="21" customFormat="1">
      <c r="D442" s="163"/>
    </row>
    <row r="443" spans="4:4" s="21" customFormat="1">
      <c r="D443" s="163"/>
    </row>
    <row r="444" spans="4:4" s="21" customFormat="1">
      <c r="D444" s="163"/>
    </row>
    <row r="445" spans="4:4" s="21" customFormat="1">
      <c r="D445" s="163"/>
    </row>
    <row r="446" spans="4:4" s="21" customFormat="1">
      <c r="D446" s="163"/>
    </row>
    <row r="447" spans="4:4" s="21" customFormat="1">
      <c r="D447" s="163"/>
    </row>
    <row r="448" spans="4:4" s="21" customFormat="1">
      <c r="D448" s="163"/>
    </row>
    <row r="449" spans="4:4" s="21" customFormat="1">
      <c r="D449" s="163"/>
    </row>
    <row r="450" spans="4:4" s="21" customFormat="1">
      <c r="D450" s="163"/>
    </row>
    <row r="451" spans="4:4" s="21" customFormat="1">
      <c r="D451" s="163"/>
    </row>
    <row r="452" spans="4:4" s="21" customFormat="1">
      <c r="D452" s="163"/>
    </row>
    <row r="453" spans="4:4" s="21" customFormat="1">
      <c r="D453" s="163"/>
    </row>
    <row r="454" spans="4:4" s="21" customFormat="1">
      <c r="D454" s="163"/>
    </row>
    <row r="455" spans="4:4" s="21" customFormat="1">
      <c r="D455" s="163"/>
    </row>
    <row r="456" spans="4:4" s="21" customFormat="1">
      <c r="D456" s="163"/>
    </row>
    <row r="457" spans="4:4" s="21" customFormat="1">
      <c r="D457" s="163"/>
    </row>
    <row r="458" spans="4:4" s="21" customFormat="1">
      <c r="D458" s="163"/>
    </row>
    <row r="459" spans="4:4" s="21" customFormat="1">
      <c r="D459" s="163"/>
    </row>
    <row r="460" spans="4:4" s="21" customFormat="1">
      <c r="D460" s="163"/>
    </row>
    <row r="461" spans="4:4" s="21" customFormat="1">
      <c r="D461" s="163"/>
    </row>
    <row r="462" spans="4:4" s="21" customFormat="1">
      <c r="D462" s="163"/>
    </row>
    <row r="463" spans="4:4" s="21" customFormat="1">
      <c r="D463" s="163"/>
    </row>
    <row r="464" spans="4:4" s="21" customFormat="1">
      <c r="D464" s="163"/>
    </row>
    <row r="465" spans="4:4" s="21" customFormat="1">
      <c r="D465" s="163"/>
    </row>
    <row r="466" spans="4:4" s="21" customFormat="1">
      <c r="D466" s="163"/>
    </row>
    <row r="467" spans="4:4" s="21" customFormat="1">
      <c r="D467" s="163"/>
    </row>
    <row r="468" spans="4:4" s="21" customFormat="1">
      <c r="D468" s="163"/>
    </row>
    <row r="469" spans="4:4" s="21" customFormat="1">
      <c r="D469" s="163"/>
    </row>
    <row r="470" spans="4:4" s="21" customFormat="1">
      <c r="D470" s="163"/>
    </row>
    <row r="471" spans="4:4" s="21" customFormat="1">
      <c r="D471" s="163"/>
    </row>
    <row r="472" spans="4:4" s="21" customFormat="1">
      <c r="D472" s="163"/>
    </row>
    <row r="473" spans="4:4" s="21" customFormat="1">
      <c r="D473" s="163"/>
    </row>
    <row r="474" spans="4:4" s="21" customFormat="1">
      <c r="D474" s="163"/>
    </row>
    <row r="475" spans="4:4" s="21" customFormat="1">
      <c r="D475" s="163"/>
    </row>
    <row r="476" spans="4:4" s="21" customFormat="1">
      <c r="D476" s="163"/>
    </row>
    <row r="477" spans="4:4" s="21" customFormat="1">
      <c r="D477" s="163"/>
    </row>
    <row r="478" spans="4:4" s="21" customFormat="1">
      <c r="D478" s="163"/>
    </row>
    <row r="479" spans="4:4" s="21" customFormat="1">
      <c r="D479" s="163"/>
    </row>
    <row r="480" spans="4:4" s="21" customFormat="1">
      <c r="D480" s="163"/>
    </row>
    <row r="481" spans="4:4" s="21" customFormat="1">
      <c r="D481" s="163"/>
    </row>
    <row r="482" spans="4:4" s="21" customFormat="1">
      <c r="D482" s="163"/>
    </row>
    <row r="483" spans="4:4" s="21" customFormat="1">
      <c r="D483" s="163"/>
    </row>
    <row r="484" spans="4:4" s="21" customFormat="1">
      <c r="D484" s="163"/>
    </row>
    <row r="485" spans="4:4" s="21" customFormat="1">
      <c r="D485" s="163"/>
    </row>
    <row r="486" spans="4:4" s="21" customFormat="1">
      <c r="D486" s="163"/>
    </row>
    <row r="487" spans="4:4" s="21" customFormat="1">
      <c r="D487" s="163"/>
    </row>
    <row r="488" spans="4:4" s="21" customFormat="1">
      <c r="D488" s="163"/>
    </row>
    <row r="489" spans="4:4" s="21" customFormat="1">
      <c r="D489" s="163"/>
    </row>
    <row r="490" spans="4:4" s="21" customFormat="1">
      <c r="D490" s="163"/>
    </row>
    <row r="491" spans="4:4" s="21" customFormat="1">
      <c r="D491" s="163"/>
    </row>
    <row r="492" spans="4:4" s="21" customFormat="1">
      <c r="D492" s="163"/>
    </row>
    <row r="493" spans="4:4" s="21" customFormat="1">
      <c r="D493" s="163"/>
    </row>
    <row r="494" spans="4:4" s="21" customFormat="1">
      <c r="D494" s="163"/>
    </row>
    <row r="495" spans="4:4" s="21" customFormat="1">
      <c r="D495" s="163"/>
    </row>
    <row r="496" spans="4:4" s="21" customFormat="1">
      <c r="D496" s="163"/>
    </row>
    <row r="497" spans="4:4" s="21" customFormat="1">
      <c r="D497" s="163"/>
    </row>
    <row r="498" spans="4:4" s="21" customFormat="1">
      <c r="D498" s="163"/>
    </row>
    <row r="499" spans="4:4" s="21" customFormat="1">
      <c r="D499" s="163"/>
    </row>
    <row r="500" spans="4:4" s="21" customFormat="1">
      <c r="D500" s="163"/>
    </row>
    <row r="501" spans="4:4" s="21" customFormat="1">
      <c r="D501" s="163"/>
    </row>
    <row r="502" spans="4:4" s="21" customFormat="1">
      <c r="D502" s="163"/>
    </row>
    <row r="503" spans="4:4" s="21" customFormat="1">
      <c r="D503" s="163"/>
    </row>
    <row r="504" spans="4:4" s="21" customFormat="1">
      <c r="D504" s="163"/>
    </row>
    <row r="505" spans="4:4" s="21" customFormat="1">
      <c r="D505" s="163"/>
    </row>
    <row r="506" spans="4:4" s="21" customFormat="1">
      <c r="D506" s="163"/>
    </row>
    <row r="507" spans="4:4" s="21" customFormat="1">
      <c r="D507" s="163"/>
    </row>
    <row r="508" spans="4:4" s="21" customFormat="1">
      <c r="D508" s="163"/>
    </row>
    <row r="509" spans="4:4" s="21" customFormat="1">
      <c r="D509" s="163"/>
    </row>
    <row r="510" spans="4:4" s="21" customFormat="1">
      <c r="D510" s="163"/>
    </row>
    <row r="511" spans="4:4" s="21" customFormat="1">
      <c r="D511" s="163"/>
    </row>
    <row r="512" spans="4:4" s="21" customFormat="1">
      <c r="D512" s="163"/>
    </row>
    <row r="513" spans="4:4" s="21" customFormat="1">
      <c r="D513" s="163"/>
    </row>
    <row r="514" spans="4:4" s="21" customFormat="1">
      <c r="D514" s="163"/>
    </row>
    <row r="515" spans="4:4" s="21" customFormat="1">
      <c r="D515" s="163"/>
    </row>
    <row r="516" spans="4:4" s="21" customFormat="1">
      <c r="D516" s="163"/>
    </row>
    <row r="517" spans="4:4" s="21" customFormat="1">
      <c r="D517" s="163"/>
    </row>
    <row r="518" spans="4:4" s="21" customFormat="1">
      <c r="D518" s="163"/>
    </row>
    <row r="519" spans="4:4" s="21" customFormat="1">
      <c r="D519" s="163"/>
    </row>
    <row r="520" spans="4:4" s="21" customFormat="1">
      <c r="D520" s="163"/>
    </row>
    <row r="521" spans="4:4" s="21" customFormat="1">
      <c r="D521" s="163"/>
    </row>
    <row r="522" spans="4:4" s="21" customFormat="1">
      <c r="D522" s="163"/>
    </row>
    <row r="523" spans="4:4" s="21" customFormat="1">
      <c r="D523" s="163"/>
    </row>
    <row r="524" spans="4:4" s="21" customFormat="1">
      <c r="D524" s="163"/>
    </row>
    <row r="525" spans="4:4" s="21" customFormat="1">
      <c r="D525" s="163"/>
    </row>
    <row r="526" spans="4:4" s="21" customFormat="1">
      <c r="D526" s="163"/>
    </row>
    <row r="527" spans="4:4" s="21" customFormat="1">
      <c r="D527" s="163"/>
    </row>
    <row r="528" spans="4:4" s="21" customFormat="1">
      <c r="D528" s="163"/>
    </row>
    <row r="529" spans="4:4" s="21" customFormat="1">
      <c r="D529" s="163"/>
    </row>
    <row r="530" spans="4:4" s="21" customFormat="1">
      <c r="D530" s="163"/>
    </row>
    <row r="531" spans="4:4" s="21" customFormat="1">
      <c r="D531" s="163"/>
    </row>
    <row r="532" spans="4:4" s="21" customFormat="1">
      <c r="D532" s="163"/>
    </row>
    <row r="533" spans="4:4" s="21" customFormat="1">
      <c r="D533" s="163"/>
    </row>
    <row r="534" spans="4:4" s="21" customFormat="1">
      <c r="D534" s="163"/>
    </row>
    <row r="535" spans="4:4" s="21" customFormat="1">
      <c r="D535" s="163"/>
    </row>
    <row r="536" spans="4:4" s="21" customFormat="1">
      <c r="D536" s="163"/>
    </row>
    <row r="537" spans="4:4" s="21" customFormat="1">
      <c r="D537" s="163"/>
    </row>
    <row r="538" spans="4:4" s="21" customFormat="1">
      <c r="D538" s="163"/>
    </row>
    <row r="539" spans="4:4" s="21" customFormat="1">
      <c r="D539" s="163"/>
    </row>
    <row r="540" spans="4:4" s="21" customFormat="1">
      <c r="D540" s="163"/>
    </row>
    <row r="541" spans="4:4" s="21" customFormat="1">
      <c r="D541" s="163"/>
    </row>
    <row r="542" spans="4:4" s="21" customFormat="1">
      <c r="D542" s="163"/>
    </row>
    <row r="543" spans="4:4" s="21" customFormat="1">
      <c r="D543" s="163"/>
    </row>
    <row r="544" spans="4:4" s="21" customFormat="1">
      <c r="D544" s="163"/>
    </row>
    <row r="545" spans="4:4" s="21" customFormat="1">
      <c r="D545" s="163"/>
    </row>
    <row r="546" spans="4:4" s="21" customFormat="1">
      <c r="D546" s="163"/>
    </row>
    <row r="547" spans="4:4" s="21" customFormat="1">
      <c r="D547" s="163"/>
    </row>
    <row r="548" spans="4:4" s="21" customFormat="1">
      <c r="D548" s="163"/>
    </row>
    <row r="549" spans="4:4" s="21" customFormat="1">
      <c r="D549" s="163"/>
    </row>
    <row r="550" spans="4:4" s="21" customFormat="1">
      <c r="D550" s="163"/>
    </row>
    <row r="551" spans="4:4" s="21" customFormat="1">
      <c r="D551" s="163"/>
    </row>
    <row r="552" spans="4:4" s="21" customFormat="1">
      <c r="D552" s="163"/>
    </row>
    <row r="553" spans="4:4" s="21" customFormat="1">
      <c r="D553" s="163"/>
    </row>
    <row r="554" spans="4:4" s="21" customFormat="1">
      <c r="D554" s="163"/>
    </row>
    <row r="555" spans="4:4" s="21" customFormat="1">
      <c r="D555" s="163"/>
    </row>
    <row r="556" spans="4:4" s="21" customFormat="1">
      <c r="D556" s="163"/>
    </row>
    <row r="557" spans="4:4" s="21" customFormat="1">
      <c r="D557" s="163"/>
    </row>
    <row r="558" spans="4:4" s="21" customFormat="1">
      <c r="D558" s="163"/>
    </row>
    <row r="559" spans="4:4" s="21" customFormat="1">
      <c r="D559" s="163"/>
    </row>
    <row r="560" spans="4:4" s="21" customFormat="1">
      <c r="D560" s="163"/>
    </row>
    <row r="561" spans="4:4" s="21" customFormat="1">
      <c r="D561" s="163"/>
    </row>
    <row r="562" spans="4:4" s="21" customFormat="1">
      <c r="D562" s="163"/>
    </row>
    <row r="563" spans="4:4" s="21" customFormat="1">
      <c r="D563" s="163"/>
    </row>
    <row r="564" spans="4:4" s="21" customFormat="1">
      <c r="D564" s="163"/>
    </row>
    <row r="565" spans="4:4" s="21" customFormat="1">
      <c r="D565" s="163"/>
    </row>
    <row r="566" spans="4:4" s="21" customFormat="1">
      <c r="D566" s="163"/>
    </row>
    <row r="567" spans="4:4" s="21" customFormat="1">
      <c r="D567" s="163"/>
    </row>
    <row r="568" spans="4:4" s="21" customFormat="1">
      <c r="D568" s="163"/>
    </row>
    <row r="569" spans="4:4" s="21" customFormat="1">
      <c r="D569" s="163"/>
    </row>
    <row r="570" spans="4:4" s="21" customFormat="1">
      <c r="D570" s="163"/>
    </row>
    <row r="571" spans="4:4" s="21" customFormat="1">
      <c r="D571" s="163"/>
    </row>
    <row r="572" spans="4:4" s="21" customFormat="1">
      <c r="D572" s="163"/>
    </row>
    <row r="573" spans="4:4" s="21" customFormat="1">
      <c r="D573" s="163"/>
    </row>
    <row r="574" spans="4:4" s="21" customFormat="1">
      <c r="D574" s="163"/>
    </row>
    <row r="575" spans="4:4" s="21" customFormat="1">
      <c r="D575" s="163"/>
    </row>
    <row r="576" spans="4:4" s="21" customFormat="1">
      <c r="D576" s="163"/>
    </row>
    <row r="577" spans="4:4" s="21" customFormat="1">
      <c r="D577" s="163"/>
    </row>
    <row r="578" spans="4:4" s="21" customFormat="1">
      <c r="D578" s="163"/>
    </row>
    <row r="579" spans="4:4" s="21" customFormat="1">
      <c r="D579" s="163"/>
    </row>
    <row r="580" spans="4:4" s="21" customFormat="1">
      <c r="D580" s="163"/>
    </row>
    <row r="581" spans="4:4" s="21" customFormat="1">
      <c r="D581" s="163"/>
    </row>
    <row r="582" spans="4:4" s="21" customFormat="1">
      <c r="D582" s="163"/>
    </row>
    <row r="583" spans="4:4" s="21" customFormat="1">
      <c r="D583" s="163"/>
    </row>
    <row r="584" spans="4:4" s="21" customFormat="1">
      <c r="D584" s="163"/>
    </row>
    <row r="585" spans="4:4" s="21" customFormat="1">
      <c r="D585" s="163"/>
    </row>
    <row r="586" spans="4:4" s="21" customFormat="1">
      <c r="D586" s="163"/>
    </row>
    <row r="587" spans="4:4" s="21" customFormat="1">
      <c r="D587" s="163"/>
    </row>
    <row r="588" spans="4:4" s="21" customFormat="1">
      <c r="D588" s="163"/>
    </row>
    <row r="589" spans="4:4" s="21" customFormat="1">
      <c r="D589" s="163"/>
    </row>
    <row r="590" spans="4:4" s="21" customFormat="1">
      <c r="D590" s="163"/>
    </row>
    <row r="591" spans="4:4" s="21" customFormat="1">
      <c r="D591" s="163"/>
    </row>
    <row r="592" spans="4:4" s="21" customFormat="1">
      <c r="D592" s="163"/>
    </row>
    <row r="593" spans="4:4" s="21" customFormat="1">
      <c r="D593" s="163"/>
    </row>
    <row r="594" spans="4:4" s="21" customFormat="1">
      <c r="D594" s="163"/>
    </row>
    <row r="595" spans="4:4" s="21" customFormat="1">
      <c r="D595" s="163"/>
    </row>
    <row r="596" spans="4:4" s="21" customFormat="1">
      <c r="D596" s="163"/>
    </row>
    <row r="597" spans="4:4" s="21" customFormat="1">
      <c r="D597" s="163"/>
    </row>
    <row r="598" spans="4:4" s="21" customFormat="1">
      <c r="D598" s="163"/>
    </row>
    <row r="599" spans="4:4" s="21" customFormat="1">
      <c r="D599" s="163"/>
    </row>
    <row r="600" spans="4:4" s="21" customFormat="1">
      <c r="D600" s="163"/>
    </row>
    <row r="601" spans="4:4" s="21" customFormat="1">
      <c r="D601" s="163"/>
    </row>
    <row r="602" spans="4:4" s="21" customFormat="1">
      <c r="D602" s="163"/>
    </row>
    <row r="603" spans="4:4" s="21" customFormat="1">
      <c r="D603" s="163"/>
    </row>
    <row r="604" spans="4:4" s="21" customFormat="1">
      <c r="D604" s="163"/>
    </row>
    <row r="605" spans="4:4" s="21" customFormat="1">
      <c r="D605" s="163"/>
    </row>
    <row r="606" spans="4:4" s="21" customFormat="1">
      <c r="D606" s="163"/>
    </row>
    <row r="607" spans="4:4" s="21" customFormat="1">
      <c r="D607" s="163"/>
    </row>
    <row r="608" spans="4:4" s="21" customFormat="1">
      <c r="D608" s="163"/>
    </row>
    <row r="609" spans="4:4" s="21" customFormat="1">
      <c r="D609" s="163"/>
    </row>
    <row r="610" spans="4:4" s="21" customFormat="1">
      <c r="D610" s="163"/>
    </row>
    <row r="611" spans="4:4" s="21" customFormat="1">
      <c r="D611" s="163"/>
    </row>
    <row r="612" spans="4:4" s="21" customFormat="1">
      <c r="D612" s="163"/>
    </row>
    <row r="613" spans="4:4" s="21" customFormat="1">
      <c r="D613" s="163"/>
    </row>
    <row r="614" spans="4:4" s="21" customFormat="1">
      <c r="D614" s="163"/>
    </row>
    <row r="615" spans="4:4" s="21" customFormat="1">
      <c r="D615" s="163"/>
    </row>
    <row r="616" spans="4:4" s="21" customFormat="1">
      <c r="D616" s="163"/>
    </row>
    <row r="617" spans="4:4" s="21" customFormat="1">
      <c r="D617" s="163"/>
    </row>
    <row r="618" spans="4:4" s="21" customFormat="1">
      <c r="D618" s="163"/>
    </row>
    <row r="619" spans="4:4" s="21" customFormat="1">
      <c r="D619" s="163"/>
    </row>
    <row r="620" spans="4:4" s="21" customFormat="1">
      <c r="D620" s="163"/>
    </row>
    <row r="621" spans="4:4" s="21" customFormat="1">
      <c r="D621" s="163"/>
    </row>
    <row r="622" spans="4:4" s="21" customFormat="1">
      <c r="D622" s="163"/>
    </row>
    <row r="623" spans="4:4" s="21" customFormat="1">
      <c r="D623" s="163"/>
    </row>
    <row r="624" spans="4:4" s="21" customFormat="1">
      <c r="D624" s="163"/>
    </row>
    <row r="625" spans="4:4" s="21" customFormat="1">
      <c r="D625" s="163"/>
    </row>
    <row r="626" spans="4:4" s="21" customFormat="1">
      <c r="D626" s="163"/>
    </row>
    <row r="627" spans="4:4" s="21" customFormat="1">
      <c r="D627" s="163"/>
    </row>
    <row r="628" spans="4:4" s="21" customFormat="1">
      <c r="D628" s="163"/>
    </row>
    <row r="629" spans="4:4" s="21" customFormat="1">
      <c r="D629" s="163"/>
    </row>
    <row r="630" spans="4:4" s="21" customFormat="1">
      <c r="D630" s="163"/>
    </row>
    <row r="631" spans="4:4" s="21" customFormat="1">
      <c r="D631" s="163"/>
    </row>
    <row r="632" spans="4:4" s="21" customFormat="1">
      <c r="D632" s="163"/>
    </row>
    <row r="633" spans="4:4" s="21" customFormat="1">
      <c r="D633" s="163"/>
    </row>
    <row r="634" spans="4:4" s="21" customFormat="1">
      <c r="D634" s="163"/>
    </row>
    <row r="635" spans="4:4" s="21" customFormat="1">
      <c r="D635" s="163"/>
    </row>
    <row r="636" spans="4:4" s="21" customFormat="1">
      <c r="D636" s="163"/>
    </row>
    <row r="637" spans="4:4" s="21" customFormat="1">
      <c r="D637" s="163"/>
    </row>
    <row r="638" spans="4:4" s="21" customFormat="1">
      <c r="D638" s="163"/>
    </row>
    <row r="639" spans="4:4" s="21" customFormat="1">
      <c r="D639" s="163"/>
    </row>
    <row r="640" spans="4:4" s="21" customFormat="1">
      <c r="D640" s="163"/>
    </row>
    <row r="641" spans="4:4" s="21" customFormat="1">
      <c r="D641" s="163"/>
    </row>
    <row r="642" spans="4:4" s="21" customFormat="1">
      <c r="D642" s="163"/>
    </row>
    <row r="643" spans="4:4" s="21" customFormat="1">
      <c r="D643" s="163"/>
    </row>
    <row r="644" spans="4:4" s="21" customFormat="1">
      <c r="D644" s="163"/>
    </row>
    <row r="645" spans="4:4" s="21" customFormat="1">
      <c r="D645" s="163"/>
    </row>
    <row r="646" spans="4:4" s="21" customFormat="1">
      <c r="D646" s="163"/>
    </row>
    <row r="647" spans="4:4" s="21" customFormat="1">
      <c r="D647" s="163"/>
    </row>
    <row r="648" spans="4:4" s="21" customFormat="1">
      <c r="D648" s="163"/>
    </row>
    <row r="649" spans="4:4" s="21" customFormat="1">
      <c r="D649" s="163"/>
    </row>
    <row r="650" spans="4:4" s="21" customFormat="1">
      <c r="D650" s="163"/>
    </row>
    <row r="651" spans="4:4" s="21" customFormat="1">
      <c r="D651" s="163"/>
    </row>
    <row r="652" spans="4:4" s="21" customFormat="1">
      <c r="D652" s="163"/>
    </row>
    <row r="653" spans="4:4" s="21" customFormat="1">
      <c r="D653" s="163"/>
    </row>
    <row r="654" spans="4:4" s="21" customFormat="1">
      <c r="D654" s="163"/>
    </row>
    <row r="655" spans="4:4" s="21" customFormat="1">
      <c r="D655" s="163"/>
    </row>
    <row r="656" spans="4:4" s="21" customFormat="1">
      <c r="D656" s="163"/>
    </row>
    <row r="657" spans="4:4" s="21" customFormat="1">
      <c r="D657" s="163"/>
    </row>
    <row r="658" spans="4:4" s="21" customFormat="1">
      <c r="D658" s="163"/>
    </row>
    <row r="659" spans="4:4" s="21" customFormat="1">
      <c r="D659" s="163"/>
    </row>
    <row r="660" spans="4:4" s="21" customFormat="1">
      <c r="D660" s="163"/>
    </row>
    <row r="661" spans="4:4" s="21" customFormat="1">
      <c r="D661" s="163"/>
    </row>
    <row r="662" spans="4:4" s="21" customFormat="1">
      <c r="D662" s="163"/>
    </row>
    <row r="663" spans="4:4" s="21" customFormat="1">
      <c r="D663" s="163"/>
    </row>
    <row r="664" spans="4:4" s="21" customFormat="1">
      <c r="D664" s="163"/>
    </row>
    <row r="665" spans="4:4" s="21" customFormat="1">
      <c r="D665" s="163"/>
    </row>
    <row r="666" spans="4:4" s="21" customFormat="1">
      <c r="D666" s="163"/>
    </row>
    <row r="667" spans="4:4" s="21" customFormat="1">
      <c r="D667" s="163"/>
    </row>
    <row r="668" spans="4:4" s="21" customFormat="1">
      <c r="D668" s="163"/>
    </row>
    <row r="669" spans="4:4" s="21" customFormat="1">
      <c r="D669" s="163"/>
    </row>
    <row r="670" spans="4:4" s="21" customFormat="1">
      <c r="D670" s="163"/>
    </row>
    <row r="671" spans="4:4" s="21" customFormat="1">
      <c r="D671" s="163"/>
    </row>
    <row r="672" spans="4:4" s="21" customFormat="1">
      <c r="D672" s="163"/>
    </row>
    <row r="673" spans="4:4" s="21" customFormat="1">
      <c r="D673" s="163"/>
    </row>
    <row r="674" spans="4:4" s="21" customFormat="1">
      <c r="D674" s="163"/>
    </row>
    <row r="675" spans="4:4" s="21" customFormat="1">
      <c r="D675" s="163"/>
    </row>
    <row r="676" spans="4:4" s="21" customFormat="1">
      <c r="D676" s="163"/>
    </row>
    <row r="677" spans="4:4" s="21" customFormat="1">
      <c r="D677" s="163"/>
    </row>
    <row r="678" spans="4:4" s="21" customFormat="1">
      <c r="D678" s="163"/>
    </row>
    <row r="679" spans="4:4" s="21" customFormat="1">
      <c r="D679" s="163"/>
    </row>
    <row r="680" spans="4:4" s="21" customFormat="1">
      <c r="D680" s="163"/>
    </row>
    <row r="681" spans="4:4" s="21" customFormat="1">
      <c r="D681" s="163"/>
    </row>
    <row r="682" spans="4:4" s="21" customFormat="1">
      <c r="D682" s="163"/>
    </row>
    <row r="683" spans="4:4" s="21" customFormat="1">
      <c r="D683" s="163"/>
    </row>
    <row r="684" spans="4:4" s="21" customFormat="1">
      <c r="D684" s="163"/>
    </row>
    <row r="685" spans="4:4" s="21" customFormat="1">
      <c r="D685" s="163"/>
    </row>
    <row r="686" spans="4:4" s="21" customFormat="1">
      <c r="D686" s="163"/>
    </row>
    <row r="687" spans="4:4" s="21" customFormat="1">
      <c r="D687" s="163"/>
    </row>
    <row r="688" spans="4:4" s="21" customFormat="1">
      <c r="D688" s="163"/>
    </row>
    <row r="689" spans="4:4" s="21" customFormat="1">
      <c r="D689" s="163"/>
    </row>
    <row r="690" spans="4:4" s="21" customFormat="1">
      <c r="D690" s="163"/>
    </row>
    <row r="691" spans="4:4" s="21" customFormat="1">
      <c r="D691" s="163"/>
    </row>
    <row r="692" spans="4:4" s="21" customFormat="1">
      <c r="D692" s="163"/>
    </row>
    <row r="693" spans="4:4" s="21" customFormat="1">
      <c r="D693" s="163"/>
    </row>
    <row r="694" spans="4:4" s="21" customFormat="1">
      <c r="D694" s="163"/>
    </row>
    <row r="695" spans="4:4" s="21" customFormat="1">
      <c r="D695" s="163"/>
    </row>
    <row r="696" spans="4:4" s="21" customFormat="1">
      <c r="D696" s="163"/>
    </row>
    <row r="697" spans="4:4" s="21" customFormat="1">
      <c r="D697" s="163"/>
    </row>
    <row r="698" spans="4:4" s="21" customFormat="1">
      <c r="D698" s="163"/>
    </row>
    <row r="699" spans="4:4" s="21" customFormat="1">
      <c r="D699" s="163"/>
    </row>
    <row r="700" spans="4:4" s="21" customFormat="1">
      <c r="D700" s="163"/>
    </row>
    <row r="701" spans="4:4" s="21" customFormat="1">
      <c r="D701" s="163"/>
    </row>
    <row r="702" spans="4:4" s="21" customFormat="1">
      <c r="D702" s="163"/>
    </row>
    <row r="703" spans="4:4" s="21" customFormat="1">
      <c r="D703" s="163"/>
    </row>
    <row r="704" spans="4:4" s="21" customFormat="1">
      <c r="D704" s="163"/>
    </row>
    <row r="705" spans="4:4" s="21" customFormat="1">
      <c r="D705" s="163"/>
    </row>
    <row r="706" spans="4:4" s="21" customFormat="1">
      <c r="D706" s="163"/>
    </row>
    <row r="707" spans="4:4" s="21" customFormat="1">
      <c r="D707" s="163"/>
    </row>
    <row r="708" spans="4:4" s="21" customFormat="1">
      <c r="D708" s="163"/>
    </row>
    <row r="709" spans="4:4" s="21" customFormat="1">
      <c r="D709" s="163"/>
    </row>
    <row r="710" spans="4:4" s="21" customFormat="1">
      <c r="D710" s="163"/>
    </row>
    <row r="711" spans="4:4" s="21" customFormat="1">
      <c r="D711" s="163"/>
    </row>
    <row r="712" spans="4:4" s="21" customFormat="1">
      <c r="D712" s="163"/>
    </row>
    <row r="713" spans="4:4" s="21" customFormat="1">
      <c r="D713" s="163"/>
    </row>
    <row r="714" spans="4:4" s="21" customFormat="1">
      <c r="D714" s="163"/>
    </row>
    <row r="715" spans="4:4" s="21" customFormat="1">
      <c r="D715" s="163"/>
    </row>
    <row r="716" spans="4:4" s="21" customFormat="1">
      <c r="D716" s="163"/>
    </row>
    <row r="717" spans="4:4" s="21" customFormat="1">
      <c r="D717" s="163"/>
    </row>
    <row r="718" spans="4:4" s="21" customFormat="1">
      <c r="D718" s="163"/>
    </row>
    <row r="719" spans="4:4" s="21" customFormat="1">
      <c r="D719" s="163"/>
    </row>
    <row r="720" spans="4:4" s="21" customFormat="1">
      <c r="D720" s="163"/>
    </row>
    <row r="721" spans="4:4" s="21" customFormat="1">
      <c r="D721" s="163"/>
    </row>
    <row r="722" spans="4:4" s="21" customFormat="1">
      <c r="D722" s="163"/>
    </row>
    <row r="723" spans="4:4" s="21" customFormat="1">
      <c r="D723" s="163"/>
    </row>
    <row r="724" spans="4:4" s="21" customFormat="1">
      <c r="D724" s="163"/>
    </row>
    <row r="725" spans="4:4" s="21" customFormat="1">
      <c r="D725" s="163"/>
    </row>
    <row r="726" spans="4:4" s="21" customFormat="1">
      <c r="D726" s="163"/>
    </row>
    <row r="727" spans="4:4" s="21" customFormat="1">
      <c r="D727" s="163"/>
    </row>
    <row r="728" spans="4:4" s="21" customFormat="1">
      <c r="D728" s="163"/>
    </row>
    <row r="729" spans="4:4" s="21" customFormat="1">
      <c r="D729" s="163"/>
    </row>
    <row r="730" spans="4:4" s="21" customFormat="1">
      <c r="D730" s="163"/>
    </row>
    <row r="731" spans="4:4" s="21" customFormat="1">
      <c r="D731" s="163"/>
    </row>
    <row r="732" spans="4:4" s="21" customFormat="1">
      <c r="D732" s="163"/>
    </row>
    <row r="733" spans="4:4" s="21" customFormat="1">
      <c r="D733" s="163"/>
    </row>
    <row r="734" spans="4:4" s="21" customFormat="1">
      <c r="D734" s="163"/>
    </row>
    <row r="735" spans="4:4" s="21" customFormat="1">
      <c r="D735" s="163"/>
    </row>
    <row r="736" spans="4:4" s="21" customFormat="1">
      <c r="D736" s="163"/>
    </row>
    <row r="737" spans="4:4" s="21" customFormat="1">
      <c r="D737" s="163"/>
    </row>
    <row r="738" spans="4:4" s="21" customFormat="1">
      <c r="D738" s="163"/>
    </row>
    <row r="739" spans="4:4" s="21" customFormat="1">
      <c r="D739" s="163"/>
    </row>
    <row r="740" spans="4:4" s="21" customFormat="1">
      <c r="D740" s="163"/>
    </row>
    <row r="741" spans="4:4" s="21" customFormat="1">
      <c r="D741" s="163"/>
    </row>
    <row r="742" spans="4:4" s="21" customFormat="1">
      <c r="D742" s="163"/>
    </row>
    <row r="743" spans="4:4" s="21" customFormat="1">
      <c r="D743" s="163"/>
    </row>
    <row r="744" spans="4:4" s="21" customFormat="1">
      <c r="D744" s="163"/>
    </row>
    <row r="745" spans="4:4" s="21" customFormat="1">
      <c r="D745" s="163"/>
    </row>
    <row r="746" spans="4:4" s="21" customFormat="1">
      <c r="D746" s="163"/>
    </row>
    <row r="747" spans="4:4" s="21" customFormat="1">
      <c r="D747" s="163"/>
    </row>
    <row r="748" spans="4:4" s="21" customFormat="1">
      <c r="D748" s="163"/>
    </row>
    <row r="749" spans="4:4" s="21" customFormat="1">
      <c r="D749" s="163"/>
    </row>
    <row r="750" spans="4:4" s="21" customFormat="1">
      <c r="D750" s="163"/>
    </row>
    <row r="751" spans="4:4" s="21" customFormat="1">
      <c r="D751" s="163"/>
    </row>
    <row r="752" spans="4:4" s="21" customFormat="1">
      <c r="D752" s="163"/>
    </row>
    <row r="753" spans="4:4" s="21" customFormat="1">
      <c r="D753" s="163"/>
    </row>
    <row r="754" spans="4:4" s="21" customFormat="1">
      <c r="D754" s="163"/>
    </row>
    <row r="755" spans="4:4" s="21" customFormat="1">
      <c r="D755" s="163"/>
    </row>
    <row r="756" spans="4:4" s="21" customFormat="1">
      <c r="D756" s="163"/>
    </row>
    <row r="757" spans="4:4" s="21" customFormat="1">
      <c r="D757" s="163"/>
    </row>
    <row r="758" spans="4:4" s="21" customFormat="1">
      <c r="D758" s="163"/>
    </row>
    <row r="759" spans="4:4" s="21" customFormat="1">
      <c r="D759" s="163"/>
    </row>
    <row r="760" spans="4:4" s="21" customFormat="1">
      <c r="D760" s="163"/>
    </row>
    <row r="761" spans="4:4" s="21" customFormat="1">
      <c r="D761" s="163"/>
    </row>
    <row r="762" spans="4:4" s="21" customFormat="1">
      <c r="D762" s="163"/>
    </row>
    <row r="763" spans="4:4" s="21" customFormat="1">
      <c r="D763" s="163"/>
    </row>
    <row r="764" spans="4:4" s="21" customFormat="1">
      <c r="D764" s="163"/>
    </row>
    <row r="765" spans="4:4" s="21" customFormat="1">
      <c r="D765" s="163"/>
    </row>
    <row r="766" spans="4:4" s="21" customFormat="1">
      <c r="D766" s="163"/>
    </row>
    <row r="767" spans="4:4" s="21" customFormat="1">
      <c r="D767" s="163"/>
    </row>
    <row r="768" spans="4:4" s="21" customFormat="1">
      <c r="D768" s="163"/>
    </row>
    <row r="769" spans="4:4" s="21" customFormat="1">
      <c r="D769" s="163"/>
    </row>
    <row r="770" spans="4:4" s="21" customFormat="1">
      <c r="D770" s="163"/>
    </row>
    <row r="771" spans="4:4" s="21" customFormat="1">
      <c r="D771" s="163"/>
    </row>
    <row r="772" spans="4:4" s="21" customFormat="1">
      <c r="D772" s="163"/>
    </row>
    <row r="773" spans="4:4" s="21" customFormat="1">
      <c r="D773" s="163"/>
    </row>
    <row r="774" spans="4:4" s="21" customFormat="1">
      <c r="D774" s="163"/>
    </row>
    <row r="775" spans="4:4" s="21" customFormat="1">
      <c r="D775" s="163"/>
    </row>
    <row r="776" spans="4:4" s="21" customFormat="1">
      <c r="D776" s="163"/>
    </row>
    <row r="777" spans="4:4" s="21" customFormat="1">
      <c r="D777" s="163"/>
    </row>
    <row r="778" spans="4:4" s="21" customFormat="1">
      <c r="D778" s="163"/>
    </row>
    <row r="779" spans="4:4" s="21" customFormat="1">
      <c r="D779" s="163"/>
    </row>
    <row r="780" spans="4:4" s="21" customFormat="1">
      <c r="D780" s="163"/>
    </row>
    <row r="781" spans="4:4" s="21" customFormat="1">
      <c r="D781" s="163"/>
    </row>
    <row r="782" spans="4:4" s="21" customFormat="1">
      <c r="D782" s="163"/>
    </row>
    <row r="783" spans="4:4" s="21" customFormat="1">
      <c r="D783" s="163"/>
    </row>
    <row r="784" spans="4:4" s="21" customFormat="1">
      <c r="D784" s="163"/>
    </row>
    <row r="785" spans="4:4" s="21" customFormat="1">
      <c r="D785" s="163"/>
    </row>
    <row r="786" spans="4:4" s="21" customFormat="1">
      <c r="D786" s="163"/>
    </row>
    <row r="787" spans="4:4" s="21" customFormat="1">
      <c r="D787" s="163"/>
    </row>
    <row r="788" spans="4:4" s="21" customFormat="1">
      <c r="D788" s="163"/>
    </row>
    <row r="789" spans="4:4" s="21" customFormat="1">
      <c r="D789" s="163"/>
    </row>
    <row r="790" spans="4:4" s="21" customFormat="1">
      <c r="D790" s="163"/>
    </row>
    <row r="791" spans="4:4" s="21" customFormat="1">
      <c r="D791" s="163"/>
    </row>
    <row r="792" spans="4:4" s="21" customFormat="1">
      <c r="D792" s="163"/>
    </row>
    <row r="793" spans="4:4" s="21" customFormat="1">
      <c r="D793" s="163"/>
    </row>
    <row r="794" spans="4:4" s="21" customFormat="1">
      <c r="D794" s="163"/>
    </row>
    <row r="795" spans="4:4" s="21" customFormat="1">
      <c r="D795" s="163"/>
    </row>
    <row r="796" spans="4:4" s="21" customFormat="1">
      <c r="D796" s="163"/>
    </row>
    <row r="797" spans="4:4" s="21" customFormat="1">
      <c r="D797" s="163"/>
    </row>
    <row r="798" spans="4:4" s="21" customFormat="1">
      <c r="D798" s="163"/>
    </row>
    <row r="799" spans="4:4" s="21" customFormat="1">
      <c r="D799" s="163"/>
    </row>
    <row r="800" spans="4:4" s="21" customFormat="1">
      <c r="D800" s="163"/>
    </row>
    <row r="801" spans="4:4" s="21" customFormat="1">
      <c r="D801" s="163"/>
    </row>
    <row r="802" spans="4:4" s="21" customFormat="1">
      <c r="D802" s="163"/>
    </row>
    <row r="803" spans="4:4" s="21" customFormat="1">
      <c r="D803" s="163"/>
    </row>
    <row r="804" spans="4:4" s="21" customFormat="1">
      <c r="D804" s="163"/>
    </row>
    <row r="805" spans="4:4" s="21" customFormat="1">
      <c r="D805" s="163"/>
    </row>
    <row r="806" spans="4:4" s="21" customFormat="1">
      <c r="D806" s="163"/>
    </row>
    <row r="807" spans="4:4" s="21" customFormat="1">
      <c r="D807" s="163"/>
    </row>
    <row r="808" spans="4:4" s="21" customFormat="1">
      <c r="D808" s="163"/>
    </row>
    <row r="809" spans="4:4" s="21" customFormat="1">
      <c r="D809" s="163"/>
    </row>
    <row r="810" spans="4:4" s="21" customFormat="1">
      <c r="D810" s="163"/>
    </row>
    <row r="811" spans="4:4" s="21" customFormat="1">
      <c r="D811" s="163"/>
    </row>
    <row r="812" spans="4:4" s="21" customFormat="1">
      <c r="D812" s="163"/>
    </row>
    <row r="813" spans="4:4" s="21" customFormat="1">
      <c r="D813" s="163"/>
    </row>
    <row r="814" spans="4:4" s="21" customFormat="1">
      <c r="D814" s="163"/>
    </row>
    <row r="815" spans="4:4" s="21" customFormat="1">
      <c r="D815" s="163"/>
    </row>
    <row r="816" spans="4:4" s="21" customFormat="1">
      <c r="D816" s="163"/>
    </row>
    <row r="817" spans="4:4" s="21" customFormat="1">
      <c r="D817" s="163"/>
    </row>
    <row r="818" spans="4:4" s="21" customFormat="1">
      <c r="D818" s="163"/>
    </row>
    <row r="819" spans="4:4" s="21" customFormat="1">
      <c r="D819" s="163"/>
    </row>
    <row r="820" spans="4:4" s="21" customFormat="1">
      <c r="D820" s="163"/>
    </row>
    <row r="821" spans="4:4" s="21" customFormat="1">
      <c r="D821" s="163"/>
    </row>
    <row r="822" spans="4:4" s="21" customFormat="1">
      <c r="D822" s="163"/>
    </row>
    <row r="823" spans="4:4" s="21" customFormat="1">
      <c r="D823" s="163"/>
    </row>
    <row r="824" spans="4:4" s="21" customFormat="1">
      <c r="D824" s="163"/>
    </row>
    <row r="825" spans="4:4" s="21" customFormat="1">
      <c r="D825" s="163"/>
    </row>
    <row r="826" spans="4:4" s="21" customFormat="1">
      <c r="D826" s="163"/>
    </row>
    <row r="827" spans="4:4" s="21" customFormat="1">
      <c r="D827" s="163"/>
    </row>
    <row r="828" spans="4:4" s="21" customFormat="1">
      <c r="D828" s="163"/>
    </row>
    <row r="829" spans="4:4" s="21" customFormat="1">
      <c r="D829" s="163"/>
    </row>
    <row r="830" spans="4:4" s="21" customFormat="1">
      <c r="D830" s="163"/>
    </row>
    <row r="831" spans="4:4" s="21" customFormat="1">
      <c r="D831" s="163"/>
    </row>
    <row r="832" spans="4:4" s="21" customFormat="1">
      <c r="D832" s="163"/>
    </row>
    <row r="833" spans="4:4" s="21" customFormat="1">
      <c r="D833" s="163"/>
    </row>
    <row r="834" spans="4:4" s="21" customFormat="1">
      <c r="D834" s="163"/>
    </row>
    <row r="835" spans="4:4" s="21" customFormat="1">
      <c r="D835" s="163"/>
    </row>
    <row r="836" spans="4:4" s="21" customFormat="1">
      <c r="D836" s="163"/>
    </row>
    <row r="837" spans="4:4" s="21" customFormat="1">
      <c r="D837" s="163"/>
    </row>
    <row r="838" spans="4:4" s="21" customFormat="1">
      <c r="D838" s="163"/>
    </row>
    <row r="839" spans="4:4" s="21" customFormat="1">
      <c r="D839" s="163"/>
    </row>
    <row r="840" spans="4:4" s="21" customFormat="1">
      <c r="D840" s="163"/>
    </row>
    <row r="841" spans="4:4" s="21" customFormat="1">
      <c r="D841" s="163"/>
    </row>
    <row r="842" spans="4:4" s="21" customFormat="1">
      <c r="D842" s="163"/>
    </row>
    <row r="843" spans="4:4" s="21" customFormat="1">
      <c r="D843" s="163"/>
    </row>
    <row r="844" spans="4:4" s="21" customFormat="1">
      <c r="D844" s="163"/>
    </row>
    <row r="845" spans="4:4" s="21" customFormat="1">
      <c r="D845" s="163"/>
    </row>
    <row r="846" spans="4:4" s="21" customFormat="1">
      <c r="D846" s="163"/>
    </row>
    <row r="847" spans="4:4" s="21" customFormat="1">
      <c r="D847" s="163"/>
    </row>
    <row r="848" spans="4:4" s="21" customFormat="1">
      <c r="D848" s="163"/>
    </row>
    <row r="849" spans="4:4" s="21" customFormat="1">
      <c r="D849" s="163"/>
    </row>
    <row r="850" spans="4:4" s="21" customFormat="1">
      <c r="D850" s="163"/>
    </row>
    <row r="851" spans="4:4" s="21" customFormat="1">
      <c r="D851" s="163"/>
    </row>
    <row r="852" spans="4:4" s="21" customFormat="1">
      <c r="D852" s="163"/>
    </row>
    <row r="853" spans="4:4" s="21" customFormat="1">
      <c r="D853" s="163"/>
    </row>
    <row r="854" spans="4:4" s="21" customFormat="1">
      <c r="D854" s="163"/>
    </row>
    <row r="855" spans="4:4" s="21" customFormat="1">
      <c r="D855" s="163"/>
    </row>
    <row r="856" spans="4:4" s="21" customFormat="1">
      <c r="D856" s="163"/>
    </row>
    <row r="857" spans="4:4" s="21" customFormat="1">
      <c r="D857" s="163"/>
    </row>
    <row r="858" spans="4:4" s="21" customFormat="1">
      <c r="D858" s="163"/>
    </row>
    <row r="859" spans="4:4" s="21" customFormat="1">
      <c r="D859" s="163"/>
    </row>
    <row r="860" spans="4:4" s="21" customFormat="1">
      <c r="D860" s="163"/>
    </row>
    <row r="861" spans="4:4" s="21" customFormat="1">
      <c r="D861" s="163"/>
    </row>
    <row r="862" spans="4:4" s="21" customFormat="1">
      <c r="D862" s="163"/>
    </row>
    <row r="863" spans="4:4" s="21" customFormat="1">
      <c r="D863" s="163"/>
    </row>
    <row r="864" spans="4:4" s="21" customFormat="1">
      <c r="D864" s="163"/>
    </row>
    <row r="865" spans="4:4" s="21" customFormat="1">
      <c r="D865" s="163"/>
    </row>
    <row r="866" spans="4:4" s="21" customFormat="1">
      <c r="D866" s="163"/>
    </row>
    <row r="867" spans="4:4" s="21" customFormat="1">
      <c r="D867" s="163"/>
    </row>
    <row r="868" spans="4:4" s="21" customFormat="1">
      <c r="D868" s="163"/>
    </row>
    <row r="869" spans="4:4" s="21" customFormat="1">
      <c r="D869" s="163"/>
    </row>
    <row r="870" spans="4:4" s="21" customFormat="1">
      <c r="D870" s="163"/>
    </row>
    <row r="871" spans="4:4" s="21" customFormat="1">
      <c r="D871" s="163"/>
    </row>
    <row r="872" spans="4:4" s="21" customFormat="1">
      <c r="D872" s="163"/>
    </row>
    <row r="873" spans="4:4" s="21" customFormat="1">
      <c r="D873" s="163"/>
    </row>
    <row r="874" spans="4:4" s="21" customFormat="1">
      <c r="D874" s="163"/>
    </row>
    <row r="875" spans="4:4" s="21" customFormat="1">
      <c r="D875" s="163"/>
    </row>
    <row r="876" spans="4:4" s="21" customFormat="1">
      <c r="D876" s="163"/>
    </row>
    <row r="877" spans="4:4" s="21" customFormat="1">
      <c r="D877" s="163"/>
    </row>
    <row r="878" spans="4:4" s="21" customFormat="1">
      <c r="D878" s="163"/>
    </row>
    <row r="879" spans="4:4" s="21" customFormat="1">
      <c r="D879" s="163"/>
    </row>
    <row r="880" spans="4:4" s="21" customFormat="1">
      <c r="D880" s="163"/>
    </row>
    <row r="881" spans="4:4" s="21" customFormat="1">
      <c r="D881" s="163"/>
    </row>
    <row r="882" spans="4:4" s="21" customFormat="1">
      <c r="D882" s="163"/>
    </row>
    <row r="883" spans="4:4" s="21" customFormat="1">
      <c r="D883" s="163"/>
    </row>
    <row r="884" spans="4:4" s="21" customFormat="1">
      <c r="D884" s="163"/>
    </row>
    <row r="885" spans="4:4" s="21" customFormat="1">
      <c r="D885" s="163"/>
    </row>
    <row r="886" spans="4:4" s="21" customFormat="1">
      <c r="D886" s="163"/>
    </row>
    <row r="887" spans="4:4" s="21" customFormat="1">
      <c r="D887" s="163"/>
    </row>
    <row r="888" spans="4:4" s="21" customFormat="1">
      <c r="D888" s="163"/>
    </row>
    <row r="889" spans="4:4" s="21" customFormat="1">
      <c r="D889" s="163"/>
    </row>
    <row r="890" spans="4:4" s="21" customFormat="1">
      <c r="D890" s="163"/>
    </row>
    <row r="891" spans="4:4" s="21" customFormat="1">
      <c r="D891" s="163"/>
    </row>
    <row r="892" spans="4:4" s="21" customFormat="1">
      <c r="D892" s="163"/>
    </row>
    <row r="893" spans="4:4" s="21" customFormat="1">
      <c r="D893" s="163"/>
    </row>
    <row r="894" spans="4:4" s="21" customFormat="1">
      <c r="D894" s="163"/>
    </row>
    <row r="895" spans="4:4" s="21" customFormat="1">
      <c r="D895" s="163"/>
    </row>
    <row r="896" spans="4:4" s="21" customFormat="1">
      <c r="D896" s="163"/>
    </row>
    <row r="897" spans="4:4" s="21" customFormat="1">
      <c r="D897" s="163"/>
    </row>
    <row r="898" spans="4:4" s="21" customFormat="1">
      <c r="D898" s="163"/>
    </row>
    <row r="899" spans="4:4" s="21" customFormat="1">
      <c r="D899" s="163"/>
    </row>
    <row r="900" spans="4:4" s="21" customFormat="1">
      <c r="D900" s="163"/>
    </row>
    <row r="901" spans="4:4" s="21" customFormat="1">
      <c r="D901" s="163"/>
    </row>
    <row r="902" spans="4:4" s="21" customFormat="1">
      <c r="D902" s="163"/>
    </row>
    <row r="903" spans="4:4" s="21" customFormat="1">
      <c r="D903" s="163"/>
    </row>
    <row r="904" spans="4:4" s="21" customFormat="1">
      <c r="D904" s="163"/>
    </row>
    <row r="905" spans="4:4" s="21" customFormat="1">
      <c r="D905" s="163"/>
    </row>
    <row r="906" spans="4:4" s="21" customFormat="1">
      <c r="D906" s="163"/>
    </row>
    <row r="907" spans="4:4" s="21" customFormat="1">
      <c r="D907" s="163"/>
    </row>
    <row r="908" spans="4:4" s="21" customFormat="1">
      <c r="D908" s="163"/>
    </row>
    <row r="909" spans="4:4" s="21" customFormat="1">
      <c r="D909" s="163"/>
    </row>
    <row r="910" spans="4:4" s="21" customFormat="1">
      <c r="D910" s="163"/>
    </row>
    <row r="911" spans="4:4" s="21" customFormat="1">
      <c r="D911" s="163"/>
    </row>
    <row r="912" spans="4:4" s="21" customFormat="1">
      <c r="D912" s="163"/>
    </row>
    <row r="913" spans="4:4" s="21" customFormat="1">
      <c r="D913" s="163"/>
    </row>
    <row r="914" spans="4:4" s="21" customFormat="1">
      <c r="D914" s="163"/>
    </row>
    <row r="915" spans="4:4" s="21" customFormat="1">
      <c r="D915" s="163"/>
    </row>
    <row r="916" spans="4:4" s="21" customFormat="1">
      <c r="D916" s="163"/>
    </row>
    <row r="917" spans="4:4" s="21" customFormat="1">
      <c r="D917" s="163"/>
    </row>
    <row r="918" spans="4:4" s="21" customFormat="1">
      <c r="D918" s="163"/>
    </row>
    <row r="919" spans="4:4" s="21" customFormat="1">
      <c r="D919" s="163"/>
    </row>
    <row r="920" spans="4:4" s="21" customFormat="1">
      <c r="D920" s="163"/>
    </row>
    <row r="921" spans="4:4" s="21" customFormat="1">
      <c r="D921" s="163"/>
    </row>
    <row r="922" spans="4:4" s="21" customFormat="1">
      <c r="D922" s="163"/>
    </row>
    <row r="923" spans="4:4" s="21" customFormat="1">
      <c r="D923" s="163"/>
    </row>
    <row r="924" spans="4:4" s="21" customFormat="1">
      <c r="D924" s="163"/>
    </row>
    <row r="925" spans="4:4" s="21" customFormat="1">
      <c r="D925" s="163"/>
    </row>
    <row r="926" spans="4:4" s="21" customFormat="1">
      <c r="D926" s="163"/>
    </row>
    <row r="927" spans="4:4" s="21" customFormat="1">
      <c r="D927" s="163"/>
    </row>
    <row r="928" spans="4:4" s="21" customFormat="1">
      <c r="D928" s="163"/>
    </row>
    <row r="929" spans="4:4" s="21" customFormat="1">
      <c r="D929" s="163"/>
    </row>
    <row r="930" spans="4:4" s="21" customFormat="1">
      <c r="D930" s="163"/>
    </row>
    <row r="931" spans="4:4" s="21" customFormat="1">
      <c r="D931" s="163"/>
    </row>
    <row r="932" spans="4:4" s="21" customFormat="1">
      <c r="D932" s="163"/>
    </row>
    <row r="933" spans="4:4" s="21" customFormat="1">
      <c r="D933" s="163"/>
    </row>
    <row r="934" spans="4:4" s="21" customFormat="1">
      <c r="D934" s="163"/>
    </row>
    <row r="935" spans="4:4" s="21" customFormat="1">
      <c r="D935" s="163"/>
    </row>
    <row r="936" spans="4:4" s="21" customFormat="1">
      <c r="D936" s="163"/>
    </row>
    <row r="937" spans="4:4" s="21" customFormat="1">
      <c r="D937" s="163"/>
    </row>
    <row r="938" spans="4:4" s="21" customFormat="1">
      <c r="D938" s="163"/>
    </row>
    <row r="939" spans="4:4" s="21" customFormat="1">
      <c r="D939" s="163"/>
    </row>
    <row r="940" spans="4:4" s="21" customFormat="1">
      <c r="D940" s="163"/>
    </row>
    <row r="941" spans="4:4" s="21" customFormat="1">
      <c r="D941" s="163"/>
    </row>
    <row r="942" spans="4:4" s="21" customFormat="1">
      <c r="D942" s="163"/>
    </row>
    <row r="943" spans="4:4" s="21" customFormat="1">
      <c r="D943" s="163"/>
    </row>
    <row r="944" spans="4:4" s="21" customFormat="1">
      <c r="D944" s="163"/>
    </row>
    <row r="945" spans="4:4" s="21" customFormat="1">
      <c r="D945" s="163"/>
    </row>
    <row r="946" spans="4:4" s="21" customFormat="1">
      <c r="D946" s="163"/>
    </row>
    <row r="947" spans="4:4" s="21" customFormat="1">
      <c r="D947" s="163"/>
    </row>
    <row r="948" spans="4:4" s="21" customFormat="1">
      <c r="D948" s="163"/>
    </row>
    <row r="949" spans="4:4" s="21" customFormat="1">
      <c r="D949" s="163"/>
    </row>
    <row r="950" spans="4:4" s="21" customFormat="1">
      <c r="D950" s="163"/>
    </row>
    <row r="951" spans="4:4" s="21" customFormat="1">
      <c r="D951" s="163"/>
    </row>
    <row r="952" spans="4:4" s="21" customFormat="1">
      <c r="D952" s="163"/>
    </row>
    <row r="953" spans="4:4" s="21" customFormat="1">
      <c r="D953" s="163"/>
    </row>
    <row r="954" spans="4:4" s="21" customFormat="1">
      <c r="D954" s="163"/>
    </row>
    <row r="955" spans="4:4" s="21" customFormat="1">
      <c r="D955" s="163"/>
    </row>
    <row r="956" spans="4:4" s="21" customFormat="1">
      <c r="D956" s="163"/>
    </row>
    <row r="957" spans="4:4" s="21" customFormat="1">
      <c r="D957" s="163"/>
    </row>
    <row r="958" spans="4:4" s="21" customFormat="1">
      <c r="D958" s="163"/>
    </row>
    <row r="959" spans="4:4" s="21" customFormat="1">
      <c r="D959" s="163"/>
    </row>
    <row r="960" spans="4:4" s="21" customFormat="1">
      <c r="D960" s="163"/>
    </row>
    <row r="961" spans="4:4" s="21" customFormat="1">
      <c r="D961" s="163"/>
    </row>
    <row r="962" spans="4:4" s="21" customFormat="1">
      <c r="D962" s="163"/>
    </row>
    <row r="963" spans="4:4" s="21" customFormat="1">
      <c r="D963" s="163"/>
    </row>
    <row r="964" spans="4:4" s="21" customFormat="1">
      <c r="D964" s="163"/>
    </row>
    <row r="965" spans="4:4" s="21" customFormat="1">
      <c r="D965" s="163"/>
    </row>
    <row r="966" spans="4:4" s="21" customFormat="1">
      <c r="D966" s="163"/>
    </row>
    <row r="967" spans="4:4" s="21" customFormat="1">
      <c r="D967" s="163"/>
    </row>
    <row r="968" spans="4:4" s="21" customFormat="1">
      <c r="D968" s="163"/>
    </row>
    <row r="969" spans="4:4" s="21" customFormat="1">
      <c r="D969" s="163"/>
    </row>
    <row r="970" spans="4:4" s="21" customFormat="1">
      <c r="D970" s="163"/>
    </row>
    <row r="971" spans="4:4" s="21" customFormat="1">
      <c r="D971" s="163"/>
    </row>
    <row r="972" spans="4:4" s="21" customFormat="1">
      <c r="D972" s="163"/>
    </row>
    <row r="973" spans="4:4" s="21" customFormat="1">
      <c r="D973" s="163"/>
    </row>
    <row r="974" spans="4:4" s="21" customFormat="1">
      <c r="D974" s="163"/>
    </row>
    <row r="975" spans="4:4" s="21" customFormat="1">
      <c r="D975" s="163"/>
    </row>
    <row r="976" spans="4:4" s="21" customFormat="1">
      <c r="D976" s="163"/>
    </row>
    <row r="977" spans="4:4" s="21" customFormat="1">
      <c r="D977" s="163"/>
    </row>
    <row r="978" spans="4:4" s="21" customFormat="1">
      <c r="D978" s="163"/>
    </row>
    <row r="979" spans="4:4" s="21" customFormat="1">
      <c r="D979" s="163"/>
    </row>
    <row r="980" spans="4:4" s="21" customFormat="1">
      <c r="D980" s="163"/>
    </row>
    <row r="981" spans="4:4" s="21" customFormat="1">
      <c r="D981" s="163"/>
    </row>
    <row r="982" spans="4:4" s="21" customFormat="1">
      <c r="D982" s="163"/>
    </row>
    <row r="983" spans="4:4" s="21" customFormat="1">
      <c r="D983" s="163"/>
    </row>
    <row r="984" spans="4:4" s="21" customFormat="1">
      <c r="D984" s="163"/>
    </row>
    <row r="985" spans="4:4" s="21" customFormat="1">
      <c r="D985" s="163"/>
    </row>
    <row r="986" spans="4:4" s="21" customFormat="1">
      <c r="D986" s="163"/>
    </row>
    <row r="987" spans="4:4" s="21" customFormat="1">
      <c r="D987" s="163"/>
    </row>
    <row r="988" spans="4:4" s="21" customFormat="1">
      <c r="D988" s="163"/>
    </row>
    <row r="989" spans="4:4" s="21" customFormat="1">
      <c r="D989" s="163"/>
    </row>
    <row r="990" spans="4:4" s="21" customFormat="1">
      <c r="D990" s="163"/>
    </row>
    <row r="991" spans="4:4" s="21" customFormat="1">
      <c r="D991" s="163"/>
    </row>
    <row r="992" spans="4:4" s="21" customFormat="1">
      <c r="D992" s="163"/>
    </row>
    <row r="993" spans="4:4" s="21" customFormat="1">
      <c r="D993" s="163"/>
    </row>
    <row r="994" spans="4:4" s="21" customFormat="1">
      <c r="D994" s="163"/>
    </row>
    <row r="995" spans="4:4" s="21" customFormat="1">
      <c r="D995" s="163"/>
    </row>
    <row r="996" spans="4:4" s="21" customFormat="1">
      <c r="D996" s="163"/>
    </row>
    <row r="997" spans="4:4" s="21" customFormat="1">
      <c r="D997" s="163"/>
    </row>
    <row r="998" spans="4:4" s="21" customFormat="1">
      <c r="D998" s="163"/>
    </row>
    <row r="999" spans="4:4" s="21" customFormat="1">
      <c r="D999" s="163"/>
    </row>
    <row r="1000" spans="4:4" s="21" customFormat="1">
      <c r="D1000" s="163"/>
    </row>
    <row r="1001" spans="4:4" s="21" customFormat="1">
      <c r="D1001" s="163"/>
    </row>
    <row r="1002" spans="4:4" s="21" customFormat="1">
      <c r="D1002" s="163"/>
    </row>
    <row r="1003" spans="4:4" s="21" customFormat="1">
      <c r="D1003" s="163"/>
    </row>
    <row r="1004" spans="4:4" s="21" customFormat="1">
      <c r="D1004" s="163"/>
    </row>
    <row r="1005" spans="4:4" s="21" customFormat="1">
      <c r="D1005" s="163"/>
    </row>
    <row r="1006" spans="4:4" s="21" customFormat="1">
      <c r="D1006" s="163"/>
    </row>
    <row r="1007" spans="4:4" s="21" customFormat="1">
      <c r="D1007" s="163"/>
    </row>
    <row r="1008" spans="4:4" s="21" customFormat="1">
      <c r="D1008" s="163"/>
    </row>
    <row r="1009" spans="4:4" s="21" customFormat="1">
      <c r="D1009" s="163"/>
    </row>
    <row r="1010" spans="4:4" s="21" customFormat="1">
      <c r="D1010" s="163"/>
    </row>
    <row r="1011" spans="4:4" s="21" customFormat="1">
      <c r="D1011" s="163"/>
    </row>
    <row r="1012" spans="4:4" s="21" customFormat="1">
      <c r="D1012" s="163"/>
    </row>
    <row r="1013" spans="4:4" s="21" customFormat="1">
      <c r="D1013" s="163"/>
    </row>
    <row r="1014" spans="4:4" s="21" customFormat="1">
      <c r="D1014" s="163"/>
    </row>
    <row r="1015" spans="4:4" s="21" customFormat="1">
      <c r="D1015" s="163"/>
    </row>
    <row r="1016" spans="4:4" s="21" customFormat="1">
      <c r="D1016" s="163"/>
    </row>
    <row r="1017" spans="4:4" s="21" customFormat="1">
      <c r="D1017" s="163"/>
    </row>
    <row r="1018" spans="4:4" s="21" customFormat="1">
      <c r="D1018" s="163"/>
    </row>
    <row r="1019" spans="4:4" s="21" customFormat="1">
      <c r="D1019" s="163"/>
    </row>
    <row r="1020" spans="4:4" s="21" customFormat="1">
      <c r="D1020" s="163"/>
    </row>
    <row r="1021" spans="4:4" s="21" customFormat="1">
      <c r="D1021" s="163"/>
    </row>
    <row r="1022" spans="4:4" s="21" customFormat="1">
      <c r="D1022" s="163"/>
    </row>
    <row r="1023" spans="4:4" s="21" customFormat="1">
      <c r="D1023" s="163"/>
    </row>
    <row r="1024" spans="4:4" s="21" customFormat="1">
      <c r="D1024" s="163"/>
    </row>
    <row r="1025" spans="4:4" s="21" customFormat="1">
      <c r="D1025" s="163"/>
    </row>
    <row r="1026" spans="4:4" s="21" customFormat="1">
      <c r="D1026" s="163"/>
    </row>
    <row r="1027" spans="4:4" s="21" customFormat="1">
      <c r="D1027" s="163"/>
    </row>
    <row r="1028" spans="4:4" s="21" customFormat="1">
      <c r="D1028" s="163"/>
    </row>
    <row r="1029" spans="4:4" s="21" customFormat="1">
      <c r="D1029" s="163"/>
    </row>
    <row r="1030" spans="4:4" s="21" customFormat="1">
      <c r="D1030" s="163"/>
    </row>
    <row r="1031" spans="4:4" s="21" customFormat="1">
      <c r="D1031" s="163"/>
    </row>
    <row r="1032" spans="4:4" s="21" customFormat="1">
      <c r="D1032" s="163"/>
    </row>
    <row r="1033" spans="4:4" s="21" customFormat="1">
      <c r="D1033" s="163"/>
    </row>
    <row r="1034" spans="4:4" s="21" customFormat="1">
      <c r="D1034" s="163"/>
    </row>
    <row r="1035" spans="4:4" s="21" customFormat="1">
      <c r="D1035" s="163"/>
    </row>
    <row r="1036" spans="4:4" s="21" customFormat="1">
      <c r="D1036" s="163"/>
    </row>
    <row r="1037" spans="4:4" s="21" customFormat="1">
      <c r="D1037" s="163"/>
    </row>
    <row r="1038" spans="4:4" s="21" customFormat="1">
      <c r="D1038" s="163"/>
    </row>
    <row r="1039" spans="4:4" s="21" customFormat="1">
      <c r="D1039" s="163"/>
    </row>
    <row r="1040" spans="4:4" s="21" customFormat="1">
      <c r="D1040" s="163"/>
    </row>
    <row r="1041" spans="4:4" s="21" customFormat="1">
      <c r="D1041" s="163"/>
    </row>
    <row r="1042" spans="4:4" s="21" customFormat="1">
      <c r="D1042" s="163"/>
    </row>
    <row r="1043" spans="4:4" s="21" customFormat="1">
      <c r="D1043" s="163"/>
    </row>
    <row r="1044" spans="4:4" s="21" customFormat="1">
      <c r="D1044" s="163"/>
    </row>
    <row r="1045" spans="4:4" s="21" customFormat="1">
      <c r="D1045" s="163"/>
    </row>
    <row r="1046" spans="4:4" s="21" customFormat="1">
      <c r="D1046" s="163"/>
    </row>
    <row r="1047" spans="4:4" s="21" customFormat="1">
      <c r="D1047" s="163"/>
    </row>
    <row r="1048" spans="4:4" s="21" customFormat="1">
      <c r="D1048" s="163"/>
    </row>
    <row r="1049" spans="4:4" s="21" customFormat="1">
      <c r="D1049" s="163"/>
    </row>
    <row r="1050" spans="4:4" s="21" customFormat="1">
      <c r="D1050" s="163"/>
    </row>
    <row r="1051" spans="4:4" s="21" customFormat="1">
      <c r="D1051" s="163"/>
    </row>
    <row r="1052" spans="4:4" s="21" customFormat="1">
      <c r="D1052" s="163"/>
    </row>
    <row r="1053" spans="4:4" s="21" customFormat="1">
      <c r="D1053" s="163"/>
    </row>
    <row r="1054" spans="4:4" s="21" customFormat="1">
      <c r="D1054" s="163"/>
    </row>
    <row r="1055" spans="4:4" s="21" customFormat="1">
      <c r="D1055" s="163"/>
    </row>
    <row r="1056" spans="4:4" s="21" customFormat="1">
      <c r="D1056" s="163"/>
    </row>
    <row r="1057" spans="4:4" s="21" customFormat="1">
      <c r="D1057" s="163"/>
    </row>
    <row r="1058" spans="4:4" s="21" customFormat="1">
      <c r="D1058" s="163"/>
    </row>
    <row r="1059" spans="4:4" s="21" customFormat="1">
      <c r="D1059" s="163"/>
    </row>
    <row r="1060" spans="4:4" s="21" customFormat="1">
      <c r="D1060" s="163"/>
    </row>
    <row r="1061" spans="4:4" s="21" customFormat="1">
      <c r="D1061" s="163"/>
    </row>
    <row r="1062" spans="4:4" s="21" customFormat="1">
      <c r="D1062" s="163"/>
    </row>
    <row r="1063" spans="4:4" s="21" customFormat="1">
      <c r="D1063" s="163"/>
    </row>
    <row r="1064" spans="4:4" s="21" customFormat="1">
      <c r="D1064" s="163"/>
    </row>
    <row r="1065" spans="4:4" s="21" customFormat="1">
      <c r="D1065" s="163"/>
    </row>
    <row r="1066" spans="4:4" s="21" customFormat="1">
      <c r="D1066" s="163"/>
    </row>
    <row r="1067" spans="4:4" s="21" customFormat="1">
      <c r="D1067" s="163"/>
    </row>
    <row r="1068" spans="4:4" s="21" customFormat="1">
      <c r="D1068" s="163"/>
    </row>
    <row r="1069" spans="4:4" s="21" customFormat="1">
      <c r="D1069" s="163"/>
    </row>
    <row r="1070" spans="4:4" s="21" customFormat="1">
      <c r="D1070" s="163"/>
    </row>
    <row r="1071" spans="4:4" s="21" customFormat="1">
      <c r="D1071" s="163"/>
    </row>
    <row r="1072" spans="4:4" s="21" customFormat="1">
      <c r="D1072" s="163"/>
    </row>
    <row r="1073" spans="4:4" s="21" customFormat="1">
      <c r="D1073" s="163"/>
    </row>
    <row r="1074" spans="4:4" s="21" customFormat="1">
      <c r="D1074" s="163"/>
    </row>
    <row r="1075" spans="4:4" s="21" customFormat="1">
      <c r="D1075" s="163"/>
    </row>
    <row r="1076" spans="4:4" s="21" customFormat="1">
      <c r="D1076" s="163"/>
    </row>
    <row r="1077" spans="4:4" s="21" customFormat="1">
      <c r="D1077" s="163"/>
    </row>
    <row r="1078" spans="4:4" s="21" customFormat="1">
      <c r="D1078" s="163"/>
    </row>
    <row r="1079" spans="4:4" s="21" customFormat="1">
      <c r="D1079" s="163"/>
    </row>
    <row r="1080" spans="4:4" s="21" customFormat="1">
      <c r="D1080" s="163"/>
    </row>
    <row r="1081" spans="4:4" s="21" customFormat="1">
      <c r="D1081" s="163"/>
    </row>
    <row r="1082" spans="4:4" s="21" customFormat="1">
      <c r="D1082" s="163"/>
    </row>
    <row r="1083" spans="4:4" s="21" customFormat="1">
      <c r="D1083" s="163"/>
    </row>
    <row r="1084" spans="4:4" s="21" customFormat="1">
      <c r="D1084" s="163"/>
    </row>
    <row r="1085" spans="4:4" s="21" customFormat="1">
      <c r="D1085" s="163"/>
    </row>
    <row r="1086" spans="4:4" s="21" customFormat="1">
      <c r="D1086" s="163"/>
    </row>
    <row r="1087" spans="4:4" s="21" customFormat="1">
      <c r="D1087" s="163"/>
    </row>
    <row r="1088" spans="4:4" s="21" customFormat="1">
      <c r="D1088" s="163"/>
    </row>
    <row r="1089" spans="4:4" s="21" customFormat="1">
      <c r="D1089" s="163"/>
    </row>
    <row r="1090" spans="4:4" s="21" customFormat="1">
      <c r="D1090" s="163"/>
    </row>
    <row r="1091" spans="4:4" s="21" customFormat="1">
      <c r="D1091" s="163"/>
    </row>
    <row r="1092" spans="4:4" s="21" customFormat="1">
      <c r="D1092" s="163"/>
    </row>
    <row r="1093" spans="4:4" s="21" customFormat="1">
      <c r="D1093" s="163"/>
    </row>
    <row r="1094" spans="4:4" s="21" customFormat="1">
      <c r="D1094" s="163"/>
    </row>
    <row r="1095" spans="4:4" s="21" customFormat="1">
      <c r="D1095" s="163"/>
    </row>
    <row r="1096" spans="4:4" s="21" customFormat="1">
      <c r="D1096" s="163"/>
    </row>
    <row r="1097" spans="4:4" s="21" customFormat="1">
      <c r="D1097" s="163"/>
    </row>
    <row r="1098" spans="4:4" s="21" customFormat="1">
      <c r="D1098" s="163"/>
    </row>
    <row r="1099" spans="4:4" s="21" customFormat="1">
      <c r="D1099" s="163"/>
    </row>
    <row r="1100" spans="4:4" s="21" customFormat="1">
      <c r="D1100" s="163"/>
    </row>
    <row r="1101" spans="4:4" s="21" customFormat="1">
      <c r="D1101" s="163"/>
    </row>
    <row r="1102" spans="4:4" s="21" customFormat="1">
      <c r="D1102" s="163"/>
    </row>
    <row r="1103" spans="4:4" s="21" customFormat="1">
      <c r="D1103" s="163"/>
    </row>
    <row r="1104" spans="4:4" s="21" customFormat="1">
      <c r="D1104" s="163"/>
    </row>
    <row r="1105" spans="4:4" s="21" customFormat="1">
      <c r="D1105" s="163"/>
    </row>
    <row r="1106" spans="4:4" s="21" customFormat="1">
      <c r="D1106" s="163"/>
    </row>
    <row r="1107" spans="4:4" s="21" customFormat="1">
      <c r="D1107" s="163"/>
    </row>
    <row r="1108" spans="4:4" s="21" customFormat="1">
      <c r="D1108" s="163"/>
    </row>
    <row r="1109" spans="4:4" s="21" customFormat="1">
      <c r="D1109" s="163"/>
    </row>
    <row r="1110" spans="4:4" s="21" customFormat="1">
      <c r="D1110" s="163"/>
    </row>
    <row r="1111" spans="4:4" s="21" customFormat="1">
      <c r="D1111" s="163"/>
    </row>
    <row r="1112" spans="4:4" s="21" customFormat="1">
      <c r="D1112" s="163"/>
    </row>
    <row r="1113" spans="4:4" s="21" customFormat="1">
      <c r="D1113" s="163"/>
    </row>
    <row r="1114" spans="4:4" s="21" customFormat="1">
      <c r="D1114" s="163"/>
    </row>
    <row r="1115" spans="4:4" s="21" customFormat="1">
      <c r="D1115" s="163"/>
    </row>
    <row r="1116" spans="4:4" s="21" customFormat="1">
      <c r="D1116" s="163"/>
    </row>
    <row r="1117" spans="4:4" s="21" customFormat="1">
      <c r="D1117" s="163"/>
    </row>
    <row r="1118" spans="4:4" s="21" customFormat="1">
      <c r="D1118" s="163"/>
    </row>
    <row r="1119" spans="4:4" s="21" customFormat="1">
      <c r="D1119" s="163"/>
    </row>
    <row r="1120" spans="4:4" s="21" customFormat="1">
      <c r="D1120" s="163"/>
    </row>
    <row r="1121" spans="4:4" s="21" customFormat="1">
      <c r="D1121" s="163"/>
    </row>
    <row r="1122" spans="4:4" s="21" customFormat="1">
      <c r="D1122" s="163"/>
    </row>
    <row r="1123" spans="4:4" s="21" customFormat="1">
      <c r="D1123" s="163"/>
    </row>
    <row r="1124" spans="4:4" s="21" customFormat="1">
      <c r="D1124" s="163"/>
    </row>
    <row r="1125" spans="4:4" s="21" customFormat="1">
      <c r="D1125" s="163"/>
    </row>
    <row r="1126" spans="4:4" s="21" customFormat="1">
      <c r="D1126" s="163"/>
    </row>
    <row r="1127" spans="4:4" s="21" customFormat="1">
      <c r="D1127" s="163"/>
    </row>
    <row r="1128" spans="4:4" s="21" customFormat="1">
      <c r="D1128" s="163"/>
    </row>
    <row r="1129" spans="4:4" s="21" customFormat="1">
      <c r="D1129" s="163"/>
    </row>
    <row r="1130" spans="4:4" s="21" customFormat="1">
      <c r="D1130" s="163"/>
    </row>
    <row r="1131" spans="4:4" s="21" customFormat="1">
      <c r="D1131" s="163"/>
    </row>
    <row r="1132" spans="4:4" s="21" customFormat="1">
      <c r="D1132" s="163"/>
    </row>
    <row r="1133" spans="4:4" s="21" customFormat="1">
      <c r="D1133" s="163"/>
    </row>
    <row r="1134" spans="4:4" s="21" customFormat="1">
      <c r="D1134" s="163"/>
    </row>
    <row r="1135" spans="4:4" s="21" customFormat="1">
      <c r="D1135" s="163"/>
    </row>
    <row r="1136" spans="4:4" s="21" customFormat="1">
      <c r="D1136" s="163"/>
    </row>
    <row r="1137" spans="4:4" s="21" customFormat="1">
      <c r="D1137" s="163"/>
    </row>
    <row r="1138" spans="4:4" s="21" customFormat="1">
      <c r="D1138" s="163"/>
    </row>
    <row r="1139" spans="4:4" s="21" customFormat="1">
      <c r="D1139" s="163"/>
    </row>
    <row r="1140" spans="4:4" s="21" customFormat="1">
      <c r="D1140" s="163"/>
    </row>
    <row r="1141" spans="4:4" s="21" customFormat="1">
      <c r="D1141" s="163"/>
    </row>
    <row r="1142" spans="4:4" s="21" customFormat="1">
      <c r="D1142" s="163"/>
    </row>
    <row r="1143" spans="4:4" s="21" customFormat="1">
      <c r="D1143" s="163"/>
    </row>
    <row r="1144" spans="4:4" s="21" customFormat="1">
      <c r="D1144" s="163"/>
    </row>
    <row r="1145" spans="4:4" s="21" customFormat="1">
      <c r="D1145" s="163"/>
    </row>
    <row r="1146" spans="4:4" s="21" customFormat="1">
      <c r="D1146" s="163"/>
    </row>
    <row r="1147" spans="4:4" s="21" customFormat="1">
      <c r="D1147" s="163"/>
    </row>
    <row r="1148" spans="4:4" s="21" customFormat="1">
      <c r="D1148" s="163"/>
    </row>
    <row r="1149" spans="4:4" s="21" customFormat="1">
      <c r="D1149" s="163"/>
    </row>
    <row r="1150" spans="4:4" s="21" customFormat="1">
      <c r="D1150" s="163"/>
    </row>
    <row r="1151" spans="4:4" s="21" customFormat="1">
      <c r="D1151" s="163"/>
    </row>
    <row r="1152" spans="4:4" s="21" customFormat="1">
      <c r="D1152" s="163"/>
    </row>
    <row r="1153" spans="4:4" s="21" customFormat="1">
      <c r="D1153" s="163"/>
    </row>
    <row r="1154" spans="4:4" s="21" customFormat="1">
      <c r="D1154" s="163"/>
    </row>
    <row r="1155" spans="4:4" s="21" customFormat="1">
      <c r="D1155" s="163"/>
    </row>
    <row r="1156" spans="4:4" s="21" customFormat="1">
      <c r="D1156" s="163"/>
    </row>
    <row r="1157" spans="4:4" s="21" customFormat="1">
      <c r="D1157" s="163"/>
    </row>
    <row r="1158" spans="4:4" s="21" customFormat="1">
      <c r="D1158" s="163"/>
    </row>
    <row r="1159" spans="4:4" s="21" customFormat="1">
      <c r="D1159" s="163"/>
    </row>
    <row r="1160" spans="4:4" s="21" customFormat="1">
      <c r="D1160" s="163"/>
    </row>
    <row r="1161" spans="4:4" s="21" customFormat="1">
      <c r="D1161" s="163"/>
    </row>
    <row r="1162" spans="4:4" s="21" customFormat="1">
      <c r="D1162" s="163"/>
    </row>
    <row r="1163" spans="4:4" s="21" customFormat="1">
      <c r="D1163" s="163"/>
    </row>
    <row r="1164" spans="4:4" s="21" customFormat="1">
      <c r="D1164" s="163"/>
    </row>
    <row r="1165" spans="4:4" s="21" customFormat="1">
      <c r="D1165" s="163"/>
    </row>
    <row r="1166" spans="4:4" s="21" customFormat="1">
      <c r="D1166" s="163"/>
    </row>
    <row r="1167" spans="4:4" s="21" customFormat="1">
      <c r="D1167" s="163"/>
    </row>
    <row r="1168" spans="4:4" s="21" customFormat="1">
      <c r="D1168" s="163"/>
    </row>
    <row r="1169" spans="4:4" s="21" customFormat="1">
      <c r="D1169" s="163"/>
    </row>
    <row r="1170" spans="4:4" s="21" customFormat="1">
      <c r="D1170" s="163"/>
    </row>
    <row r="1171" spans="4:4" s="21" customFormat="1">
      <c r="D1171" s="163"/>
    </row>
    <row r="1172" spans="4:4" s="21" customFormat="1">
      <c r="D1172" s="163"/>
    </row>
    <row r="1173" spans="4:4" s="21" customFormat="1">
      <c r="D1173" s="163"/>
    </row>
    <row r="1174" spans="4:4" s="21" customFormat="1">
      <c r="D1174" s="163"/>
    </row>
    <row r="1175" spans="4:4" s="21" customFormat="1">
      <c r="D1175" s="163"/>
    </row>
    <row r="1176" spans="4:4" s="21" customFormat="1">
      <c r="D1176" s="163"/>
    </row>
    <row r="1177" spans="4:4" s="21" customFormat="1">
      <c r="D1177" s="163"/>
    </row>
    <row r="1178" spans="4:4" s="21" customFormat="1">
      <c r="D1178" s="163"/>
    </row>
    <row r="1179" spans="4:4" s="21" customFormat="1">
      <c r="D1179" s="163"/>
    </row>
    <row r="1180" spans="4:4" s="21" customFormat="1">
      <c r="D1180" s="163"/>
    </row>
    <row r="1181" spans="4:4" s="21" customFormat="1">
      <c r="D1181" s="163"/>
    </row>
    <row r="1182" spans="4:4" s="21" customFormat="1">
      <c r="D1182" s="163"/>
    </row>
    <row r="1183" spans="4:4" s="21" customFormat="1">
      <c r="D1183" s="163"/>
    </row>
    <row r="1184" spans="4:4" s="21" customFormat="1">
      <c r="D1184" s="163"/>
    </row>
    <row r="1185" spans="4:4" s="21" customFormat="1">
      <c r="D1185" s="163"/>
    </row>
    <row r="1186" spans="4:4" s="21" customFormat="1">
      <c r="D1186" s="163"/>
    </row>
    <row r="1187" spans="4:4" s="21" customFormat="1">
      <c r="D1187" s="163"/>
    </row>
    <row r="1188" spans="4:4" s="21" customFormat="1">
      <c r="D1188" s="163"/>
    </row>
    <row r="1189" spans="4:4" s="21" customFormat="1">
      <c r="D1189" s="163"/>
    </row>
    <row r="1190" spans="4:4" s="21" customFormat="1">
      <c r="D1190" s="163"/>
    </row>
    <row r="1191" spans="4:4" s="21" customFormat="1">
      <c r="D1191" s="163"/>
    </row>
    <row r="1192" spans="4:4" s="21" customFormat="1">
      <c r="D1192" s="163"/>
    </row>
    <row r="1193" spans="4:4" s="21" customFormat="1">
      <c r="D1193" s="163"/>
    </row>
    <row r="1194" spans="4:4" s="21" customFormat="1">
      <c r="D1194" s="163"/>
    </row>
    <row r="1195" spans="4:4" s="21" customFormat="1">
      <c r="D1195" s="163"/>
    </row>
    <row r="1196" spans="4:4" s="21" customFormat="1">
      <c r="D1196" s="163"/>
    </row>
    <row r="1197" spans="4:4" s="21" customFormat="1">
      <c r="D1197" s="163"/>
    </row>
    <row r="1198" spans="4:4" s="21" customFormat="1">
      <c r="D1198" s="163"/>
    </row>
    <row r="1199" spans="4:4" s="21" customFormat="1">
      <c r="D1199" s="163"/>
    </row>
    <row r="1200" spans="4:4" s="21" customFormat="1">
      <c r="D1200" s="163"/>
    </row>
    <row r="1201" spans="4:4" s="21" customFormat="1">
      <c r="D1201" s="163"/>
    </row>
    <row r="1202" spans="4:4" s="21" customFormat="1">
      <c r="D1202" s="163"/>
    </row>
    <row r="1203" spans="4:4" s="21" customFormat="1">
      <c r="D1203" s="163"/>
    </row>
    <row r="1204" spans="4:4" s="21" customFormat="1">
      <c r="D1204" s="163"/>
    </row>
    <row r="1205" spans="4:4" s="21" customFormat="1">
      <c r="D1205" s="163"/>
    </row>
    <row r="1206" spans="4:4" s="21" customFormat="1">
      <c r="D1206" s="163"/>
    </row>
    <row r="1207" spans="4:4" s="21" customFormat="1">
      <c r="D1207" s="163"/>
    </row>
    <row r="1208" spans="4:4" s="21" customFormat="1">
      <c r="D1208" s="163"/>
    </row>
    <row r="1209" spans="4:4" s="21" customFormat="1">
      <c r="D1209" s="163"/>
    </row>
    <row r="1210" spans="4:4" s="21" customFormat="1">
      <c r="D1210" s="163"/>
    </row>
    <row r="1211" spans="4:4" s="21" customFormat="1">
      <c r="D1211" s="163"/>
    </row>
    <row r="1212" spans="4:4" s="21" customFormat="1">
      <c r="D1212" s="163"/>
    </row>
    <row r="1213" spans="4:4" s="21" customFormat="1">
      <c r="D1213" s="163"/>
    </row>
    <row r="1214" spans="4:4" s="21" customFormat="1">
      <c r="D1214" s="163"/>
    </row>
    <row r="1215" spans="4:4" s="21" customFormat="1">
      <c r="D1215" s="163"/>
    </row>
    <row r="1216" spans="4:4" s="21" customFormat="1">
      <c r="D1216" s="163"/>
    </row>
    <row r="1217" spans="4:4" s="21" customFormat="1">
      <c r="D1217" s="163"/>
    </row>
    <row r="1218" spans="4:4" s="21" customFormat="1">
      <c r="D1218" s="163"/>
    </row>
    <row r="1219" spans="4:4" s="21" customFormat="1">
      <c r="D1219" s="163"/>
    </row>
    <row r="1220" spans="4:4" s="21" customFormat="1">
      <c r="D1220" s="163"/>
    </row>
    <row r="1221" spans="4:4" s="21" customFormat="1">
      <c r="D1221" s="163"/>
    </row>
    <row r="1222" spans="4:4" s="21" customFormat="1">
      <c r="D1222" s="163"/>
    </row>
    <row r="1223" spans="4:4" s="21" customFormat="1">
      <c r="D1223" s="163"/>
    </row>
    <row r="1224" spans="4:4" s="21" customFormat="1">
      <c r="D1224" s="163"/>
    </row>
    <row r="1225" spans="4:4" s="21" customFormat="1">
      <c r="D1225" s="163"/>
    </row>
    <row r="1226" spans="4:4" s="21" customFormat="1">
      <c r="D1226" s="163"/>
    </row>
    <row r="1227" spans="4:4" s="21" customFormat="1">
      <c r="D1227" s="163"/>
    </row>
    <row r="1228" spans="4:4" s="21" customFormat="1">
      <c r="D1228" s="163"/>
    </row>
    <row r="1229" spans="4:4" s="21" customFormat="1">
      <c r="D1229" s="163"/>
    </row>
    <row r="1230" spans="4:4" s="21" customFormat="1">
      <c r="D1230" s="163"/>
    </row>
    <row r="1231" spans="4:4" s="21" customFormat="1">
      <c r="D1231" s="163"/>
    </row>
    <row r="1232" spans="4:4" s="21" customFormat="1">
      <c r="D1232" s="163"/>
    </row>
    <row r="1233" spans="4:4" s="21" customFormat="1">
      <c r="D1233" s="163"/>
    </row>
    <row r="1234" spans="4:4" s="21" customFormat="1">
      <c r="D1234" s="163"/>
    </row>
    <row r="1235" spans="4:4" s="21" customFormat="1">
      <c r="D1235" s="163"/>
    </row>
    <row r="1236" spans="4:4" s="21" customFormat="1">
      <c r="D1236" s="163"/>
    </row>
    <row r="1237" spans="4:4" s="21" customFormat="1">
      <c r="D1237" s="163"/>
    </row>
    <row r="1238" spans="4:4" s="21" customFormat="1">
      <c r="D1238" s="163"/>
    </row>
    <row r="1239" spans="4:4" s="21" customFormat="1">
      <c r="D1239" s="163"/>
    </row>
    <row r="1240" spans="4:4" s="21" customFormat="1">
      <c r="D1240" s="163"/>
    </row>
    <row r="1241" spans="4:4" s="21" customFormat="1">
      <c r="D1241" s="163"/>
    </row>
    <row r="1242" spans="4:4" s="21" customFormat="1">
      <c r="D1242" s="163"/>
    </row>
    <row r="1243" spans="4:4" s="21" customFormat="1">
      <c r="D1243" s="163"/>
    </row>
    <row r="1244" spans="4:4" s="21" customFormat="1">
      <c r="D1244" s="163"/>
    </row>
    <row r="1245" spans="4:4" s="21" customFormat="1">
      <c r="D1245" s="163"/>
    </row>
    <row r="1246" spans="4:4" s="21" customFormat="1">
      <c r="D1246" s="163"/>
    </row>
    <row r="1247" spans="4:4" s="21" customFormat="1">
      <c r="D1247" s="163"/>
    </row>
    <row r="1248" spans="4:4" s="21" customFormat="1">
      <c r="D1248" s="163"/>
    </row>
    <row r="1249" spans="4:4" s="21" customFormat="1">
      <c r="D1249" s="163"/>
    </row>
    <row r="1250" spans="4:4" s="21" customFormat="1">
      <c r="D1250" s="163"/>
    </row>
    <row r="1251" spans="4:4" s="21" customFormat="1">
      <c r="D1251" s="163"/>
    </row>
    <row r="1252" spans="4:4" s="21" customFormat="1">
      <c r="D1252" s="163"/>
    </row>
    <row r="1253" spans="4:4" s="21" customFormat="1">
      <c r="D1253" s="163"/>
    </row>
    <row r="1254" spans="4:4" s="21" customFormat="1">
      <c r="D1254" s="163"/>
    </row>
    <row r="1255" spans="4:4" s="21" customFormat="1">
      <c r="D1255" s="163"/>
    </row>
    <row r="1256" spans="4:4" s="21" customFormat="1">
      <c r="D1256" s="163"/>
    </row>
    <row r="1257" spans="4:4" s="21" customFormat="1">
      <c r="D1257" s="163"/>
    </row>
    <row r="1258" spans="4:4" s="21" customFormat="1">
      <c r="D1258" s="163"/>
    </row>
    <row r="1259" spans="4:4" s="21" customFormat="1">
      <c r="D1259" s="163"/>
    </row>
    <row r="1260" spans="4:4" s="21" customFormat="1">
      <c r="D1260" s="163"/>
    </row>
    <row r="1261" spans="4:4" s="21" customFormat="1">
      <c r="D1261" s="163"/>
    </row>
    <row r="1262" spans="4:4" s="21" customFormat="1">
      <c r="D1262" s="163"/>
    </row>
    <row r="1263" spans="4:4" s="21" customFormat="1">
      <c r="D1263" s="163"/>
    </row>
    <row r="1264" spans="4:4" s="21" customFormat="1">
      <c r="D1264" s="163"/>
    </row>
    <row r="1265" spans="4:4" s="21" customFormat="1">
      <c r="D1265" s="163"/>
    </row>
    <row r="1266" spans="4:4" s="21" customFormat="1">
      <c r="D1266" s="163"/>
    </row>
    <row r="1267" spans="4:4" s="21" customFormat="1">
      <c r="D1267" s="163"/>
    </row>
    <row r="1268" spans="4:4" s="21" customFormat="1">
      <c r="D1268" s="163"/>
    </row>
    <row r="1269" spans="4:4" s="21" customFormat="1">
      <c r="D1269" s="163"/>
    </row>
    <row r="1270" spans="4:4" s="21" customFormat="1">
      <c r="D1270" s="163"/>
    </row>
    <row r="1271" spans="4:4" s="21" customFormat="1">
      <c r="D1271" s="163"/>
    </row>
    <row r="1272" spans="4:4" s="21" customFormat="1">
      <c r="D1272" s="163"/>
    </row>
    <row r="1273" spans="4:4" s="21" customFormat="1">
      <c r="D1273" s="163"/>
    </row>
    <row r="1274" spans="4:4" s="21" customFormat="1">
      <c r="D1274" s="163"/>
    </row>
    <row r="1275" spans="4:4" s="21" customFormat="1">
      <c r="D1275" s="163"/>
    </row>
    <row r="1276" spans="4:4" s="21" customFormat="1">
      <c r="D1276" s="163"/>
    </row>
    <row r="1277" spans="4:4" s="21" customFormat="1">
      <c r="D1277" s="163"/>
    </row>
    <row r="1278" spans="4:4" s="21" customFormat="1">
      <c r="D1278" s="163"/>
    </row>
    <row r="1279" spans="4:4" s="21" customFormat="1">
      <c r="D1279" s="163"/>
    </row>
    <row r="1280" spans="4:4" s="21" customFormat="1">
      <c r="D1280" s="163"/>
    </row>
    <row r="1281" spans="4:4" s="21" customFormat="1">
      <c r="D1281" s="163"/>
    </row>
    <row r="1282" spans="4:4" s="21" customFormat="1">
      <c r="D1282" s="163"/>
    </row>
    <row r="1283" spans="4:4" s="21" customFormat="1">
      <c r="D1283" s="163"/>
    </row>
    <row r="1284" spans="4:4" s="21" customFormat="1">
      <c r="D1284" s="163"/>
    </row>
    <row r="1285" spans="4:4" s="21" customFormat="1">
      <c r="D1285" s="163"/>
    </row>
    <row r="1286" spans="4:4" s="21" customFormat="1">
      <c r="D1286" s="163"/>
    </row>
    <row r="1287" spans="4:4" s="21" customFormat="1">
      <c r="D1287" s="163"/>
    </row>
    <row r="1288" spans="4:4" s="21" customFormat="1">
      <c r="D1288" s="163"/>
    </row>
    <row r="1289" spans="4:4" s="21" customFormat="1">
      <c r="D1289" s="163"/>
    </row>
    <row r="1290" spans="4:4" s="21" customFormat="1">
      <c r="D1290" s="163"/>
    </row>
    <row r="1291" spans="4:4" s="21" customFormat="1">
      <c r="D1291" s="163"/>
    </row>
    <row r="1292" spans="4:4" s="21" customFormat="1">
      <c r="D1292" s="163"/>
    </row>
    <row r="1293" spans="4:4" s="21" customFormat="1">
      <c r="D1293" s="163"/>
    </row>
    <row r="1294" spans="4:4" s="21" customFormat="1">
      <c r="D1294" s="163"/>
    </row>
    <row r="1295" spans="4:4" s="21" customFormat="1">
      <c r="D1295" s="163"/>
    </row>
    <row r="1296" spans="4:4" s="21" customFormat="1">
      <c r="D1296" s="163"/>
    </row>
    <row r="1297" spans="4:4" s="21" customFormat="1">
      <c r="D1297" s="163"/>
    </row>
    <row r="1298" spans="4:4" s="21" customFormat="1">
      <c r="D1298" s="163"/>
    </row>
    <row r="1299" spans="4:4" s="21" customFormat="1">
      <c r="D1299" s="163"/>
    </row>
    <row r="1300" spans="4:4" s="21" customFormat="1">
      <c r="D1300" s="163"/>
    </row>
    <row r="1301" spans="4:4" s="21" customFormat="1">
      <c r="D1301" s="163"/>
    </row>
    <row r="1302" spans="4:4" s="21" customFormat="1">
      <c r="D1302" s="163"/>
    </row>
    <row r="1303" spans="4:4" s="21" customFormat="1">
      <c r="D1303" s="163"/>
    </row>
    <row r="1304" spans="4:4" s="21" customFormat="1">
      <c r="D1304" s="163"/>
    </row>
    <row r="1305" spans="4:4" s="21" customFormat="1">
      <c r="D1305" s="163"/>
    </row>
    <row r="1306" spans="4:4" s="21" customFormat="1">
      <c r="D1306" s="163"/>
    </row>
    <row r="1307" spans="4:4" s="21" customFormat="1">
      <c r="D1307" s="163"/>
    </row>
    <row r="1308" spans="4:4" s="21" customFormat="1">
      <c r="D1308" s="163"/>
    </row>
    <row r="1309" spans="4:4" s="21" customFormat="1">
      <c r="D1309" s="163"/>
    </row>
    <row r="1310" spans="4:4" s="21" customFormat="1">
      <c r="D1310" s="163"/>
    </row>
    <row r="1311" spans="4:4" s="21" customFormat="1">
      <c r="D1311" s="163"/>
    </row>
    <row r="1312" spans="4:4" s="21" customFormat="1">
      <c r="D1312" s="163"/>
    </row>
    <row r="1313" spans="4:4" s="21" customFormat="1">
      <c r="D1313" s="163"/>
    </row>
    <row r="1314" spans="4:4" s="21" customFormat="1">
      <c r="D1314" s="163"/>
    </row>
    <row r="1315" spans="4:4" s="21" customFormat="1">
      <c r="D1315" s="163"/>
    </row>
    <row r="1316" spans="4:4" s="21" customFormat="1">
      <c r="D1316" s="163"/>
    </row>
    <row r="1317" spans="4:4" s="21" customFormat="1">
      <c r="D1317" s="163"/>
    </row>
    <row r="1318" spans="4:4" s="21" customFormat="1">
      <c r="D1318" s="163"/>
    </row>
    <row r="1319" spans="4:4" s="21" customFormat="1">
      <c r="D1319" s="163"/>
    </row>
    <row r="1320" spans="4:4" s="21" customFormat="1">
      <c r="D1320" s="163"/>
    </row>
    <row r="1321" spans="4:4" s="21" customFormat="1">
      <c r="D1321" s="163"/>
    </row>
    <row r="1322" spans="4:4" s="21" customFormat="1">
      <c r="D1322" s="163"/>
    </row>
    <row r="1323" spans="4:4" s="21" customFormat="1">
      <c r="D1323" s="163"/>
    </row>
    <row r="1324" spans="4:4" s="21" customFormat="1">
      <c r="D1324" s="163"/>
    </row>
    <row r="1325" spans="4:4" s="21" customFormat="1">
      <c r="D1325" s="163"/>
    </row>
    <row r="1326" spans="4:4" s="21" customFormat="1">
      <c r="D1326" s="163"/>
    </row>
    <row r="1327" spans="4:4" s="21" customFormat="1">
      <c r="D1327" s="163"/>
    </row>
    <row r="1328" spans="4:4" s="21" customFormat="1">
      <c r="D1328" s="163"/>
    </row>
    <row r="1329" spans="4:4" s="21" customFormat="1">
      <c r="D1329" s="163"/>
    </row>
    <row r="1330" spans="4:4" s="21" customFormat="1">
      <c r="D1330" s="163"/>
    </row>
    <row r="1331" spans="4:4" s="21" customFormat="1">
      <c r="D1331" s="163"/>
    </row>
    <row r="1332" spans="4:4" s="21" customFormat="1">
      <c r="D1332" s="163"/>
    </row>
    <row r="1333" spans="4:4" s="21" customFormat="1">
      <c r="D1333" s="163"/>
    </row>
    <row r="1334" spans="4:4" s="21" customFormat="1">
      <c r="D1334" s="163"/>
    </row>
    <row r="1335" spans="4:4" s="21" customFormat="1">
      <c r="D1335" s="163"/>
    </row>
    <row r="1336" spans="4:4" s="21" customFormat="1">
      <c r="D1336" s="163"/>
    </row>
    <row r="1337" spans="4:4" s="21" customFormat="1">
      <c r="D1337" s="163"/>
    </row>
    <row r="1338" spans="4:4" s="21" customFormat="1">
      <c r="D1338" s="163"/>
    </row>
    <row r="1339" spans="4:4" s="21" customFormat="1">
      <c r="D1339" s="163"/>
    </row>
    <row r="1340" spans="4:4" s="21" customFormat="1">
      <c r="D1340" s="163"/>
    </row>
    <row r="1341" spans="4:4" s="21" customFormat="1">
      <c r="D1341" s="163"/>
    </row>
    <row r="1342" spans="4:4" s="21" customFormat="1">
      <c r="D1342" s="163"/>
    </row>
    <row r="1343" spans="4:4" s="21" customFormat="1">
      <c r="D1343" s="163"/>
    </row>
    <row r="1344" spans="4:4" s="21" customFormat="1">
      <c r="D1344" s="163"/>
    </row>
    <row r="1345" spans="4:4" s="21" customFormat="1">
      <c r="D1345" s="163"/>
    </row>
    <row r="1346" spans="4:4" s="21" customFormat="1">
      <c r="D1346" s="163"/>
    </row>
    <row r="1347" spans="4:4" s="21" customFormat="1">
      <c r="D1347" s="163"/>
    </row>
    <row r="1348" spans="4:4" s="21" customFormat="1">
      <c r="D1348" s="163"/>
    </row>
    <row r="1349" spans="4:4" s="21" customFormat="1">
      <c r="D1349" s="163"/>
    </row>
    <row r="1350" spans="4:4" s="21" customFormat="1">
      <c r="D1350" s="163"/>
    </row>
    <row r="1351" spans="4:4" s="21" customFormat="1">
      <c r="D1351" s="163"/>
    </row>
    <row r="1352" spans="4:4" s="21" customFormat="1">
      <c r="D1352" s="163"/>
    </row>
    <row r="1353" spans="4:4" s="21" customFormat="1">
      <c r="D1353" s="163"/>
    </row>
    <row r="1354" spans="4:4" s="21" customFormat="1">
      <c r="D1354" s="163"/>
    </row>
    <row r="1355" spans="4:4" s="21" customFormat="1">
      <c r="D1355" s="163"/>
    </row>
    <row r="1356" spans="4:4" s="21" customFormat="1">
      <c r="D1356" s="163"/>
    </row>
    <row r="1357" spans="4:4" s="21" customFormat="1">
      <c r="D1357" s="163"/>
    </row>
    <row r="1358" spans="4:4" s="21" customFormat="1">
      <c r="D1358" s="163"/>
    </row>
    <row r="1359" spans="4:4" s="21" customFormat="1">
      <c r="D1359" s="163"/>
    </row>
    <row r="1360" spans="4:4" s="21" customFormat="1">
      <c r="D1360" s="163"/>
    </row>
    <row r="1361" spans="4:4" s="21" customFormat="1">
      <c r="D1361" s="163"/>
    </row>
    <row r="1362" spans="4:4" s="21" customFormat="1">
      <c r="D1362" s="163"/>
    </row>
    <row r="1363" spans="4:4" s="21" customFormat="1">
      <c r="D1363" s="163"/>
    </row>
    <row r="1364" spans="4:4" s="21" customFormat="1">
      <c r="D1364" s="163"/>
    </row>
    <row r="1365" spans="4:4" s="21" customFormat="1">
      <c r="D1365" s="163"/>
    </row>
    <row r="1366" spans="4:4" s="21" customFormat="1">
      <c r="D1366" s="163"/>
    </row>
    <row r="1367" spans="4:4" s="21" customFormat="1">
      <c r="D1367" s="163"/>
    </row>
    <row r="1368" spans="4:4" s="21" customFormat="1">
      <c r="D1368" s="163"/>
    </row>
    <row r="1369" spans="4:4" s="21" customFormat="1">
      <c r="D1369" s="163"/>
    </row>
    <row r="1370" spans="4:4" s="21" customFormat="1">
      <c r="D1370" s="163"/>
    </row>
    <row r="1371" spans="4:4" s="21" customFormat="1">
      <c r="D1371" s="163"/>
    </row>
    <row r="1372" spans="4:4" s="21" customFormat="1">
      <c r="D1372" s="163"/>
    </row>
    <row r="1373" spans="4:4" s="21" customFormat="1">
      <c r="D1373" s="163"/>
    </row>
    <row r="1374" spans="4:4" s="21" customFormat="1">
      <c r="D1374" s="163"/>
    </row>
    <row r="1375" spans="4:4" s="21" customFormat="1">
      <c r="D1375" s="163"/>
    </row>
    <row r="1376" spans="4:4" s="21" customFormat="1">
      <c r="D1376" s="163"/>
    </row>
    <row r="1377" spans="4:4" s="21" customFormat="1">
      <c r="D1377" s="163"/>
    </row>
    <row r="1378" spans="4:4" s="21" customFormat="1">
      <c r="D1378" s="163"/>
    </row>
    <row r="1379" spans="4:4" s="21" customFormat="1">
      <c r="D1379" s="163"/>
    </row>
    <row r="1380" spans="4:4" s="21" customFormat="1">
      <c r="D1380" s="163"/>
    </row>
    <row r="1381" spans="4:4" s="21" customFormat="1">
      <c r="D1381" s="163"/>
    </row>
    <row r="1382" spans="4:4" s="21" customFormat="1">
      <c r="D1382" s="163"/>
    </row>
    <row r="1383" spans="4:4" s="21" customFormat="1">
      <c r="D1383" s="163"/>
    </row>
    <row r="1384" spans="4:4" s="21" customFormat="1">
      <c r="D1384" s="163"/>
    </row>
    <row r="1385" spans="4:4" s="21" customFormat="1">
      <c r="D1385" s="163"/>
    </row>
    <row r="1386" spans="4:4" s="21" customFormat="1">
      <c r="D1386" s="163"/>
    </row>
    <row r="1387" spans="4:4" s="21" customFormat="1">
      <c r="D1387" s="163"/>
    </row>
    <row r="1388" spans="4:4" s="21" customFormat="1">
      <c r="D1388" s="163"/>
    </row>
    <row r="1389" spans="4:4" s="21" customFormat="1">
      <c r="D1389" s="163"/>
    </row>
    <row r="1390" spans="4:4" s="21" customFormat="1">
      <c r="D1390" s="163"/>
    </row>
    <row r="1391" spans="4:4" s="21" customFormat="1">
      <c r="D1391" s="163"/>
    </row>
    <row r="1392" spans="4:4" s="21" customFormat="1">
      <c r="D1392" s="163"/>
    </row>
    <row r="1393" spans="4:4" s="21" customFormat="1">
      <c r="D1393" s="163"/>
    </row>
    <row r="1394" spans="4:4" s="21" customFormat="1">
      <c r="D1394" s="163"/>
    </row>
    <row r="1395" spans="4:4" s="21" customFormat="1">
      <c r="D1395" s="163"/>
    </row>
    <row r="1396" spans="4:4" s="21" customFormat="1">
      <c r="D1396" s="163"/>
    </row>
    <row r="1397" spans="4:4" s="21" customFormat="1">
      <c r="D1397" s="163"/>
    </row>
    <row r="1398" spans="4:4" s="21" customFormat="1">
      <c r="D1398" s="163"/>
    </row>
    <row r="1399" spans="4:4" s="21" customFormat="1">
      <c r="D1399" s="163"/>
    </row>
    <row r="1400" spans="4:4" s="21" customFormat="1">
      <c r="D1400" s="163"/>
    </row>
    <row r="1401" spans="4:4" s="21" customFormat="1">
      <c r="D1401" s="163"/>
    </row>
    <row r="1402" spans="4:4" s="21" customFormat="1">
      <c r="D1402" s="163"/>
    </row>
    <row r="1403" spans="4:4" s="21" customFormat="1">
      <c r="D1403" s="163"/>
    </row>
    <row r="1404" spans="4:4" s="21" customFormat="1">
      <c r="D1404" s="163"/>
    </row>
    <row r="1405" spans="4:4" s="21" customFormat="1">
      <c r="D1405" s="163"/>
    </row>
    <row r="1406" spans="4:4" s="21" customFormat="1">
      <c r="D1406" s="163"/>
    </row>
    <row r="1407" spans="4:4" s="21" customFormat="1">
      <c r="D1407" s="163"/>
    </row>
    <row r="1408" spans="4:4" s="21" customFormat="1">
      <c r="D1408" s="163"/>
    </row>
    <row r="1409" spans="4:4" s="21" customFormat="1">
      <c r="D1409" s="163"/>
    </row>
    <row r="1410" spans="4:4" s="21" customFormat="1">
      <c r="D1410" s="163"/>
    </row>
    <row r="1411" spans="4:4" s="21" customFormat="1">
      <c r="D1411" s="163"/>
    </row>
    <row r="1412" spans="4:4" s="21" customFormat="1">
      <c r="D1412" s="163"/>
    </row>
    <row r="1413" spans="4:4" s="21" customFormat="1">
      <c r="D1413" s="163"/>
    </row>
    <row r="1414" spans="4:4" s="21" customFormat="1">
      <c r="D1414" s="163"/>
    </row>
    <row r="1415" spans="4:4" s="21" customFormat="1">
      <c r="D1415" s="163"/>
    </row>
    <row r="1416" spans="4:4" s="21" customFormat="1">
      <c r="D1416" s="163"/>
    </row>
    <row r="1417" spans="4:4" s="21" customFormat="1">
      <c r="D1417" s="163"/>
    </row>
    <row r="1418" spans="4:4" s="21" customFormat="1">
      <c r="D1418" s="163"/>
    </row>
    <row r="1419" spans="4:4" s="21" customFormat="1">
      <c r="D1419" s="163"/>
    </row>
    <row r="1420" spans="4:4" s="21" customFormat="1">
      <c r="D1420" s="163"/>
    </row>
    <row r="1421" spans="4:4" s="21" customFormat="1">
      <c r="D1421" s="163"/>
    </row>
    <row r="1422" spans="4:4" s="21" customFormat="1">
      <c r="D1422" s="163"/>
    </row>
    <row r="1423" spans="4:4" s="21" customFormat="1">
      <c r="D1423" s="163"/>
    </row>
    <row r="1424" spans="4:4" s="21" customFormat="1">
      <c r="D1424" s="163"/>
    </row>
    <row r="1425" spans="4:4" s="21" customFormat="1">
      <c r="D1425" s="163"/>
    </row>
    <row r="1426" spans="4:4" s="21" customFormat="1">
      <c r="D1426" s="163"/>
    </row>
    <row r="1427" spans="4:4" s="21" customFormat="1">
      <c r="D1427" s="163"/>
    </row>
    <row r="1428" spans="4:4" s="21" customFormat="1">
      <c r="D1428" s="163"/>
    </row>
    <row r="1429" spans="4:4" s="21" customFormat="1">
      <c r="D1429" s="163"/>
    </row>
    <row r="1430" spans="4:4" s="21" customFormat="1">
      <c r="D1430" s="163"/>
    </row>
    <row r="1431" spans="4:4" s="21" customFormat="1">
      <c r="D1431" s="163"/>
    </row>
    <row r="1432" spans="4:4" s="21" customFormat="1">
      <c r="D1432" s="163"/>
    </row>
    <row r="1433" spans="4:4" s="21" customFormat="1">
      <c r="D1433" s="163"/>
    </row>
    <row r="1434" spans="4:4" s="21" customFormat="1">
      <c r="D1434" s="163"/>
    </row>
    <row r="1435" spans="4:4" s="21" customFormat="1">
      <c r="D1435" s="163"/>
    </row>
    <row r="1436" spans="4:4" s="21" customFormat="1">
      <c r="D1436" s="163"/>
    </row>
    <row r="1437" spans="4:4" s="21" customFormat="1">
      <c r="D1437" s="163"/>
    </row>
    <row r="1438" spans="4:4" s="21" customFormat="1">
      <c r="D1438" s="163"/>
    </row>
    <row r="1439" spans="4:4" s="21" customFormat="1">
      <c r="D1439" s="163"/>
    </row>
    <row r="1440" spans="4:4" s="21" customFormat="1">
      <c r="D1440" s="163"/>
    </row>
    <row r="1441" spans="4:4" s="21" customFormat="1">
      <c r="D1441" s="163"/>
    </row>
    <row r="1442" spans="4:4" s="21" customFormat="1">
      <c r="D1442" s="163"/>
    </row>
    <row r="1443" spans="4:4" s="21" customFormat="1">
      <c r="D1443" s="163"/>
    </row>
    <row r="1444" spans="4:4" s="21" customFormat="1">
      <c r="D1444" s="163"/>
    </row>
    <row r="1445" spans="4:4" s="21" customFormat="1">
      <c r="D1445" s="163"/>
    </row>
    <row r="1446" spans="4:4" s="21" customFormat="1">
      <c r="D1446" s="163"/>
    </row>
    <row r="1447" spans="4:4" s="21" customFormat="1">
      <c r="D1447" s="163"/>
    </row>
    <row r="1448" spans="4:4" s="21" customFormat="1">
      <c r="D1448" s="163"/>
    </row>
    <row r="1449" spans="4:4" s="21" customFormat="1">
      <c r="D1449" s="163"/>
    </row>
    <row r="1450" spans="4:4" s="21" customFormat="1">
      <c r="D1450" s="163"/>
    </row>
    <row r="1451" spans="4:4" s="21" customFormat="1">
      <c r="D1451" s="163"/>
    </row>
    <row r="1452" spans="4:4" s="21" customFormat="1">
      <c r="D1452" s="163"/>
    </row>
    <row r="1453" spans="4:4" s="21" customFormat="1">
      <c r="D1453" s="163"/>
    </row>
    <row r="1454" spans="4:4" s="21" customFormat="1">
      <c r="D1454" s="163"/>
    </row>
    <row r="1455" spans="4:4" s="21" customFormat="1">
      <c r="D1455" s="163"/>
    </row>
    <row r="1456" spans="4:4" s="21" customFormat="1">
      <c r="D1456" s="163"/>
    </row>
    <row r="1457" spans="4:4" s="21" customFormat="1">
      <c r="D1457" s="163"/>
    </row>
    <row r="1458" spans="4:4" s="21" customFormat="1">
      <c r="D1458" s="163"/>
    </row>
    <row r="1459" spans="4:4" s="21" customFormat="1">
      <c r="D1459" s="163"/>
    </row>
    <row r="1460" spans="4:4" s="21" customFormat="1">
      <c r="D1460" s="163"/>
    </row>
    <row r="1461" spans="4:4" s="21" customFormat="1">
      <c r="D1461" s="163"/>
    </row>
    <row r="1462" spans="4:4" s="21" customFormat="1">
      <c r="D1462" s="163"/>
    </row>
    <row r="1463" spans="4:4" s="21" customFormat="1">
      <c r="D1463" s="163"/>
    </row>
    <row r="1464" spans="4:4" s="21" customFormat="1">
      <c r="D1464" s="163"/>
    </row>
    <row r="1465" spans="4:4" s="21" customFormat="1">
      <c r="D1465" s="163"/>
    </row>
    <row r="1466" spans="4:4" s="21" customFormat="1">
      <c r="D1466" s="163"/>
    </row>
    <row r="1467" spans="4:4" s="21" customFormat="1">
      <c r="D1467" s="163"/>
    </row>
    <row r="1468" spans="4:4" s="21" customFormat="1">
      <c r="D1468" s="163"/>
    </row>
    <row r="1469" spans="4:4" s="21" customFormat="1">
      <c r="D1469" s="163"/>
    </row>
    <row r="1470" spans="4:4" s="21" customFormat="1">
      <c r="D1470" s="163"/>
    </row>
    <row r="1471" spans="4:4" s="21" customFormat="1">
      <c r="D1471" s="163"/>
    </row>
    <row r="1472" spans="4:4" s="21" customFormat="1">
      <c r="D1472" s="163"/>
    </row>
    <row r="1473" spans="4:4" s="21" customFormat="1">
      <c r="D1473" s="163"/>
    </row>
    <row r="1474" spans="4:4" s="21" customFormat="1">
      <c r="D1474" s="163"/>
    </row>
    <row r="1475" spans="4:4" s="21" customFormat="1">
      <c r="D1475" s="163"/>
    </row>
    <row r="1476" spans="4:4" s="21" customFormat="1">
      <c r="D1476" s="163"/>
    </row>
    <row r="1477" spans="4:4" s="21" customFormat="1">
      <c r="D1477" s="163"/>
    </row>
    <row r="1478" spans="4:4" s="21" customFormat="1">
      <c r="D1478" s="163"/>
    </row>
    <row r="1479" spans="4:4" s="21" customFormat="1">
      <c r="D1479" s="163"/>
    </row>
    <row r="1480" spans="4:4" s="21" customFormat="1">
      <c r="D1480" s="163"/>
    </row>
    <row r="1481" spans="4:4" s="21" customFormat="1">
      <c r="D1481" s="163"/>
    </row>
    <row r="1482" spans="4:4" s="21" customFormat="1">
      <c r="D1482" s="163"/>
    </row>
    <row r="1483" spans="4:4" s="21" customFormat="1">
      <c r="D1483" s="163"/>
    </row>
    <row r="1484" spans="4:4" s="21" customFormat="1">
      <c r="D1484" s="163"/>
    </row>
    <row r="1485" spans="4:4" s="21" customFormat="1">
      <c r="D1485" s="163"/>
    </row>
    <row r="1486" spans="4:4" s="21" customFormat="1">
      <c r="D1486" s="163"/>
    </row>
    <row r="1487" spans="4:4" s="21" customFormat="1">
      <c r="D1487" s="163"/>
    </row>
    <row r="1488" spans="4:4" s="21" customFormat="1">
      <c r="D1488" s="163"/>
    </row>
    <row r="1489" spans="4:4" s="21" customFormat="1">
      <c r="D1489" s="163"/>
    </row>
    <row r="1490" spans="4:4" s="21" customFormat="1">
      <c r="D1490" s="163"/>
    </row>
    <row r="1491" spans="4:4" s="21" customFormat="1">
      <c r="D1491" s="163"/>
    </row>
    <row r="1492" spans="4:4" s="21" customFormat="1">
      <c r="D1492" s="163"/>
    </row>
    <row r="1493" spans="4:4" s="21" customFormat="1">
      <c r="D1493" s="163"/>
    </row>
    <row r="1494" spans="4:4" s="21" customFormat="1">
      <c r="D1494" s="163"/>
    </row>
    <row r="1495" spans="4:4" s="21" customFormat="1">
      <c r="D1495" s="163"/>
    </row>
    <row r="1496" spans="4:4" s="21" customFormat="1">
      <c r="D1496" s="163"/>
    </row>
    <row r="1497" spans="4:4" s="21" customFormat="1">
      <c r="D1497" s="163"/>
    </row>
    <row r="1498" spans="4:4" s="21" customFormat="1">
      <c r="D1498" s="163"/>
    </row>
    <row r="1499" spans="4:4" s="21" customFormat="1">
      <c r="D1499" s="163"/>
    </row>
    <row r="1500" spans="4:4" s="21" customFormat="1">
      <c r="D1500" s="163"/>
    </row>
    <row r="1501" spans="4:4" s="21" customFormat="1">
      <c r="D1501" s="163"/>
    </row>
    <row r="1502" spans="4:4" s="21" customFormat="1">
      <c r="D1502" s="163"/>
    </row>
    <row r="1503" spans="4:4" s="21" customFormat="1">
      <c r="D1503" s="163"/>
    </row>
    <row r="1504" spans="4:4" s="21" customFormat="1">
      <c r="D1504" s="163"/>
    </row>
    <row r="1505" spans="4:4" s="21" customFormat="1">
      <c r="D1505" s="163"/>
    </row>
    <row r="1506" spans="4:4" s="21" customFormat="1">
      <c r="D1506" s="163"/>
    </row>
    <row r="1507" spans="4:4" s="21" customFormat="1">
      <c r="D1507" s="163"/>
    </row>
    <row r="1508" spans="4:4" s="21" customFormat="1">
      <c r="D1508" s="163"/>
    </row>
    <row r="1509" spans="4:4" s="21" customFormat="1">
      <c r="D1509" s="163"/>
    </row>
    <row r="1510" spans="4:4" s="21" customFormat="1">
      <c r="D1510" s="163"/>
    </row>
    <row r="1511" spans="4:4" s="21" customFormat="1">
      <c r="D1511" s="163"/>
    </row>
    <row r="1512" spans="4:4" s="21" customFormat="1">
      <c r="D1512" s="163"/>
    </row>
    <row r="1513" spans="4:4" s="21" customFormat="1">
      <c r="D1513" s="163"/>
    </row>
    <row r="1514" spans="4:4" s="21" customFormat="1">
      <c r="D1514" s="163"/>
    </row>
    <row r="1515" spans="4:4" s="21" customFormat="1">
      <c r="D1515" s="163"/>
    </row>
    <row r="1516" spans="4:4" s="21" customFormat="1">
      <c r="D1516" s="163"/>
    </row>
    <row r="1517" spans="4:4" s="21" customFormat="1">
      <c r="D1517" s="163"/>
    </row>
    <row r="1518" spans="4:4" s="21" customFormat="1">
      <c r="D1518" s="163"/>
    </row>
    <row r="1519" spans="4:4" s="21" customFormat="1">
      <c r="D1519" s="163"/>
    </row>
    <row r="1520" spans="4:4" s="21" customFormat="1">
      <c r="D1520" s="163"/>
    </row>
    <row r="1521" spans="4:4" s="21" customFormat="1">
      <c r="D1521" s="163"/>
    </row>
    <row r="1522" spans="4:4" s="21" customFormat="1">
      <c r="D1522" s="163"/>
    </row>
    <row r="1523" spans="4:4" s="21" customFormat="1">
      <c r="D1523" s="163"/>
    </row>
    <row r="1524" spans="4:4" s="21" customFormat="1">
      <c r="D1524" s="163"/>
    </row>
    <row r="1525" spans="4:4" s="21" customFormat="1">
      <c r="D1525" s="163"/>
    </row>
    <row r="1526" spans="4:4" s="21" customFormat="1">
      <c r="D1526" s="163"/>
    </row>
    <row r="1527" spans="4:4" s="21" customFormat="1">
      <c r="D1527" s="163"/>
    </row>
    <row r="1528" spans="4:4" s="21" customFormat="1">
      <c r="D1528" s="163"/>
    </row>
    <row r="1529" spans="4:4" s="21" customFormat="1">
      <c r="D1529" s="163"/>
    </row>
    <row r="1530" spans="4:4" s="21" customFormat="1">
      <c r="D1530" s="163"/>
    </row>
    <row r="1531" spans="4:4" s="21" customFormat="1">
      <c r="D1531" s="163"/>
    </row>
    <row r="1532" spans="4:4" s="21" customFormat="1">
      <c r="D1532" s="163"/>
    </row>
    <row r="1533" spans="4:4" s="21" customFormat="1">
      <c r="D1533" s="163"/>
    </row>
    <row r="1534" spans="4:4" s="21" customFormat="1">
      <c r="D1534" s="163"/>
    </row>
    <row r="1535" spans="4:4" s="21" customFormat="1">
      <c r="D1535" s="163"/>
    </row>
    <row r="1536" spans="4:4" s="21" customFormat="1">
      <c r="D1536" s="163"/>
    </row>
    <row r="1537" spans="4:4" s="21" customFormat="1">
      <c r="D1537" s="163"/>
    </row>
    <row r="1538" spans="4:4" s="21" customFormat="1">
      <c r="D1538" s="163"/>
    </row>
    <row r="1539" spans="4:4" s="21" customFormat="1">
      <c r="D1539" s="163"/>
    </row>
    <row r="1540" spans="4:4" s="21" customFormat="1">
      <c r="D1540" s="163"/>
    </row>
    <row r="1541" spans="4:4" s="21" customFormat="1">
      <c r="D1541" s="163"/>
    </row>
    <row r="1542" spans="4:4" s="21" customFormat="1">
      <c r="D1542" s="163"/>
    </row>
    <row r="1543" spans="4:4" s="21" customFormat="1">
      <c r="D1543" s="163"/>
    </row>
    <row r="1544" spans="4:4" s="21" customFormat="1">
      <c r="D1544" s="163"/>
    </row>
    <row r="1545" spans="4:4" s="21" customFormat="1">
      <c r="D1545" s="163"/>
    </row>
    <row r="1546" spans="4:4" s="21" customFormat="1">
      <c r="D1546" s="163"/>
    </row>
    <row r="1547" spans="4:4" s="21" customFormat="1">
      <c r="D1547" s="163"/>
    </row>
    <row r="1548" spans="4:4" s="21" customFormat="1">
      <c r="D1548" s="163"/>
    </row>
    <row r="1549" spans="4:4" s="21" customFormat="1">
      <c r="D1549" s="163"/>
    </row>
    <row r="1550" spans="4:4" s="21" customFormat="1">
      <c r="D1550" s="163"/>
    </row>
    <row r="1551" spans="4:4" s="21" customFormat="1">
      <c r="D1551" s="163"/>
    </row>
    <row r="1552" spans="4:4" s="21" customFormat="1">
      <c r="D1552" s="163"/>
    </row>
    <row r="1553" spans="4:4" s="21" customFormat="1">
      <c r="D1553" s="163"/>
    </row>
    <row r="1554" spans="4:4" s="21" customFormat="1">
      <c r="D1554" s="163"/>
    </row>
    <row r="1555" spans="4:4" s="21" customFormat="1">
      <c r="D1555" s="163"/>
    </row>
    <row r="1556" spans="4:4" s="21" customFormat="1">
      <c r="D1556" s="163"/>
    </row>
    <row r="1557" spans="4:4" s="21" customFormat="1">
      <c r="D1557" s="163"/>
    </row>
    <row r="1558" spans="4:4" s="21" customFormat="1">
      <c r="D1558" s="163"/>
    </row>
    <row r="1559" spans="4:4" s="21" customFormat="1">
      <c r="D1559" s="163"/>
    </row>
    <row r="1560" spans="4:4" s="21" customFormat="1">
      <c r="D1560" s="163"/>
    </row>
    <row r="1561" spans="4:4" s="21" customFormat="1">
      <c r="D1561" s="163"/>
    </row>
    <row r="1562" spans="4:4" s="21" customFormat="1">
      <c r="D1562" s="163"/>
    </row>
    <row r="1563" spans="4:4" s="21" customFormat="1">
      <c r="D1563" s="163"/>
    </row>
    <row r="1564" spans="4:4" s="21" customFormat="1">
      <c r="D1564" s="163"/>
    </row>
    <row r="1565" spans="4:4" s="21" customFormat="1">
      <c r="D1565" s="163"/>
    </row>
    <row r="1566" spans="4:4" s="21" customFormat="1">
      <c r="D1566" s="163"/>
    </row>
    <row r="1567" spans="4:4" s="21" customFormat="1">
      <c r="D1567" s="163"/>
    </row>
    <row r="1568" spans="4:4" s="21" customFormat="1">
      <c r="D1568" s="163"/>
    </row>
    <row r="1569" spans="4:4" s="21" customFormat="1">
      <c r="D1569" s="163"/>
    </row>
    <row r="1570" spans="4:4" s="21" customFormat="1">
      <c r="D1570" s="163"/>
    </row>
    <row r="1571" spans="4:4" s="21" customFormat="1">
      <c r="D1571" s="163"/>
    </row>
    <row r="1572" spans="4:4" s="21" customFormat="1">
      <c r="D1572" s="163"/>
    </row>
    <row r="1573" spans="4:4" s="21" customFormat="1">
      <c r="D1573" s="163"/>
    </row>
    <row r="1574" spans="4:4" s="21" customFormat="1">
      <c r="D1574" s="163"/>
    </row>
    <row r="1575" spans="4:4" s="21" customFormat="1">
      <c r="D1575" s="163"/>
    </row>
    <row r="1576" spans="4:4" s="21" customFormat="1">
      <c r="D1576" s="163"/>
    </row>
    <row r="1577" spans="4:4" s="21" customFormat="1">
      <c r="D1577" s="163"/>
    </row>
    <row r="1578" spans="4:4" s="21" customFormat="1">
      <c r="D1578" s="163"/>
    </row>
    <row r="1579" spans="4:4" s="21" customFormat="1">
      <c r="D1579" s="163"/>
    </row>
    <row r="1580" spans="4:4" s="21" customFormat="1">
      <c r="D1580" s="163"/>
    </row>
    <row r="1581" spans="4:4" s="21" customFormat="1">
      <c r="D1581" s="163"/>
    </row>
    <row r="1582" spans="4:4" s="21" customFormat="1">
      <c r="D1582" s="163"/>
    </row>
    <row r="1583" spans="4:4" s="21" customFormat="1">
      <c r="D1583" s="163"/>
    </row>
    <row r="1584" spans="4:4" s="21" customFormat="1">
      <c r="D1584" s="163"/>
    </row>
    <row r="1585" spans="4:4" s="21" customFormat="1">
      <c r="D1585" s="163"/>
    </row>
    <row r="1586" spans="4:4" s="21" customFormat="1">
      <c r="D1586" s="163"/>
    </row>
    <row r="1587" spans="4:4" s="21" customFormat="1">
      <c r="D1587" s="163"/>
    </row>
    <row r="1588" spans="4:4" s="21" customFormat="1">
      <c r="D1588" s="163"/>
    </row>
    <row r="1589" spans="4:4" s="21" customFormat="1">
      <c r="D1589" s="163"/>
    </row>
    <row r="1590" spans="4:4" s="21" customFormat="1">
      <c r="D1590" s="163"/>
    </row>
    <row r="1591" spans="4:4" s="21" customFormat="1">
      <c r="D1591" s="163"/>
    </row>
    <row r="1592" spans="4:4" s="21" customFormat="1">
      <c r="D1592" s="163"/>
    </row>
    <row r="1593" spans="4:4" s="21" customFormat="1">
      <c r="D1593" s="163"/>
    </row>
    <row r="1594" spans="4:4" s="21" customFormat="1">
      <c r="D1594" s="163"/>
    </row>
    <row r="1595" spans="4:4" s="21" customFormat="1">
      <c r="D1595" s="163"/>
    </row>
    <row r="1596" spans="4:4" s="21" customFormat="1">
      <c r="D1596" s="163"/>
    </row>
    <row r="1597" spans="4:4" s="21" customFormat="1">
      <c r="D1597" s="163"/>
    </row>
    <row r="1598" spans="4:4" s="21" customFormat="1">
      <c r="D1598" s="163"/>
    </row>
    <row r="1599" spans="4:4" s="21" customFormat="1">
      <c r="D1599" s="163"/>
    </row>
    <row r="1600" spans="4:4" s="21" customFormat="1">
      <c r="D1600" s="163"/>
    </row>
    <row r="1601" spans="4:4" s="21" customFormat="1">
      <c r="D1601" s="163"/>
    </row>
    <row r="1602" spans="4:4" s="21" customFormat="1">
      <c r="D1602" s="163"/>
    </row>
    <row r="1603" spans="4:4" s="21" customFormat="1">
      <c r="D1603" s="163"/>
    </row>
    <row r="1604" spans="4:4" s="21" customFormat="1">
      <c r="D1604" s="163"/>
    </row>
    <row r="1605" spans="4:4" s="21" customFormat="1">
      <c r="D1605" s="163"/>
    </row>
    <row r="1606" spans="4:4" s="21" customFormat="1">
      <c r="D1606" s="163"/>
    </row>
    <row r="1607" spans="4:4" s="21" customFormat="1">
      <c r="D1607" s="163"/>
    </row>
    <row r="1608" spans="4:4" s="21" customFormat="1">
      <c r="D1608" s="163"/>
    </row>
    <row r="1609" spans="4:4" s="21" customFormat="1">
      <c r="D1609" s="163"/>
    </row>
    <row r="1610" spans="4:4" s="21" customFormat="1">
      <c r="D1610" s="163"/>
    </row>
    <row r="1611" spans="4:4" s="21" customFormat="1">
      <c r="D1611" s="163"/>
    </row>
    <row r="1612" spans="4:4" s="21" customFormat="1">
      <c r="D1612" s="163"/>
    </row>
    <row r="1613" spans="4:4" s="21" customFormat="1">
      <c r="D1613" s="163"/>
    </row>
    <row r="1614" spans="4:4" s="21" customFormat="1">
      <c r="D1614" s="163"/>
    </row>
    <row r="1615" spans="4:4" s="21" customFormat="1">
      <c r="D1615" s="163"/>
    </row>
    <row r="1616" spans="4:4" s="21" customFormat="1">
      <c r="D1616" s="163"/>
    </row>
    <row r="1617" spans="4:4" s="21" customFormat="1">
      <c r="D1617" s="163"/>
    </row>
    <row r="1618" spans="4:4" s="21" customFormat="1">
      <c r="D1618" s="163"/>
    </row>
    <row r="1619" spans="4:4" s="21" customFormat="1">
      <c r="D1619" s="163"/>
    </row>
    <row r="1620" spans="4:4" s="21" customFormat="1">
      <c r="D1620" s="163"/>
    </row>
    <row r="1621" spans="4:4" s="21" customFormat="1">
      <c r="D1621" s="163"/>
    </row>
    <row r="1622" spans="4:4" s="21" customFormat="1">
      <c r="D1622" s="163"/>
    </row>
    <row r="1623" spans="4:4" s="21" customFormat="1">
      <c r="D1623" s="163"/>
    </row>
    <row r="1624" spans="4:4" s="21" customFormat="1">
      <c r="D1624" s="163"/>
    </row>
    <row r="1625" spans="4:4" s="21" customFormat="1">
      <c r="D1625" s="163"/>
    </row>
    <row r="1626" spans="4:4" s="21" customFormat="1">
      <c r="D1626" s="163"/>
    </row>
    <row r="1627" spans="4:4" s="21" customFormat="1">
      <c r="D1627" s="163"/>
    </row>
    <row r="1628" spans="4:4" s="21" customFormat="1">
      <c r="D1628" s="163"/>
    </row>
    <row r="1629" spans="4:4" s="21" customFormat="1">
      <c r="D1629" s="163"/>
    </row>
    <row r="1630" spans="4:4" s="21" customFormat="1">
      <c r="D1630" s="163"/>
    </row>
    <row r="1631" spans="4:4" s="21" customFormat="1">
      <c r="D1631" s="163"/>
    </row>
    <row r="1632" spans="4:4" s="21" customFormat="1">
      <c r="D1632" s="163"/>
    </row>
    <row r="1633" spans="4:4" s="21" customFormat="1">
      <c r="D1633" s="163"/>
    </row>
    <row r="1634" spans="4:4" s="21" customFormat="1">
      <c r="D1634" s="163"/>
    </row>
    <row r="1635" spans="4:4" s="21" customFormat="1">
      <c r="D1635" s="163"/>
    </row>
    <row r="1636" spans="4:4" s="21" customFormat="1">
      <c r="D1636" s="163"/>
    </row>
    <row r="1637" spans="4:4" s="21" customFormat="1">
      <c r="D1637" s="163"/>
    </row>
    <row r="1638" spans="4:4" s="21" customFormat="1">
      <c r="D1638" s="163"/>
    </row>
    <row r="1639" spans="4:4" s="21" customFormat="1">
      <c r="D1639" s="163"/>
    </row>
    <row r="1640" spans="4:4" s="21" customFormat="1">
      <c r="D1640" s="163"/>
    </row>
    <row r="1641" spans="4:4" s="21" customFormat="1">
      <c r="D1641" s="163"/>
    </row>
    <row r="1642" spans="4:4" s="21" customFormat="1">
      <c r="D1642" s="163"/>
    </row>
    <row r="1643" spans="4:4" s="21" customFormat="1">
      <c r="D1643" s="163"/>
    </row>
    <row r="1644" spans="4:4" s="21" customFormat="1">
      <c r="D1644" s="163"/>
    </row>
    <row r="1645" spans="4:4" s="21" customFormat="1">
      <c r="D1645" s="163"/>
    </row>
    <row r="1646" spans="4:4" s="21" customFormat="1">
      <c r="D1646" s="163"/>
    </row>
    <row r="1647" spans="4:4" s="21" customFormat="1">
      <c r="D1647" s="163"/>
    </row>
    <row r="1648" spans="4:4" s="21" customFormat="1">
      <c r="D1648" s="163"/>
    </row>
    <row r="1649" spans="4:4" s="21" customFormat="1">
      <c r="D1649" s="163"/>
    </row>
    <row r="1650" spans="4:4" s="21" customFormat="1">
      <c r="D1650" s="163"/>
    </row>
    <row r="1651" spans="4:4" s="21" customFormat="1">
      <c r="D1651" s="163"/>
    </row>
    <row r="1652" spans="4:4" s="21" customFormat="1">
      <c r="D1652" s="163"/>
    </row>
    <row r="1653" spans="4:4" s="21" customFormat="1">
      <c r="D1653" s="163"/>
    </row>
    <row r="1654" spans="4:4" s="21" customFormat="1">
      <c r="D1654" s="163"/>
    </row>
    <row r="1655" spans="4:4" s="21" customFormat="1">
      <c r="D1655" s="163"/>
    </row>
    <row r="1656" spans="4:4" s="21" customFormat="1">
      <c r="D1656" s="163"/>
    </row>
    <row r="1657" spans="4:4" s="21" customFormat="1">
      <c r="D1657" s="163"/>
    </row>
    <row r="1658" spans="4:4" s="21" customFormat="1">
      <c r="D1658" s="163"/>
    </row>
    <row r="1659" spans="4:4" s="21" customFormat="1">
      <c r="D1659" s="163"/>
    </row>
    <row r="1660" spans="4:4" s="21" customFormat="1">
      <c r="D1660" s="163"/>
    </row>
    <row r="1661" spans="4:4" s="21" customFormat="1">
      <c r="D1661" s="163"/>
    </row>
    <row r="1662" spans="4:4" s="21" customFormat="1">
      <c r="D1662" s="163"/>
    </row>
    <row r="1663" spans="4:4" s="21" customFormat="1">
      <c r="D1663" s="163"/>
    </row>
    <row r="1664" spans="4:4" s="21" customFormat="1">
      <c r="D1664" s="163"/>
    </row>
    <row r="1665" spans="4:4" s="21" customFormat="1">
      <c r="D1665" s="163"/>
    </row>
    <row r="1666" spans="4:4" s="21" customFormat="1">
      <c r="D1666" s="163"/>
    </row>
    <row r="1667" spans="4:4" s="21" customFormat="1">
      <c r="D1667" s="163"/>
    </row>
    <row r="1668" spans="4:4" s="21" customFormat="1">
      <c r="D1668" s="163"/>
    </row>
    <row r="1669" spans="4:4" s="21" customFormat="1">
      <c r="D1669" s="163"/>
    </row>
    <row r="1670" spans="4:4" s="21" customFormat="1">
      <c r="D1670" s="163"/>
    </row>
    <row r="1671" spans="4:4" s="21" customFormat="1">
      <c r="D1671" s="163"/>
    </row>
    <row r="1672" spans="4:4" s="21" customFormat="1">
      <c r="D1672" s="163"/>
    </row>
    <row r="1673" spans="4:4" s="21" customFormat="1">
      <c r="D1673" s="163"/>
    </row>
    <row r="1674" spans="4:4" s="21" customFormat="1">
      <c r="D1674" s="163"/>
    </row>
    <row r="1675" spans="4:4" s="21" customFormat="1">
      <c r="D1675" s="163"/>
    </row>
    <row r="1676" spans="4:4" s="21" customFormat="1">
      <c r="D1676" s="163"/>
    </row>
    <row r="1677" spans="4:4" s="21" customFormat="1">
      <c r="D1677" s="163"/>
    </row>
    <row r="1678" spans="4:4" s="21" customFormat="1">
      <c r="D1678" s="163"/>
    </row>
    <row r="1679" spans="4:4" s="21" customFormat="1">
      <c r="D1679" s="163"/>
    </row>
    <row r="1680" spans="4:4" s="21" customFormat="1">
      <c r="D1680" s="163"/>
    </row>
    <row r="1681" spans="4:4" s="21" customFormat="1">
      <c r="D1681" s="163"/>
    </row>
    <row r="1682" spans="4:4" s="21" customFormat="1">
      <c r="D1682" s="163"/>
    </row>
    <row r="1683" spans="4:4" s="21" customFormat="1">
      <c r="D1683" s="163"/>
    </row>
    <row r="1684" spans="4:4" s="21" customFormat="1">
      <c r="D1684" s="163"/>
    </row>
    <row r="1685" spans="4:4" s="21" customFormat="1">
      <c r="D1685" s="163"/>
    </row>
    <row r="1686" spans="4:4" s="21" customFormat="1">
      <c r="D1686" s="163"/>
    </row>
    <row r="1687" spans="4:4" s="21" customFormat="1">
      <c r="D1687" s="163"/>
    </row>
    <row r="1688" spans="4:4" s="21" customFormat="1">
      <c r="D1688" s="163"/>
    </row>
    <row r="1689" spans="4:4" s="21" customFormat="1">
      <c r="D1689" s="163"/>
    </row>
    <row r="1690" spans="4:4" s="21" customFormat="1">
      <c r="D1690" s="163"/>
    </row>
    <row r="1691" spans="4:4" s="21" customFormat="1">
      <c r="D1691" s="163"/>
    </row>
    <row r="1692" spans="4:4" s="21" customFormat="1">
      <c r="D1692" s="163"/>
    </row>
    <row r="1693" spans="4:4" s="21" customFormat="1">
      <c r="D1693" s="163"/>
    </row>
    <row r="1694" spans="4:4" s="21" customFormat="1">
      <c r="D1694" s="163"/>
    </row>
    <row r="1695" spans="4:4" s="21" customFormat="1">
      <c r="D1695" s="163"/>
    </row>
    <row r="1696" spans="4:4" s="21" customFormat="1">
      <c r="D1696" s="163"/>
    </row>
    <row r="1697" spans="4:4" s="21" customFormat="1">
      <c r="D1697" s="163"/>
    </row>
    <row r="1698" spans="4:4" s="21" customFormat="1">
      <c r="D1698" s="163"/>
    </row>
    <row r="1699" spans="4:4" s="21" customFormat="1">
      <c r="D1699" s="163"/>
    </row>
    <row r="1700" spans="4:4" s="21" customFormat="1">
      <c r="D1700" s="163"/>
    </row>
    <row r="1701" spans="4:4" s="21" customFormat="1">
      <c r="D1701" s="163"/>
    </row>
    <row r="1702" spans="4:4" s="21" customFormat="1">
      <c r="D1702" s="163"/>
    </row>
    <row r="1703" spans="4:4" s="21" customFormat="1">
      <c r="D1703" s="163"/>
    </row>
    <row r="1704" spans="4:4" s="21" customFormat="1">
      <c r="D1704" s="163"/>
    </row>
    <row r="1705" spans="4:4" s="21" customFormat="1">
      <c r="D1705" s="163"/>
    </row>
    <row r="1706" spans="4:4" s="21" customFormat="1">
      <c r="D1706" s="163"/>
    </row>
    <row r="1707" spans="4:4" s="21" customFormat="1">
      <c r="D1707" s="163"/>
    </row>
    <row r="1708" spans="4:4" s="21" customFormat="1">
      <c r="D1708" s="163"/>
    </row>
    <row r="1709" spans="4:4" s="21" customFormat="1">
      <c r="D1709" s="163"/>
    </row>
    <row r="1710" spans="4:4" s="21" customFormat="1">
      <c r="D1710" s="163"/>
    </row>
    <row r="1711" spans="4:4" s="21" customFormat="1">
      <c r="D1711" s="163"/>
    </row>
    <row r="1712" spans="4:4" s="21" customFormat="1">
      <c r="D1712" s="163"/>
    </row>
    <row r="1713" spans="4:4" s="21" customFormat="1">
      <c r="D1713" s="163"/>
    </row>
    <row r="1714" spans="4:4" s="21" customFormat="1">
      <c r="D1714" s="163"/>
    </row>
    <row r="1715" spans="4:4" s="21" customFormat="1">
      <c r="D1715" s="163"/>
    </row>
    <row r="1716" spans="4:4" s="21" customFormat="1">
      <c r="D1716" s="163"/>
    </row>
    <row r="1717" spans="4:4" s="21" customFormat="1">
      <c r="D1717" s="163"/>
    </row>
    <row r="1718" spans="4:4" s="21" customFormat="1">
      <c r="D1718" s="163"/>
    </row>
    <row r="1719" spans="4:4" s="21" customFormat="1">
      <c r="D1719" s="163"/>
    </row>
    <row r="1720" spans="4:4" s="21" customFormat="1">
      <c r="D1720" s="163"/>
    </row>
    <row r="1721" spans="4:4" s="21" customFormat="1">
      <c r="D1721" s="163"/>
    </row>
    <row r="1722" spans="4:4" s="21" customFormat="1">
      <c r="D1722" s="163"/>
    </row>
    <row r="1723" spans="4:4" s="21" customFormat="1">
      <c r="D1723" s="163"/>
    </row>
    <row r="1724" spans="4:4" s="21" customFormat="1">
      <c r="D1724" s="163"/>
    </row>
    <row r="1725" spans="4:4" s="21" customFormat="1">
      <c r="D1725" s="163"/>
    </row>
    <row r="1726" spans="4:4" s="21" customFormat="1">
      <c r="D1726" s="163"/>
    </row>
    <row r="1727" spans="4:4" s="21" customFormat="1">
      <c r="D1727" s="163"/>
    </row>
    <row r="1728" spans="4:4" s="21" customFormat="1">
      <c r="D1728" s="163"/>
    </row>
    <row r="1729" spans="4:4" s="21" customFormat="1">
      <c r="D1729" s="163"/>
    </row>
    <row r="1730" spans="4:4" s="21" customFormat="1">
      <c r="D1730" s="163"/>
    </row>
    <row r="1731" spans="4:4" s="21" customFormat="1">
      <c r="D1731" s="163"/>
    </row>
    <row r="1732" spans="4:4" s="21" customFormat="1">
      <c r="D1732" s="163"/>
    </row>
    <row r="1733" spans="4:4" s="21" customFormat="1">
      <c r="D1733" s="163"/>
    </row>
    <row r="1734" spans="4:4" s="21" customFormat="1">
      <c r="D1734" s="163"/>
    </row>
    <row r="1735" spans="4:4" s="21" customFormat="1">
      <c r="D1735" s="163"/>
    </row>
    <row r="1736" spans="4:4" s="21" customFormat="1">
      <c r="D1736" s="163"/>
    </row>
    <row r="1737" spans="4:4" s="21" customFormat="1">
      <c r="D1737" s="163"/>
    </row>
    <row r="1738" spans="4:4" s="21" customFormat="1">
      <c r="D1738" s="163"/>
    </row>
    <row r="1739" spans="4:4" s="21" customFormat="1">
      <c r="D1739" s="163"/>
    </row>
    <row r="1740" spans="4:4" s="21" customFormat="1">
      <c r="D1740" s="163"/>
    </row>
    <row r="1741" spans="4:4" s="21" customFormat="1">
      <c r="D1741" s="163"/>
    </row>
    <row r="1742" spans="4:4" s="21" customFormat="1">
      <c r="D1742" s="163"/>
    </row>
    <row r="1743" spans="4:4" s="21" customFormat="1">
      <c r="D1743" s="163"/>
    </row>
    <row r="1744" spans="4:4" s="21" customFormat="1">
      <c r="D1744" s="163"/>
    </row>
    <row r="1745" spans="4:4" s="21" customFormat="1">
      <c r="D1745" s="163"/>
    </row>
    <row r="1746" spans="4:4" s="21" customFormat="1">
      <c r="D1746" s="163"/>
    </row>
    <row r="1747" spans="4:4" s="21" customFormat="1">
      <c r="D1747" s="163"/>
    </row>
    <row r="1748" spans="4:4" s="21" customFormat="1">
      <c r="D1748" s="163"/>
    </row>
    <row r="1749" spans="4:4" s="21" customFormat="1">
      <c r="D1749" s="163"/>
    </row>
    <row r="1750" spans="4:4" s="21" customFormat="1">
      <c r="D1750" s="163"/>
    </row>
    <row r="1751" spans="4:4" s="21" customFormat="1">
      <c r="D1751" s="163"/>
    </row>
    <row r="1752" spans="4:4" s="21" customFormat="1">
      <c r="D1752" s="163"/>
    </row>
    <row r="1753" spans="4:4" s="21" customFormat="1">
      <c r="D1753" s="163"/>
    </row>
    <row r="1754" spans="4:4" s="21" customFormat="1">
      <c r="D1754" s="163"/>
    </row>
    <row r="1755" spans="4:4" s="21" customFormat="1">
      <c r="D1755" s="163"/>
    </row>
    <row r="1756" spans="4:4" s="21" customFormat="1">
      <c r="D1756" s="163"/>
    </row>
    <row r="1757" spans="4:4" s="21" customFormat="1">
      <c r="D1757" s="163"/>
    </row>
    <row r="1758" spans="4:4" s="21" customFormat="1">
      <c r="D1758" s="163"/>
    </row>
    <row r="1759" spans="4:4" s="21" customFormat="1">
      <c r="D1759" s="163"/>
    </row>
    <row r="1760" spans="4:4" s="21" customFormat="1">
      <c r="D1760" s="163"/>
    </row>
    <row r="1761" spans="4:4" s="21" customFormat="1">
      <c r="D1761" s="163"/>
    </row>
    <row r="1762" spans="4:4" s="21" customFormat="1">
      <c r="D1762" s="163"/>
    </row>
    <row r="1763" spans="4:4" s="21" customFormat="1">
      <c r="D1763" s="163"/>
    </row>
    <row r="1764" spans="4:4" s="21" customFormat="1">
      <c r="D1764" s="163"/>
    </row>
    <row r="1765" spans="4:4" s="21" customFormat="1">
      <c r="D1765" s="163"/>
    </row>
    <row r="1766" spans="4:4" s="21" customFormat="1">
      <c r="D1766" s="163"/>
    </row>
    <row r="1767" spans="4:4" s="21" customFormat="1">
      <c r="D1767" s="163"/>
    </row>
    <row r="1768" spans="4:4" s="21" customFormat="1">
      <c r="D1768" s="163"/>
    </row>
    <row r="1769" spans="4:4" s="21" customFormat="1">
      <c r="D1769" s="163"/>
    </row>
    <row r="1770" spans="4:4" s="21" customFormat="1">
      <c r="D1770" s="163"/>
    </row>
    <row r="1771" spans="4:4" s="21" customFormat="1">
      <c r="D1771" s="163"/>
    </row>
    <row r="1772" spans="4:4" s="21" customFormat="1">
      <c r="D1772" s="163"/>
    </row>
    <row r="1773" spans="4:4" s="21" customFormat="1">
      <c r="D1773" s="163"/>
    </row>
    <row r="1774" spans="4:4" s="21" customFormat="1">
      <c r="D1774" s="163"/>
    </row>
    <row r="1775" spans="4:4" s="21" customFormat="1">
      <c r="D1775" s="163"/>
    </row>
    <row r="1776" spans="4:4" s="21" customFormat="1">
      <c r="D1776" s="163"/>
    </row>
    <row r="1777" spans="4:4" s="21" customFormat="1">
      <c r="D1777" s="163"/>
    </row>
    <row r="1778" spans="4:4" s="21" customFormat="1">
      <c r="D1778" s="163"/>
    </row>
    <row r="1779" spans="4:4" s="21" customFormat="1">
      <c r="D1779" s="163"/>
    </row>
    <row r="1780" spans="4:4" s="21" customFormat="1">
      <c r="D1780" s="163"/>
    </row>
    <row r="1781" spans="4:4" s="21" customFormat="1">
      <c r="D1781" s="163"/>
    </row>
    <row r="1782" spans="4:4" s="21" customFormat="1">
      <c r="D1782" s="163"/>
    </row>
    <row r="1783" spans="4:4" s="21" customFormat="1">
      <c r="D1783" s="163"/>
    </row>
    <row r="1784" spans="4:4" s="21" customFormat="1">
      <c r="D1784" s="163"/>
    </row>
    <row r="1785" spans="4:4" s="21" customFormat="1">
      <c r="D1785" s="163"/>
    </row>
    <row r="1786" spans="4:4" s="21" customFormat="1">
      <c r="D1786" s="163"/>
    </row>
    <row r="1787" spans="4:4" s="21" customFormat="1">
      <c r="D1787" s="163"/>
    </row>
    <row r="1788" spans="4:4" s="21" customFormat="1">
      <c r="D1788" s="163"/>
    </row>
    <row r="1789" spans="4:4" s="21" customFormat="1">
      <c r="D1789" s="163"/>
    </row>
    <row r="1790" spans="4:4" s="21" customFormat="1">
      <c r="D1790" s="163"/>
    </row>
    <row r="1791" spans="4:4" s="21" customFormat="1">
      <c r="D1791" s="163"/>
    </row>
    <row r="1792" spans="4:4" s="21" customFormat="1">
      <c r="D1792" s="163"/>
    </row>
    <row r="1793" spans="4:4" s="21" customFormat="1">
      <c r="D1793" s="163"/>
    </row>
    <row r="1794" spans="4:4" s="21" customFormat="1">
      <c r="D1794" s="163"/>
    </row>
    <row r="1795" spans="4:4" s="21" customFormat="1">
      <c r="D1795" s="163"/>
    </row>
    <row r="1796" spans="4:4" s="21" customFormat="1">
      <c r="D1796" s="163"/>
    </row>
    <row r="1797" spans="4:4" s="21" customFormat="1">
      <c r="D1797" s="163"/>
    </row>
    <row r="1798" spans="4:4" s="21" customFormat="1">
      <c r="D1798" s="163"/>
    </row>
    <row r="1799" spans="4:4" s="21" customFormat="1">
      <c r="D1799" s="163"/>
    </row>
    <row r="1800" spans="4:4" s="21" customFormat="1">
      <c r="D1800" s="163"/>
    </row>
    <row r="1801" spans="4:4" s="21" customFormat="1">
      <c r="D1801" s="163"/>
    </row>
    <row r="1802" spans="4:4" s="21" customFormat="1">
      <c r="D1802" s="163"/>
    </row>
    <row r="1803" spans="4:4" s="21" customFormat="1">
      <c r="D1803" s="163"/>
    </row>
    <row r="1804" spans="4:4" s="21" customFormat="1">
      <c r="D1804" s="163"/>
    </row>
    <row r="1805" spans="4:4" s="21" customFormat="1">
      <c r="D1805" s="163"/>
    </row>
    <row r="1806" spans="4:4" s="21" customFormat="1">
      <c r="D1806" s="163"/>
    </row>
    <row r="1807" spans="4:4" s="21" customFormat="1">
      <c r="D1807" s="163"/>
    </row>
    <row r="1808" spans="4:4" s="21" customFormat="1">
      <c r="D1808" s="163"/>
    </row>
    <row r="1809" spans="4:4" s="21" customFormat="1">
      <c r="D1809" s="163"/>
    </row>
    <row r="1810" spans="4:4" s="21" customFormat="1">
      <c r="D1810" s="163"/>
    </row>
    <row r="1811" spans="4:4" s="21" customFormat="1">
      <c r="D1811" s="163"/>
    </row>
    <row r="1812" spans="4:4" s="21" customFormat="1">
      <c r="D1812" s="163"/>
    </row>
    <row r="1813" spans="4:4" s="21" customFormat="1">
      <c r="D1813" s="163"/>
    </row>
    <row r="1814" spans="4:4" s="21" customFormat="1">
      <c r="D1814" s="163"/>
    </row>
    <row r="1815" spans="4:4" s="21" customFormat="1">
      <c r="D1815" s="163"/>
    </row>
    <row r="1816" spans="4:4" s="21" customFormat="1">
      <c r="D1816" s="163"/>
    </row>
    <row r="1817" spans="4:4" s="21" customFormat="1">
      <c r="D1817" s="163"/>
    </row>
    <row r="1818" spans="4:4" s="21" customFormat="1">
      <c r="D1818" s="163"/>
    </row>
    <row r="1819" spans="4:4" s="21" customFormat="1">
      <c r="D1819" s="163"/>
    </row>
    <row r="1820" spans="4:4" s="21" customFormat="1">
      <c r="D1820" s="163"/>
    </row>
    <row r="1821" spans="4:4" s="21" customFormat="1">
      <c r="D1821" s="163"/>
    </row>
    <row r="1822" spans="4:4" s="21" customFormat="1">
      <c r="D1822" s="163"/>
    </row>
    <row r="1823" spans="4:4" s="21" customFormat="1">
      <c r="D1823" s="163"/>
    </row>
    <row r="1824" spans="4:4" s="21" customFormat="1">
      <c r="D1824" s="163"/>
    </row>
    <row r="1825" spans="4:4" s="21" customFormat="1">
      <c r="D1825" s="163"/>
    </row>
    <row r="1826" spans="4:4" s="21" customFormat="1">
      <c r="D1826" s="163"/>
    </row>
    <row r="1827" spans="4:4" s="21" customFormat="1">
      <c r="D1827" s="163"/>
    </row>
    <row r="1828" spans="4:4" s="21" customFormat="1">
      <c r="D1828" s="163"/>
    </row>
    <row r="1829" spans="4:4" s="21" customFormat="1">
      <c r="D1829" s="163"/>
    </row>
    <row r="1830" spans="4:4" s="21" customFormat="1">
      <c r="D1830" s="163"/>
    </row>
    <row r="1831" spans="4:4" s="21" customFormat="1">
      <c r="D1831" s="163"/>
    </row>
    <row r="1832" spans="4:4" s="21" customFormat="1">
      <c r="D1832" s="163"/>
    </row>
    <row r="1833" spans="4:4" s="21" customFormat="1">
      <c r="D1833" s="163"/>
    </row>
    <row r="1834" spans="4:4" s="21" customFormat="1">
      <c r="D1834" s="163"/>
    </row>
    <row r="1835" spans="4:4" s="21" customFormat="1">
      <c r="D1835" s="163"/>
    </row>
    <row r="1836" spans="4:4" s="21" customFormat="1">
      <c r="D1836" s="163"/>
    </row>
    <row r="1837" spans="4:4" s="21" customFormat="1">
      <c r="D1837" s="163"/>
    </row>
    <row r="1838" spans="4:4" s="21" customFormat="1">
      <c r="D1838" s="163"/>
    </row>
    <row r="1839" spans="4:4" s="21" customFormat="1">
      <c r="D1839" s="163"/>
    </row>
    <row r="1840" spans="4:4" s="21" customFormat="1">
      <c r="D1840" s="163"/>
    </row>
    <row r="1841" spans="4:4" s="21" customFormat="1">
      <c r="D1841" s="163"/>
    </row>
    <row r="1842" spans="4:4" s="21" customFormat="1">
      <c r="D1842" s="163"/>
    </row>
    <row r="1843" spans="4:4" s="21" customFormat="1">
      <c r="D1843" s="163"/>
    </row>
    <row r="1844" spans="4:4" s="21" customFormat="1">
      <c r="D1844" s="163"/>
    </row>
    <row r="1845" spans="4:4" s="21" customFormat="1">
      <c r="D1845" s="163"/>
    </row>
    <row r="1846" spans="4:4" s="21" customFormat="1">
      <c r="D1846" s="163"/>
    </row>
    <row r="1847" spans="4:4" s="21" customFormat="1">
      <c r="D1847" s="163"/>
    </row>
    <row r="1848" spans="4:4" s="21" customFormat="1">
      <c r="D1848" s="163"/>
    </row>
    <row r="1849" spans="4:4" s="21" customFormat="1">
      <c r="D1849" s="163"/>
    </row>
    <row r="1850" spans="4:4" s="21" customFormat="1">
      <c r="D1850" s="163"/>
    </row>
    <row r="1851" spans="4:4" s="21" customFormat="1">
      <c r="D1851" s="163"/>
    </row>
    <row r="1852" spans="4:4" s="21" customFormat="1">
      <c r="D1852" s="163"/>
    </row>
    <row r="1853" spans="4:4" s="21" customFormat="1">
      <c r="D1853" s="163"/>
    </row>
    <row r="1854" spans="4:4" s="21" customFormat="1">
      <c r="D1854" s="163"/>
    </row>
    <row r="1855" spans="4:4" s="21" customFormat="1">
      <c r="D1855" s="163"/>
    </row>
    <row r="1856" spans="4:4" s="21" customFormat="1">
      <c r="D1856" s="163"/>
    </row>
    <row r="1857" spans="4:4" s="21" customFormat="1">
      <c r="D1857" s="163"/>
    </row>
    <row r="1858" spans="4:4" s="21" customFormat="1">
      <c r="D1858" s="163"/>
    </row>
    <row r="1859" spans="4:4" s="21" customFormat="1">
      <c r="D1859" s="163"/>
    </row>
    <row r="1860" spans="4:4" s="21" customFormat="1">
      <c r="D1860" s="163"/>
    </row>
    <row r="1861" spans="4:4" s="21" customFormat="1">
      <c r="D1861" s="163"/>
    </row>
    <row r="1862" spans="4:4" s="21" customFormat="1">
      <c r="D1862" s="163"/>
    </row>
    <row r="1863" spans="4:4" s="21" customFormat="1">
      <c r="D1863" s="163"/>
    </row>
    <row r="1864" spans="4:4" s="21" customFormat="1">
      <c r="D1864" s="163"/>
    </row>
    <row r="1865" spans="4:4" s="21" customFormat="1">
      <c r="D1865" s="163"/>
    </row>
    <row r="1866" spans="4:4" s="21" customFormat="1">
      <c r="D1866" s="163"/>
    </row>
    <row r="1867" spans="4:4" s="21" customFormat="1">
      <c r="D1867" s="163"/>
    </row>
    <row r="1868" spans="4:4" s="21" customFormat="1">
      <c r="D1868" s="163"/>
    </row>
    <row r="1869" spans="4:4" s="21" customFormat="1">
      <c r="D1869" s="163"/>
    </row>
    <row r="1870" spans="4:4" s="21" customFormat="1">
      <c r="D1870" s="163"/>
    </row>
    <row r="1871" spans="4:4" s="21" customFormat="1">
      <c r="D1871" s="163"/>
    </row>
    <row r="1872" spans="4:4" s="21" customFormat="1">
      <c r="D1872" s="163"/>
    </row>
    <row r="1873" spans="4:4" s="21" customFormat="1">
      <c r="D1873" s="163"/>
    </row>
    <row r="1874" spans="4:4" s="21" customFormat="1">
      <c r="D1874" s="163"/>
    </row>
    <row r="1875" spans="4:4" s="21" customFormat="1">
      <c r="D1875" s="163"/>
    </row>
    <row r="1876" spans="4:4" s="21" customFormat="1">
      <c r="D1876" s="163"/>
    </row>
    <row r="1877" spans="4:4" s="21" customFormat="1">
      <c r="D1877" s="163"/>
    </row>
    <row r="1878" spans="4:4" s="21" customFormat="1">
      <c r="D1878" s="163"/>
    </row>
    <row r="1879" spans="4:4" s="21" customFormat="1">
      <c r="D1879" s="163"/>
    </row>
    <row r="1880" spans="4:4" s="21" customFormat="1">
      <c r="D1880" s="163"/>
    </row>
    <row r="1881" spans="4:4" s="21" customFormat="1">
      <c r="D1881" s="163"/>
    </row>
    <row r="1882" spans="4:4" s="21" customFormat="1">
      <c r="D1882" s="163"/>
    </row>
    <row r="1883" spans="4:4" s="21" customFormat="1">
      <c r="D1883" s="163"/>
    </row>
    <row r="1884" spans="4:4" s="21" customFormat="1">
      <c r="D1884" s="163"/>
    </row>
    <row r="1885" spans="4:4" s="21" customFormat="1">
      <c r="D1885" s="163"/>
    </row>
    <row r="1886" spans="4:4" s="21" customFormat="1">
      <c r="D1886" s="163"/>
    </row>
    <row r="1887" spans="4:4" s="21" customFormat="1">
      <c r="D1887" s="163"/>
    </row>
    <row r="1888" spans="4:4" s="21" customFormat="1">
      <c r="D1888" s="163"/>
    </row>
    <row r="1889" spans="4:4" s="21" customFormat="1">
      <c r="D1889" s="163"/>
    </row>
    <row r="1890" spans="4:4" s="21" customFormat="1">
      <c r="D1890" s="163"/>
    </row>
    <row r="1891" spans="4:4" s="21" customFormat="1">
      <c r="D1891" s="163"/>
    </row>
    <row r="1892" spans="4:4" s="21" customFormat="1">
      <c r="D1892" s="163"/>
    </row>
    <row r="1893" spans="4:4" s="21" customFormat="1">
      <c r="D1893" s="163"/>
    </row>
    <row r="1894" spans="4:4" s="21" customFormat="1">
      <c r="D1894" s="163"/>
    </row>
    <row r="1895" spans="4:4" s="21" customFormat="1">
      <c r="D1895" s="163"/>
    </row>
    <row r="1896" spans="4:4" s="21" customFormat="1">
      <c r="D1896" s="163"/>
    </row>
    <row r="1897" spans="4:4" s="21" customFormat="1">
      <c r="D1897" s="163"/>
    </row>
    <row r="1898" spans="4:4" s="21" customFormat="1">
      <c r="D1898" s="163"/>
    </row>
    <row r="1899" spans="4:4" s="21" customFormat="1">
      <c r="D1899" s="163"/>
    </row>
    <row r="1900" spans="4:4" s="21" customFormat="1">
      <c r="D1900" s="163"/>
    </row>
    <row r="1901" spans="4:4" s="21" customFormat="1">
      <c r="D1901" s="163"/>
    </row>
    <row r="1902" spans="4:4" s="21" customFormat="1">
      <c r="D1902" s="163"/>
    </row>
    <row r="1903" spans="4:4" s="21" customFormat="1">
      <c r="D1903" s="163"/>
    </row>
    <row r="1904" spans="4:4" s="21" customFormat="1">
      <c r="D1904" s="163"/>
    </row>
    <row r="1905" spans="4:4" s="21" customFormat="1">
      <c r="D1905" s="163"/>
    </row>
    <row r="1906" spans="4:4" s="21" customFormat="1">
      <c r="D1906" s="163"/>
    </row>
    <row r="1907" spans="4:4" s="21" customFormat="1">
      <c r="D1907" s="163"/>
    </row>
    <row r="1908" spans="4:4" s="21" customFormat="1">
      <c r="D1908" s="163"/>
    </row>
    <row r="1909" spans="4:4" s="21" customFormat="1">
      <c r="D1909" s="163"/>
    </row>
    <row r="1910" spans="4:4" s="21" customFormat="1">
      <c r="D1910" s="163"/>
    </row>
    <row r="1911" spans="4:4" s="21" customFormat="1">
      <c r="D1911" s="163"/>
    </row>
    <row r="1912" spans="4:4" s="21" customFormat="1">
      <c r="D1912" s="163"/>
    </row>
    <row r="1913" spans="4:4" s="21" customFormat="1">
      <c r="D1913" s="163"/>
    </row>
    <row r="1914" spans="4:4" s="21" customFormat="1">
      <c r="D1914" s="163"/>
    </row>
    <row r="1915" spans="4:4" s="21" customFormat="1">
      <c r="D1915" s="163"/>
    </row>
    <row r="1916" spans="4:4" s="21" customFormat="1">
      <c r="D1916" s="163"/>
    </row>
    <row r="1917" spans="4:4" s="21" customFormat="1">
      <c r="D1917" s="163"/>
    </row>
    <row r="1918" spans="4:4" s="21" customFormat="1">
      <c r="D1918" s="163"/>
    </row>
    <row r="1919" spans="4:4" s="21" customFormat="1">
      <c r="D1919" s="163"/>
    </row>
    <row r="1920" spans="4:4" s="21" customFormat="1">
      <c r="D1920" s="163"/>
    </row>
    <row r="1921" spans="4:4" s="21" customFormat="1">
      <c r="D1921" s="163"/>
    </row>
    <row r="1922" spans="4:4" s="21" customFormat="1">
      <c r="D1922" s="163"/>
    </row>
    <row r="1923" spans="4:4" s="21" customFormat="1">
      <c r="D1923" s="163"/>
    </row>
    <row r="1924" spans="4:4" s="21" customFormat="1">
      <c r="D1924" s="163"/>
    </row>
    <row r="1925" spans="4:4" s="21" customFormat="1">
      <c r="D1925" s="163"/>
    </row>
    <row r="1926" spans="4:4" s="21" customFormat="1">
      <c r="D1926" s="163"/>
    </row>
    <row r="1927" spans="4:4" s="21" customFormat="1">
      <c r="D1927" s="163"/>
    </row>
    <row r="1928" spans="4:4" s="21" customFormat="1">
      <c r="D1928" s="163"/>
    </row>
    <row r="1929" spans="4:4" s="21" customFormat="1">
      <c r="D1929" s="163"/>
    </row>
    <row r="1930" spans="4:4" s="21" customFormat="1">
      <c r="D1930" s="163"/>
    </row>
    <row r="1931" spans="4:4" s="21" customFormat="1">
      <c r="D1931" s="163"/>
    </row>
    <row r="1932" spans="4:4" s="21" customFormat="1">
      <c r="D1932" s="163"/>
    </row>
    <row r="1933" spans="4:4" s="21" customFormat="1">
      <c r="D1933" s="163"/>
    </row>
    <row r="1934" spans="4:4" s="21" customFormat="1">
      <c r="D1934" s="163"/>
    </row>
    <row r="1935" spans="4:4" s="21" customFormat="1">
      <c r="D1935" s="163"/>
    </row>
    <row r="1936" spans="4:4" s="21" customFormat="1">
      <c r="D1936" s="163"/>
    </row>
    <row r="1937" spans="4:4" s="21" customFormat="1">
      <c r="D1937" s="163"/>
    </row>
    <row r="1938" spans="4:4" s="21" customFormat="1">
      <c r="D1938" s="163"/>
    </row>
    <row r="1939" spans="4:4" s="21" customFormat="1">
      <c r="D1939" s="163"/>
    </row>
    <row r="1940" spans="4:4" s="21" customFormat="1">
      <c r="D1940" s="163"/>
    </row>
    <row r="1941" spans="4:4" s="21" customFormat="1">
      <c r="D1941" s="163"/>
    </row>
    <row r="1942" spans="4:4" s="21" customFormat="1">
      <c r="D1942" s="163"/>
    </row>
    <row r="1943" spans="4:4" s="21" customFormat="1">
      <c r="D1943" s="163"/>
    </row>
    <row r="1944" spans="4:4" s="21" customFormat="1">
      <c r="D1944" s="163"/>
    </row>
    <row r="1945" spans="4:4" s="21" customFormat="1">
      <c r="D1945" s="163"/>
    </row>
    <row r="1946" spans="4:4" s="21" customFormat="1">
      <c r="D1946" s="163"/>
    </row>
    <row r="1947" spans="4:4" s="21" customFormat="1">
      <c r="D1947" s="163"/>
    </row>
    <row r="1948" spans="4:4" s="21" customFormat="1">
      <c r="D1948" s="163"/>
    </row>
    <row r="1949" spans="4:4" s="21" customFormat="1">
      <c r="D1949" s="163"/>
    </row>
    <row r="1950" spans="4:4" s="21" customFormat="1">
      <c r="D1950" s="163"/>
    </row>
    <row r="1951" spans="4:4" s="21" customFormat="1">
      <c r="D1951" s="163"/>
    </row>
    <row r="1952" spans="4:4" s="21" customFormat="1">
      <c r="D1952" s="163"/>
    </row>
    <row r="1953" spans="4:4" s="21" customFormat="1">
      <c r="D1953" s="163"/>
    </row>
    <row r="1954" spans="4:4" s="21" customFormat="1">
      <c r="D1954" s="163"/>
    </row>
    <row r="1955" spans="4:4" s="21" customFormat="1">
      <c r="D1955" s="163"/>
    </row>
    <row r="1956" spans="4:4" s="21" customFormat="1">
      <c r="D1956" s="163"/>
    </row>
    <row r="1957" spans="4:4" s="21" customFormat="1">
      <c r="D1957" s="163"/>
    </row>
    <row r="1958" spans="4:4" s="21" customFormat="1">
      <c r="D1958" s="163"/>
    </row>
    <row r="1959" spans="4:4" s="21" customFormat="1">
      <c r="D1959" s="163"/>
    </row>
    <row r="1960" spans="4:4" s="21" customFormat="1">
      <c r="D1960" s="163"/>
    </row>
    <row r="1961" spans="4:4" s="21" customFormat="1">
      <c r="D1961" s="163"/>
    </row>
    <row r="1962" spans="4:4" s="21" customFormat="1">
      <c r="D1962" s="163"/>
    </row>
    <row r="1963" spans="4:4" s="21" customFormat="1">
      <c r="D1963" s="163"/>
    </row>
    <row r="1964" spans="4:4" s="21" customFormat="1">
      <c r="D1964" s="163"/>
    </row>
    <row r="1965" spans="4:4" s="21" customFormat="1">
      <c r="D1965" s="163"/>
    </row>
    <row r="1966" spans="4:4" s="21" customFormat="1">
      <c r="D1966" s="163"/>
    </row>
    <row r="1967" spans="4:4" s="21" customFormat="1">
      <c r="D1967" s="163"/>
    </row>
    <row r="1968" spans="4:4" s="21" customFormat="1">
      <c r="D1968" s="163"/>
    </row>
    <row r="1969" spans="4:4" s="21" customFormat="1">
      <c r="D1969" s="163"/>
    </row>
    <row r="1970" spans="4:4" s="21" customFormat="1">
      <c r="D1970" s="163"/>
    </row>
    <row r="1971" spans="4:4" s="21" customFormat="1">
      <c r="D1971" s="163"/>
    </row>
    <row r="1972" spans="4:4" s="21" customFormat="1">
      <c r="D1972" s="163"/>
    </row>
    <row r="1973" spans="4:4" s="21" customFormat="1">
      <c r="D1973" s="163"/>
    </row>
    <row r="1974" spans="4:4" s="21" customFormat="1">
      <c r="D1974" s="163"/>
    </row>
    <row r="1975" spans="4:4" s="21" customFormat="1">
      <c r="D1975" s="163"/>
    </row>
    <row r="1976" spans="4:4" s="21" customFormat="1">
      <c r="D1976" s="163"/>
    </row>
    <row r="1977" spans="4:4" s="21" customFormat="1">
      <c r="D1977" s="163"/>
    </row>
    <row r="1978" spans="4:4" s="21" customFormat="1">
      <c r="D1978" s="163"/>
    </row>
    <row r="1979" spans="4:4" s="21" customFormat="1">
      <c r="D1979" s="163"/>
    </row>
    <row r="1980" spans="4:4" s="21" customFormat="1">
      <c r="D1980" s="163"/>
    </row>
    <row r="1981" spans="4:4" s="21" customFormat="1">
      <c r="D1981" s="163"/>
    </row>
    <row r="1982" spans="4:4" s="21" customFormat="1">
      <c r="D1982" s="163"/>
    </row>
    <row r="1983" spans="4:4" s="21" customFormat="1">
      <c r="D1983" s="163"/>
    </row>
    <row r="1984" spans="4:4" s="21" customFormat="1">
      <c r="D1984" s="163"/>
    </row>
    <row r="1985" spans="4:4" s="21" customFormat="1">
      <c r="D1985" s="163"/>
    </row>
    <row r="1986" spans="4:4" s="21" customFormat="1">
      <c r="D1986" s="163"/>
    </row>
    <row r="1987" spans="4:4" s="21" customFormat="1">
      <c r="D1987" s="163"/>
    </row>
    <row r="1988" spans="4:4" s="21" customFormat="1">
      <c r="D1988" s="163"/>
    </row>
    <row r="1989" spans="4:4" s="21" customFormat="1">
      <c r="D1989" s="163"/>
    </row>
    <row r="1990" spans="4:4" s="21" customFormat="1">
      <c r="D1990" s="163"/>
    </row>
    <row r="1991" spans="4:4" s="21" customFormat="1">
      <c r="D1991" s="163"/>
    </row>
    <row r="1992" spans="4:4" s="21" customFormat="1">
      <c r="D1992" s="163"/>
    </row>
    <row r="1993" spans="4:4" s="21" customFormat="1">
      <c r="D1993" s="163"/>
    </row>
    <row r="1994" spans="4:4" s="21" customFormat="1">
      <c r="D1994" s="163"/>
    </row>
    <row r="1995" spans="4:4" s="21" customFormat="1">
      <c r="D1995" s="163"/>
    </row>
    <row r="1996" spans="4:4" s="21" customFormat="1">
      <c r="D1996" s="163"/>
    </row>
    <row r="1997" spans="4:4" s="21" customFormat="1">
      <c r="D1997" s="163"/>
    </row>
    <row r="1998" spans="4:4" s="21" customFormat="1">
      <c r="D1998" s="163"/>
    </row>
    <row r="1999" spans="4:4" s="21" customFormat="1">
      <c r="D1999" s="163"/>
    </row>
    <row r="2000" spans="4:4" s="21" customFormat="1">
      <c r="D2000" s="163"/>
    </row>
    <row r="2001" spans="4:4" s="21" customFormat="1">
      <c r="D2001" s="163"/>
    </row>
    <row r="2002" spans="4:4" s="21" customFormat="1">
      <c r="D2002" s="163"/>
    </row>
    <row r="2003" spans="4:4" s="21" customFormat="1">
      <c r="D2003" s="163"/>
    </row>
    <row r="2004" spans="4:4" s="21" customFormat="1">
      <c r="D2004" s="163"/>
    </row>
    <row r="2005" spans="4:4" s="21" customFormat="1">
      <c r="D2005" s="163"/>
    </row>
    <row r="2006" spans="4:4" s="21" customFormat="1">
      <c r="D2006" s="163"/>
    </row>
    <row r="2007" spans="4:4" s="21" customFormat="1">
      <c r="D2007" s="163"/>
    </row>
    <row r="2008" spans="4:4" s="21" customFormat="1">
      <c r="D2008" s="163"/>
    </row>
    <row r="2009" spans="4:4" s="21" customFormat="1">
      <c r="D2009" s="163"/>
    </row>
    <row r="2010" spans="4:4" s="21" customFormat="1">
      <c r="D2010" s="163"/>
    </row>
    <row r="2011" spans="4:4" s="21" customFormat="1">
      <c r="D2011" s="163"/>
    </row>
    <row r="2012" spans="4:4" s="21" customFormat="1">
      <c r="D2012" s="163"/>
    </row>
    <row r="2013" spans="4:4" s="21" customFormat="1">
      <c r="D2013" s="163"/>
    </row>
    <row r="2014" spans="4:4" s="21" customFormat="1">
      <c r="D2014" s="163"/>
    </row>
    <row r="2015" spans="4:4" s="21" customFormat="1">
      <c r="D2015" s="163"/>
    </row>
    <row r="2016" spans="4:4" s="21" customFormat="1">
      <c r="D2016" s="163"/>
    </row>
    <row r="2017" spans="4:4" s="21" customFormat="1">
      <c r="D2017" s="163"/>
    </row>
    <row r="2018" spans="4:4" s="21" customFormat="1">
      <c r="D2018" s="163"/>
    </row>
    <row r="2019" spans="4:4" s="21" customFormat="1">
      <c r="D2019" s="163"/>
    </row>
    <row r="2020" spans="4:4" s="21" customFormat="1">
      <c r="D2020" s="163"/>
    </row>
    <row r="2021" spans="4:4" s="21" customFormat="1">
      <c r="D2021" s="163"/>
    </row>
    <row r="2022" spans="4:4" s="21" customFormat="1">
      <c r="D2022" s="163"/>
    </row>
    <row r="2023" spans="4:4" s="21" customFormat="1">
      <c r="D2023" s="163"/>
    </row>
    <row r="2024" spans="4:4" s="21" customFormat="1">
      <c r="D2024" s="163"/>
    </row>
    <row r="2025" spans="4:4" s="21" customFormat="1">
      <c r="D2025" s="163"/>
    </row>
    <row r="2026" spans="4:4" s="21" customFormat="1">
      <c r="D2026" s="163"/>
    </row>
    <row r="2027" spans="4:4" s="21" customFormat="1">
      <c r="D2027" s="163"/>
    </row>
    <row r="2028" spans="4:4" s="21" customFormat="1">
      <c r="D2028" s="163"/>
    </row>
    <row r="2029" spans="4:4" s="21" customFormat="1">
      <c r="D2029" s="163"/>
    </row>
    <row r="2030" spans="4:4" s="21" customFormat="1">
      <c r="D2030" s="163"/>
    </row>
    <row r="2031" spans="4:4" s="21" customFormat="1">
      <c r="D2031" s="163"/>
    </row>
    <row r="2032" spans="4:4" s="21" customFormat="1">
      <c r="D2032" s="163"/>
    </row>
    <row r="2033" spans="4:4" s="21" customFormat="1">
      <c r="D2033" s="163"/>
    </row>
    <row r="2034" spans="4:4" s="21" customFormat="1">
      <c r="D2034" s="163"/>
    </row>
    <row r="2035" spans="4:4" s="21" customFormat="1">
      <c r="D2035" s="163"/>
    </row>
    <row r="2036" spans="4:4" s="21" customFormat="1">
      <c r="D2036" s="163"/>
    </row>
    <row r="2037" spans="4:4" s="21" customFormat="1">
      <c r="D2037" s="163"/>
    </row>
    <row r="2038" spans="4:4" s="21" customFormat="1">
      <c r="D2038" s="163"/>
    </row>
    <row r="2039" spans="4:4" s="21" customFormat="1">
      <c r="D2039" s="163"/>
    </row>
    <row r="2040" spans="4:4" s="21" customFormat="1">
      <c r="D2040" s="163"/>
    </row>
    <row r="2041" spans="4:4" s="21" customFormat="1">
      <c r="D2041" s="163"/>
    </row>
    <row r="2042" spans="4:4" s="21" customFormat="1">
      <c r="D2042" s="163"/>
    </row>
    <row r="2043" spans="4:4" s="21" customFormat="1">
      <c r="D2043" s="163"/>
    </row>
    <row r="2044" spans="4:4" s="21" customFormat="1">
      <c r="D2044" s="163"/>
    </row>
    <row r="2045" spans="4:4" s="21" customFormat="1">
      <c r="D2045" s="163"/>
    </row>
    <row r="2046" spans="4:4" s="21" customFormat="1">
      <c r="D2046" s="163"/>
    </row>
    <row r="2047" spans="4:4" s="21" customFormat="1">
      <c r="D2047" s="163"/>
    </row>
    <row r="2048" spans="4:4" s="21" customFormat="1">
      <c r="D2048" s="163"/>
    </row>
    <row r="2049" spans="4:4" s="21" customFormat="1">
      <c r="D2049" s="163"/>
    </row>
    <row r="2050" spans="4:4" s="21" customFormat="1">
      <c r="D2050" s="163"/>
    </row>
    <row r="2051" spans="4:4" s="21" customFormat="1">
      <c r="D2051" s="163"/>
    </row>
    <row r="2052" spans="4:4" s="21" customFormat="1">
      <c r="D2052" s="163"/>
    </row>
    <row r="2053" spans="4:4" s="21" customFormat="1">
      <c r="D2053" s="163"/>
    </row>
    <row r="2054" spans="4:4" s="21" customFormat="1">
      <c r="D2054" s="163"/>
    </row>
    <row r="2055" spans="4:4" s="21" customFormat="1">
      <c r="D2055" s="163"/>
    </row>
    <row r="2056" spans="4:4" s="21" customFormat="1">
      <c r="D2056" s="163"/>
    </row>
    <row r="2057" spans="4:4" s="21" customFormat="1">
      <c r="D2057" s="163"/>
    </row>
    <row r="2058" spans="4:4" s="21" customFormat="1">
      <c r="D2058" s="163"/>
    </row>
    <row r="2059" spans="4:4" s="21" customFormat="1">
      <c r="D2059" s="163"/>
    </row>
    <row r="2060" spans="4:4" s="21" customFormat="1">
      <c r="D2060" s="163"/>
    </row>
    <row r="2061" spans="4:4" s="21" customFormat="1">
      <c r="D2061" s="163"/>
    </row>
    <row r="2062" spans="4:4" s="21" customFormat="1">
      <c r="D2062" s="163"/>
    </row>
    <row r="2063" spans="4:4" s="21" customFormat="1">
      <c r="D2063" s="163"/>
    </row>
    <row r="2064" spans="4:4" s="21" customFormat="1">
      <c r="D2064" s="163"/>
    </row>
    <row r="2065" spans="4:4" s="21" customFormat="1">
      <c r="D2065" s="163"/>
    </row>
    <row r="2066" spans="4:4" s="21" customFormat="1">
      <c r="D2066" s="163"/>
    </row>
    <row r="2067" spans="4:4" s="21" customFormat="1">
      <c r="D2067" s="163"/>
    </row>
    <row r="2068" spans="4:4" s="21" customFormat="1">
      <c r="D2068" s="163"/>
    </row>
    <row r="2069" spans="4:4" s="21" customFormat="1">
      <c r="D2069" s="163"/>
    </row>
    <row r="2070" spans="4:4" s="21" customFormat="1">
      <c r="D2070" s="163"/>
    </row>
    <row r="2071" spans="4:4" s="21" customFormat="1">
      <c r="D2071" s="163"/>
    </row>
    <row r="2072" spans="4:4" s="21" customFormat="1">
      <c r="D2072" s="163"/>
    </row>
    <row r="2073" spans="4:4" s="21" customFormat="1">
      <c r="D2073" s="163"/>
    </row>
    <row r="2074" spans="4:4" s="21" customFormat="1">
      <c r="D2074" s="163"/>
    </row>
    <row r="2075" spans="4:4" s="21" customFormat="1">
      <c r="D2075" s="163"/>
    </row>
    <row r="2076" spans="4:4" s="21" customFormat="1">
      <c r="D2076" s="163"/>
    </row>
    <row r="2077" spans="4:4" s="21" customFormat="1">
      <c r="D2077" s="163"/>
    </row>
    <row r="2078" spans="4:4" s="21" customFormat="1">
      <c r="D2078" s="163"/>
    </row>
    <row r="2079" spans="4:4" s="21" customFormat="1">
      <c r="D2079" s="163"/>
    </row>
    <row r="2080" spans="4:4" s="21" customFormat="1">
      <c r="D2080" s="163"/>
    </row>
    <row r="2081" spans="4:4" s="21" customFormat="1">
      <c r="D2081" s="163"/>
    </row>
    <row r="2082" spans="4:4" s="21" customFormat="1">
      <c r="D2082" s="163"/>
    </row>
    <row r="2083" spans="4:4" s="21" customFormat="1">
      <c r="D2083" s="163"/>
    </row>
    <row r="2084" spans="4:4" s="21" customFormat="1">
      <c r="D2084" s="163"/>
    </row>
    <row r="2085" spans="4:4" s="21" customFormat="1">
      <c r="D2085" s="163"/>
    </row>
    <row r="2086" spans="4:4" s="21" customFormat="1">
      <c r="D2086" s="163"/>
    </row>
    <row r="2087" spans="4:4" s="21" customFormat="1">
      <c r="D2087" s="163"/>
    </row>
    <row r="2088" spans="4:4" s="21" customFormat="1">
      <c r="D2088" s="163"/>
    </row>
    <row r="2089" spans="4:4" s="21" customFormat="1">
      <c r="D2089" s="163"/>
    </row>
    <row r="2090" spans="4:4" s="21" customFormat="1">
      <c r="D2090" s="163"/>
    </row>
    <row r="2091" spans="4:4" s="21" customFormat="1">
      <c r="D2091" s="163"/>
    </row>
    <row r="2092" spans="4:4" s="21" customFormat="1">
      <c r="D2092" s="163"/>
    </row>
    <row r="2093" spans="4:4" s="21" customFormat="1">
      <c r="D2093" s="163"/>
    </row>
    <row r="2094" spans="4:4" s="21" customFormat="1">
      <c r="D2094" s="163"/>
    </row>
    <row r="2095" spans="4:4" s="21" customFormat="1">
      <c r="D2095" s="163"/>
    </row>
    <row r="2096" spans="4:4" s="21" customFormat="1">
      <c r="D2096" s="163"/>
    </row>
    <row r="2097" spans="4:4" s="21" customFormat="1">
      <c r="D2097" s="163"/>
    </row>
    <row r="2098" spans="4:4" s="21" customFormat="1">
      <c r="D2098" s="163"/>
    </row>
    <row r="2099" spans="4:4" s="21" customFormat="1">
      <c r="D2099" s="163"/>
    </row>
    <row r="2100" spans="4:4" s="21" customFormat="1">
      <c r="D2100" s="163"/>
    </row>
    <row r="2101" spans="4:4" s="21" customFormat="1">
      <c r="D2101" s="163"/>
    </row>
    <row r="2102" spans="4:4" s="21" customFormat="1">
      <c r="D2102" s="163"/>
    </row>
    <row r="2103" spans="4:4" s="21" customFormat="1">
      <c r="D2103" s="163"/>
    </row>
    <row r="2104" spans="4:4" s="21" customFormat="1">
      <c r="D2104" s="163"/>
    </row>
    <row r="2105" spans="4:4" s="21" customFormat="1">
      <c r="D2105" s="163"/>
    </row>
    <row r="2106" spans="4:4" s="21" customFormat="1">
      <c r="D2106" s="163"/>
    </row>
    <row r="2107" spans="4:4" s="21" customFormat="1">
      <c r="D2107" s="163"/>
    </row>
    <row r="2108" spans="4:4" s="21" customFormat="1">
      <c r="D2108" s="163"/>
    </row>
    <row r="2109" spans="4:4" s="21" customFormat="1">
      <c r="D2109" s="163"/>
    </row>
    <row r="2110" spans="4:4" s="21" customFormat="1">
      <c r="D2110" s="163"/>
    </row>
    <row r="2111" spans="4:4" s="21" customFormat="1">
      <c r="D2111" s="163"/>
    </row>
    <row r="2112" spans="4:4" s="21" customFormat="1">
      <c r="D2112" s="163"/>
    </row>
    <row r="2113" spans="4:4" s="21" customFormat="1">
      <c r="D2113" s="163"/>
    </row>
    <row r="2114" spans="4:4" s="21" customFormat="1">
      <c r="D2114" s="163"/>
    </row>
    <row r="2115" spans="4:4" s="21" customFormat="1">
      <c r="D2115" s="163"/>
    </row>
    <row r="2116" spans="4:4" s="21" customFormat="1">
      <c r="D2116" s="163"/>
    </row>
    <row r="2117" spans="4:4" s="21" customFormat="1">
      <c r="D2117" s="163"/>
    </row>
    <row r="2118" spans="4:4" s="21" customFormat="1">
      <c r="D2118" s="163"/>
    </row>
    <row r="2119" spans="4:4" s="21" customFormat="1">
      <c r="D2119" s="163"/>
    </row>
    <row r="2120" spans="4:4" s="21" customFormat="1">
      <c r="D2120" s="163"/>
    </row>
    <row r="2121" spans="4:4" s="21" customFormat="1">
      <c r="D2121" s="163"/>
    </row>
    <row r="2122" spans="4:4" s="21" customFormat="1">
      <c r="D2122" s="163"/>
    </row>
    <row r="2123" spans="4:4" s="21" customFormat="1">
      <c r="D2123" s="163"/>
    </row>
    <row r="2124" spans="4:4" s="21" customFormat="1">
      <c r="D2124" s="163"/>
    </row>
    <row r="2125" spans="4:4" s="21" customFormat="1">
      <c r="D2125" s="163"/>
    </row>
    <row r="2126" spans="4:4" s="21" customFormat="1">
      <c r="D2126" s="163"/>
    </row>
    <row r="2127" spans="4:4" s="21" customFormat="1">
      <c r="D2127" s="163"/>
    </row>
    <row r="2128" spans="4:4" s="21" customFormat="1">
      <c r="D2128" s="163"/>
    </row>
    <row r="2129" spans="4:4" s="21" customFormat="1">
      <c r="D2129" s="163"/>
    </row>
    <row r="2130" spans="4:4" s="21" customFormat="1">
      <c r="D2130" s="163"/>
    </row>
    <row r="2131" spans="4:4" s="21" customFormat="1">
      <c r="D2131" s="163"/>
    </row>
    <row r="2132" spans="4:4" s="21" customFormat="1">
      <c r="D2132" s="163"/>
    </row>
    <row r="2133" spans="4:4" s="21" customFormat="1">
      <c r="D2133" s="163"/>
    </row>
    <row r="2134" spans="4:4" s="21" customFormat="1">
      <c r="D2134" s="163"/>
    </row>
    <row r="2135" spans="4:4" s="21" customFormat="1">
      <c r="D2135" s="163"/>
    </row>
    <row r="2136" spans="4:4" s="21" customFormat="1">
      <c r="D2136" s="163"/>
    </row>
    <row r="2137" spans="4:4" s="21" customFormat="1">
      <c r="D2137" s="163"/>
    </row>
    <row r="2138" spans="4:4" s="21" customFormat="1">
      <c r="D2138" s="163"/>
    </row>
    <row r="2139" spans="4:4" s="21" customFormat="1">
      <c r="D2139" s="163"/>
    </row>
    <row r="2140" spans="4:4" s="21" customFormat="1">
      <c r="D2140" s="163"/>
    </row>
    <row r="2141" spans="4:4" s="21" customFormat="1">
      <c r="D2141" s="163"/>
    </row>
    <row r="2142" spans="4:4" s="21" customFormat="1">
      <c r="D2142" s="163"/>
    </row>
    <row r="2143" spans="4:4" s="21" customFormat="1">
      <c r="D2143" s="163"/>
    </row>
    <row r="2144" spans="4:4" s="21" customFormat="1">
      <c r="D2144" s="163"/>
    </row>
    <row r="2145" spans="4:4" s="21" customFormat="1">
      <c r="D2145" s="163"/>
    </row>
    <row r="2146" spans="4:4" s="21" customFormat="1">
      <c r="D2146" s="163"/>
    </row>
    <row r="2147" spans="4:4" s="21" customFormat="1">
      <c r="D2147" s="163"/>
    </row>
    <row r="2148" spans="4:4" s="21" customFormat="1">
      <c r="D2148" s="163"/>
    </row>
    <row r="2149" spans="4:4" s="21" customFormat="1">
      <c r="D2149" s="163"/>
    </row>
    <row r="2150" spans="4:4" s="21" customFormat="1">
      <c r="D2150" s="163"/>
    </row>
    <row r="2151" spans="4:4" s="21" customFormat="1">
      <c r="D2151" s="163"/>
    </row>
    <row r="2152" spans="4:4" s="21" customFormat="1">
      <c r="D2152" s="163"/>
    </row>
    <row r="2153" spans="4:4" s="21" customFormat="1">
      <c r="D2153" s="163"/>
    </row>
    <row r="2154" spans="4:4" s="21" customFormat="1">
      <c r="D2154" s="163"/>
    </row>
    <row r="2155" spans="4:4" s="21" customFormat="1">
      <c r="D2155" s="163"/>
    </row>
    <row r="2156" spans="4:4" s="21" customFormat="1">
      <c r="D2156" s="163"/>
    </row>
    <row r="2157" spans="4:4" s="21" customFormat="1">
      <c r="D2157" s="163"/>
    </row>
    <row r="2158" spans="4:4" s="21" customFormat="1">
      <c r="D2158" s="163"/>
    </row>
    <row r="2159" spans="4:4" s="21" customFormat="1">
      <c r="D2159" s="163"/>
    </row>
    <row r="2160" spans="4:4" s="21" customFormat="1">
      <c r="D2160" s="163"/>
    </row>
    <row r="2161" spans="4:4" s="21" customFormat="1">
      <c r="D2161" s="163"/>
    </row>
    <row r="2162" spans="4:4" s="21" customFormat="1">
      <c r="D2162" s="163"/>
    </row>
    <row r="2163" spans="4:4" s="21" customFormat="1">
      <c r="D2163" s="163"/>
    </row>
    <row r="2164" spans="4:4" s="21" customFormat="1">
      <c r="D2164" s="163"/>
    </row>
    <row r="2165" spans="4:4" s="21" customFormat="1">
      <c r="D2165" s="163"/>
    </row>
    <row r="2166" spans="4:4" s="21" customFormat="1">
      <c r="D2166" s="163"/>
    </row>
    <row r="2167" spans="4:4" s="21" customFormat="1">
      <c r="D2167" s="163"/>
    </row>
    <row r="2168" spans="4:4" s="21" customFormat="1">
      <c r="D2168" s="163"/>
    </row>
    <row r="2169" spans="4:4" s="21" customFormat="1">
      <c r="D2169" s="163"/>
    </row>
    <row r="2170" spans="4:4" s="21" customFormat="1">
      <c r="D2170" s="163"/>
    </row>
    <row r="2171" spans="4:4" s="21" customFormat="1">
      <c r="D2171" s="163"/>
    </row>
    <row r="2172" spans="4:4" s="21" customFormat="1">
      <c r="D2172" s="163"/>
    </row>
    <row r="2173" spans="4:4" s="21" customFormat="1">
      <c r="D2173" s="163"/>
    </row>
    <row r="2174" spans="4:4" s="21" customFormat="1">
      <c r="D2174" s="163"/>
    </row>
    <row r="2175" spans="4:4" s="21" customFormat="1">
      <c r="D2175" s="163"/>
    </row>
    <row r="2176" spans="4:4" s="21" customFormat="1">
      <c r="D2176" s="163"/>
    </row>
    <row r="2177" spans="4:4" s="21" customFormat="1">
      <c r="D2177" s="163"/>
    </row>
    <row r="2178" spans="4:4" s="21" customFormat="1">
      <c r="D2178" s="163"/>
    </row>
    <row r="2179" spans="4:4" s="21" customFormat="1">
      <c r="D2179" s="163"/>
    </row>
    <row r="2180" spans="4:4" s="21" customFormat="1">
      <c r="D2180" s="163"/>
    </row>
    <row r="2181" spans="4:4" s="21" customFormat="1">
      <c r="D2181" s="163"/>
    </row>
    <row r="2182" spans="4:4" s="21" customFormat="1">
      <c r="D2182" s="163"/>
    </row>
    <row r="2183" spans="4:4" s="21" customFormat="1">
      <c r="D2183" s="163"/>
    </row>
    <row r="2184" spans="4:4" s="21" customFormat="1">
      <c r="D2184" s="163"/>
    </row>
    <row r="2185" spans="4:4" s="21" customFormat="1">
      <c r="D2185" s="163"/>
    </row>
    <row r="2186" spans="4:4" s="21" customFormat="1">
      <c r="D2186" s="163"/>
    </row>
    <row r="2187" spans="4:4" s="21" customFormat="1">
      <c r="D2187" s="163"/>
    </row>
    <row r="2188" spans="4:4" s="21" customFormat="1">
      <c r="D2188" s="163"/>
    </row>
    <row r="2189" spans="4:4" s="21" customFormat="1">
      <c r="D2189" s="163"/>
    </row>
    <row r="2190" spans="4:4" s="21" customFormat="1">
      <c r="D2190" s="163"/>
    </row>
    <row r="2191" spans="4:4" s="21" customFormat="1">
      <c r="D2191" s="163"/>
    </row>
    <row r="2192" spans="4:4" s="21" customFormat="1">
      <c r="D2192" s="163"/>
    </row>
    <row r="2193" spans="4:4" s="21" customFormat="1">
      <c r="D2193" s="163"/>
    </row>
    <row r="2194" spans="4:4" s="21" customFormat="1">
      <c r="D2194" s="163"/>
    </row>
    <row r="2195" spans="4:4" s="21" customFormat="1">
      <c r="D2195" s="163"/>
    </row>
    <row r="2196" spans="4:4" s="21" customFormat="1">
      <c r="D2196" s="163"/>
    </row>
    <row r="2197" spans="4:4" s="21" customFormat="1">
      <c r="D2197" s="163"/>
    </row>
    <row r="2198" spans="4:4" s="21" customFormat="1">
      <c r="D2198" s="163"/>
    </row>
    <row r="2199" spans="4:4" s="21" customFormat="1">
      <c r="D2199" s="163"/>
    </row>
    <row r="2200" spans="4:4" s="21" customFormat="1">
      <c r="D2200" s="163"/>
    </row>
    <row r="2201" spans="4:4" s="21" customFormat="1">
      <c r="D2201" s="163"/>
    </row>
    <row r="2202" spans="4:4" s="21" customFormat="1">
      <c r="D2202" s="163"/>
    </row>
    <row r="2203" spans="4:4" s="21" customFormat="1">
      <c r="D2203" s="163"/>
    </row>
    <row r="2204" spans="4:4" s="21" customFormat="1">
      <c r="D2204" s="163"/>
    </row>
    <row r="2205" spans="4:4" s="21" customFormat="1">
      <c r="D2205" s="163"/>
    </row>
    <row r="2206" spans="4:4" s="21" customFormat="1">
      <c r="D2206" s="163"/>
    </row>
    <row r="2207" spans="4:4" s="21" customFormat="1">
      <c r="D2207" s="163"/>
    </row>
    <row r="2208" spans="4:4" s="21" customFormat="1">
      <c r="D2208" s="163"/>
    </row>
    <row r="2209" spans="4:4" s="21" customFormat="1">
      <c r="D2209" s="163"/>
    </row>
    <row r="2210" spans="4:4" s="21" customFormat="1">
      <c r="D2210" s="163"/>
    </row>
    <row r="2211" spans="4:4" s="21" customFormat="1">
      <c r="D2211" s="163"/>
    </row>
    <row r="2212" spans="4:4" s="21" customFormat="1">
      <c r="D2212" s="163"/>
    </row>
    <row r="2213" spans="4:4" s="21" customFormat="1">
      <c r="D2213" s="163"/>
    </row>
    <row r="2214" spans="4:4" s="21" customFormat="1">
      <c r="D2214" s="163"/>
    </row>
    <row r="2215" spans="4:4" s="21" customFormat="1">
      <c r="D2215" s="163"/>
    </row>
    <row r="2216" spans="4:4" s="21" customFormat="1">
      <c r="D2216" s="163"/>
    </row>
    <row r="2217" spans="4:4" s="21" customFormat="1">
      <c r="D2217" s="163"/>
    </row>
    <row r="2218" spans="4:4" s="21" customFormat="1">
      <c r="D2218" s="163"/>
    </row>
    <row r="2219" spans="4:4" s="21" customFormat="1">
      <c r="D2219" s="163"/>
    </row>
    <row r="2220" spans="4:4" s="21" customFormat="1">
      <c r="D2220" s="163"/>
    </row>
    <row r="2221" spans="4:4" s="21" customFormat="1">
      <c r="D2221" s="163"/>
    </row>
    <row r="2222" spans="4:4" s="21" customFormat="1">
      <c r="D2222" s="163"/>
    </row>
    <row r="2223" spans="4:4" s="21" customFormat="1">
      <c r="D2223" s="163"/>
    </row>
    <row r="2224" spans="4:4" s="21" customFormat="1">
      <c r="D2224" s="163"/>
    </row>
    <row r="2225" spans="4:4" s="21" customFormat="1">
      <c r="D2225" s="163"/>
    </row>
    <row r="2226" spans="4:4" s="21" customFormat="1">
      <c r="D2226" s="163"/>
    </row>
    <row r="2227" spans="4:4" s="21" customFormat="1">
      <c r="D2227" s="163"/>
    </row>
    <row r="2228" spans="4:4" s="21" customFormat="1">
      <c r="D2228" s="163"/>
    </row>
    <row r="2229" spans="4:4" s="21" customFormat="1">
      <c r="D2229" s="163"/>
    </row>
    <row r="2230" spans="4:4" s="21" customFormat="1">
      <c r="D2230" s="163"/>
    </row>
    <row r="2231" spans="4:4" s="21" customFormat="1">
      <c r="D2231" s="163"/>
    </row>
    <row r="2232" spans="4:4" s="21" customFormat="1">
      <c r="D2232" s="163"/>
    </row>
    <row r="2233" spans="4:4" s="21" customFormat="1">
      <c r="D2233" s="163"/>
    </row>
    <row r="2234" spans="4:4" s="21" customFormat="1">
      <c r="D2234" s="163"/>
    </row>
    <row r="2235" spans="4:4" s="21" customFormat="1">
      <c r="D2235" s="163"/>
    </row>
    <row r="2236" spans="4:4" s="21" customFormat="1">
      <c r="D2236" s="163"/>
    </row>
    <row r="2237" spans="4:4" s="21" customFormat="1">
      <c r="D2237" s="163"/>
    </row>
    <row r="2238" spans="4:4" s="21" customFormat="1">
      <c r="D2238" s="163"/>
    </row>
    <row r="2239" spans="4:4" s="21" customFormat="1">
      <c r="D2239" s="163"/>
    </row>
    <row r="2240" spans="4:4" s="21" customFormat="1">
      <c r="D2240" s="163"/>
    </row>
    <row r="2241" spans="4:4" s="21" customFormat="1">
      <c r="D2241" s="163"/>
    </row>
    <row r="2242" spans="4:4" s="21" customFormat="1">
      <c r="D2242" s="163"/>
    </row>
    <row r="2243" spans="4:4" s="21" customFormat="1">
      <c r="D2243" s="163"/>
    </row>
    <row r="2244" spans="4:4" s="21" customFormat="1">
      <c r="D2244" s="163"/>
    </row>
    <row r="2245" spans="4:4" s="21" customFormat="1">
      <c r="D2245" s="163"/>
    </row>
    <row r="2246" spans="4:4" s="21" customFormat="1">
      <c r="D2246" s="163"/>
    </row>
    <row r="2247" spans="4:4" s="21" customFormat="1">
      <c r="D2247" s="163"/>
    </row>
    <row r="2248" spans="4:4" s="21" customFormat="1">
      <c r="D2248" s="163"/>
    </row>
    <row r="2249" spans="4:4" s="21" customFormat="1">
      <c r="D2249" s="163"/>
    </row>
    <row r="2250" spans="4:4" s="21" customFormat="1">
      <c r="D2250" s="163"/>
    </row>
    <row r="2251" spans="4:4" s="21" customFormat="1">
      <c r="D2251" s="163"/>
    </row>
    <row r="2252" spans="4:4" s="21" customFormat="1">
      <c r="D2252" s="163"/>
    </row>
    <row r="2253" spans="4:4" s="21" customFormat="1">
      <c r="D2253" s="163"/>
    </row>
    <row r="2254" spans="4:4" s="21" customFormat="1">
      <c r="D2254" s="163"/>
    </row>
    <row r="2255" spans="4:4" s="21" customFormat="1">
      <c r="D2255" s="163"/>
    </row>
    <row r="2256" spans="4:4" s="21" customFormat="1">
      <c r="D2256" s="163"/>
    </row>
    <row r="2257" spans="4:4" s="21" customFormat="1">
      <c r="D2257" s="163"/>
    </row>
    <row r="2258" spans="4:4" s="21" customFormat="1">
      <c r="D2258" s="163"/>
    </row>
    <row r="2259" spans="4:4" s="21" customFormat="1">
      <c r="D2259" s="163"/>
    </row>
    <row r="2260" spans="4:4" s="21" customFormat="1">
      <c r="D2260" s="163"/>
    </row>
    <row r="2261" spans="4:4" s="21" customFormat="1">
      <c r="D2261" s="163"/>
    </row>
    <row r="2262" spans="4:4" s="21" customFormat="1">
      <c r="D2262" s="163"/>
    </row>
    <row r="2263" spans="4:4" s="21" customFormat="1">
      <c r="D2263" s="163"/>
    </row>
    <row r="2264" spans="4:4" s="21" customFormat="1">
      <c r="D2264" s="163"/>
    </row>
    <row r="2265" spans="4:4" s="21" customFormat="1">
      <c r="D2265" s="163"/>
    </row>
    <row r="2266" spans="4:4" s="21" customFormat="1">
      <c r="D2266" s="163"/>
    </row>
    <row r="2267" spans="4:4" s="21" customFormat="1">
      <c r="D2267" s="163"/>
    </row>
    <row r="2268" spans="4:4" s="21" customFormat="1">
      <c r="D2268" s="163"/>
    </row>
  </sheetData>
  <mergeCells count="20">
    <mergeCell ref="I33:K33"/>
    <mergeCell ref="I36:K36"/>
    <mergeCell ref="I50:K50"/>
    <mergeCell ref="I34:K34"/>
    <mergeCell ref="I35:K35"/>
    <mergeCell ref="I37:K37"/>
    <mergeCell ref="I38:K38"/>
    <mergeCell ref="I39:K39"/>
    <mergeCell ref="I40:K40"/>
    <mergeCell ref="I32:K32"/>
    <mergeCell ref="I15:K15"/>
    <mergeCell ref="I16:K16"/>
    <mergeCell ref="I21:K21"/>
    <mergeCell ref="I30:K30"/>
    <mergeCell ref="I31:K31"/>
    <mergeCell ref="I19:K19"/>
    <mergeCell ref="I17:K17"/>
    <mergeCell ref="I18:K18"/>
    <mergeCell ref="I20:K20"/>
    <mergeCell ref="I24:K24"/>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3" customWidth="1"/>
    <col min="2" max="2" width="51.81640625" style="143" customWidth="1"/>
    <col min="3" max="3" width="30.54296875" style="143" customWidth="1"/>
    <col min="4" max="4" width="18.81640625" style="143" customWidth="1"/>
    <col min="5" max="5" width="6.81640625" style="143" customWidth="1"/>
    <col min="6" max="6" width="18.81640625" style="143" customWidth="1"/>
    <col min="7" max="7" width="6.81640625" style="143" customWidth="1"/>
    <col min="8" max="8" width="18.81640625" style="143" customWidth="1"/>
    <col min="9" max="9" width="6.81640625" style="143" customWidth="1"/>
    <col min="10" max="10" width="18.81640625" style="143" customWidth="1"/>
    <col min="11" max="11" width="1.1796875" style="143" customWidth="1"/>
    <col min="12" max="12" width="3.1796875" style="143" customWidth="1"/>
    <col min="13" max="16" width="9.1796875" style="143"/>
    <col min="17" max="17" width="15.1796875" style="143" bestFit="1" customWidth="1"/>
    <col min="18"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45820</v>
      </c>
      <c r="G2" s="106"/>
      <c r="H2" s="106"/>
      <c r="I2" s="106"/>
      <c r="J2" s="108"/>
      <c r="K2" s="358"/>
    </row>
    <row r="3" spans="1:13" s="101" customFormat="1" ht="18">
      <c r="A3" s="102"/>
      <c r="B3" s="103" t="str">
        <f>'Cover Sheet'!B3</f>
        <v>Monthly Investor Report</v>
      </c>
      <c r="C3" s="103"/>
      <c r="D3" s="111" t="str">
        <f>'Cover Sheet'!D3</f>
        <v>Payment Date</v>
      </c>
      <c r="E3" s="112"/>
      <c r="F3" s="113">
        <f>'Cover Sheet'!F3</f>
        <v>45824</v>
      </c>
      <c r="G3" s="112"/>
      <c r="H3" s="112"/>
      <c r="I3" s="112"/>
      <c r="J3" s="114"/>
      <c r="K3" s="124"/>
    </row>
    <row r="4" spans="1:13" s="101" customFormat="1" ht="13">
      <c r="A4" s="102"/>
      <c r="B4" s="156"/>
      <c r="C4" s="157"/>
      <c r="D4" s="111" t="str">
        <f>'Cover Sheet'!D4</f>
        <v>Period  No</v>
      </c>
      <c r="E4" s="112"/>
      <c r="F4" s="116">
        <f>'Cover Sheet'!F4</f>
        <v>43</v>
      </c>
      <c r="G4" s="112"/>
      <c r="H4" s="117"/>
      <c r="I4" s="112"/>
      <c r="J4" s="118"/>
      <c r="K4" s="358"/>
    </row>
    <row r="5" spans="1:13" s="101" customFormat="1" ht="18">
      <c r="A5" s="102"/>
      <c r="B5" s="159" t="s">
        <v>405</v>
      </c>
      <c r="C5" s="119"/>
      <c r="D5" s="111" t="str">
        <f>'Cover Sheet'!D5</f>
        <v>Monthly Period</v>
      </c>
      <c r="E5" s="112"/>
      <c r="F5" s="120">
        <f>'Cover Sheet'!F5</f>
        <v>45824</v>
      </c>
      <c r="G5" s="112"/>
      <c r="H5" s="117"/>
      <c r="I5" s="112"/>
      <c r="J5" s="118"/>
      <c r="K5" s="124"/>
    </row>
    <row r="6" spans="1:13"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25"/>
    </row>
    <row r="7" spans="1:13" s="101" customFormat="1" ht="13">
      <c r="A7" s="102"/>
      <c r="B7" s="104"/>
      <c r="C7" s="104"/>
      <c r="D7" s="126" t="str">
        <f>'Cover Sheet'!D7</f>
        <v>Collection Period</v>
      </c>
      <c r="E7" s="127" t="str">
        <f>'Cover Sheet'!E7</f>
        <v>from</v>
      </c>
      <c r="F7" s="128" t="str">
        <f>'Cover Sheet'!F7</f>
        <v>01.05.2025</v>
      </c>
      <c r="G7" s="127" t="str">
        <f>'Cover Sheet'!G7</f>
        <v>to</v>
      </c>
      <c r="H7" s="128">
        <f>'Cover Sheet'!H7</f>
        <v>45808</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104"/>
      <c r="F10" s="144"/>
      <c r="G10" s="104"/>
      <c r="H10" s="104"/>
      <c r="I10" s="21"/>
      <c r="J10" s="21"/>
      <c r="K10" s="109"/>
    </row>
    <row r="11" spans="1:13" s="101" customFormat="1" ht="17.5">
      <c r="A11" s="102"/>
      <c r="B11" s="168"/>
      <c r="C11" s="104"/>
      <c r="D11" s="21"/>
      <c r="E11" s="104"/>
      <c r="F11" s="21"/>
      <c r="G11" s="360"/>
      <c r="H11" s="360"/>
      <c r="I11" s="21"/>
      <c r="J11" s="104"/>
      <c r="K11" s="109"/>
      <c r="M11" s="174"/>
    </row>
    <row r="12" spans="1:13" s="101" customFormat="1">
      <c r="A12" s="102"/>
      <c r="B12" s="104"/>
      <c r="C12" s="21"/>
      <c r="D12" s="21"/>
      <c r="E12" s="21"/>
      <c r="F12" s="21"/>
      <c r="G12" s="361"/>
      <c r="H12" s="361"/>
      <c r="I12" s="21"/>
      <c r="J12" s="21"/>
      <c r="K12" s="109"/>
      <c r="M12" s="174"/>
    </row>
    <row r="13" spans="1:13" s="101" customFormat="1" ht="15" customHeight="1">
      <c r="A13" s="102"/>
      <c r="B13" s="104"/>
      <c r="C13" s="362"/>
      <c r="D13" s="362"/>
      <c r="E13" s="362"/>
      <c r="F13" s="362"/>
      <c r="G13" s="363"/>
      <c r="H13" s="363"/>
      <c r="I13" s="363"/>
      <c r="J13" s="21"/>
      <c r="K13" s="109"/>
      <c r="M13" s="174"/>
    </row>
    <row r="14" spans="1:13" s="101" customFormat="1" ht="12.75" customHeight="1">
      <c r="A14" s="102"/>
      <c r="B14" s="1027" t="s">
        <v>277</v>
      </c>
      <c r="C14" s="1027"/>
      <c r="D14" s="1027"/>
      <c r="E14" s="1027"/>
      <c r="F14" s="1027"/>
      <c r="G14" s="1027"/>
      <c r="H14" s="363"/>
      <c r="I14" s="363"/>
      <c r="J14" s="21"/>
      <c r="K14" s="109"/>
      <c r="M14" s="174"/>
    </row>
    <row r="15" spans="1:13" ht="12.75" customHeight="1">
      <c r="A15" s="179"/>
      <c r="B15" s="1027"/>
      <c r="C15" s="1027"/>
      <c r="D15" s="1027"/>
      <c r="E15" s="1027"/>
      <c r="F15" s="1027"/>
      <c r="G15" s="1027"/>
      <c r="H15" s="363"/>
      <c r="I15" s="363"/>
      <c r="J15" s="21"/>
      <c r="K15" s="173"/>
      <c r="M15" s="174"/>
    </row>
    <row r="16" spans="1:13" ht="12.75" customHeight="1">
      <c r="A16" s="179"/>
      <c r="B16" s="1027"/>
      <c r="C16" s="1027"/>
      <c r="D16" s="1027"/>
      <c r="E16" s="1027"/>
      <c r="F16" s="1027"/>
      <c r="G16" s="1027"/>
      <c r="H16" s="363"/>
      <c r="I16" s="363"/>
      <c r="J16" s="21"/>
      <c r="K16" s="173"/>
      <c r="M16" s="174"/>
    </row>
    <row r="17" spans="1:13" ht="24" customHeight="1">
      <c r="A17" s="179"/>
      <c r="B17" s="1027"/>
      <c r="C17" s="1027"/>
      <c r="D17" s="1027"/>
      <c r="E17" s="1027"/>
      <c r="F17" s="1027"/>
      <c r="G17" s="1027"/>
      <c r="H17" s="363"/>
      <c r="I17" s="363"/>
      <c r="J17" s="21"/>
      <c r="K17" s="173"/>
      <c r="M17" s="174"/>
    </row>
    <row r="18" spans="1:13" ht="12.75" customHeight="1">
      <c r="A18" s="179"/>
      <c r="B18" s="21"/>
      <c r="C18" s="13"/>
      <c r="D18" s="104"/>
      <c r="E18" s="364"/>
      <c r="F18" s="218"/>
      <c r="G18" s="365"/>
      <c r="H18" s="218"/>
      <c r="I18" s="218"/>
      <c r="J18" s="21"/>
      <c r="K18" s="173"/>
      <c r="M18" s="174"/>
    </row>
    <row r="19" spans="1:13">
      <c r="A19" s="179"/>
      <c r="B19" s="87" t="s">
        <v>350</v>
      </c>
      <c r="C19" s="88"/>
      <c r="D19" s="990">
        <f>VLOOKUP("Retention_amt",Assets_21,3,0)</f>
        <v>24833608.529999916</v>
      </c>
      <c r="E19" s="228"/>
      <c r="F19" s="21"/>
      <c r="G19" s="21"/>
      <c r="H19" s="228"/>
      <c r="I19" s="21"/>
      <c r="J19" s="21"/>
      <c r="K19" s="173"/>
      <c r="M19" s="174"/>
    </row>
    <row r="20" spans="1:13">
      <c r="A20" s="179"/>
      <c r="B20" s="45"/>
      <c r="C20" s="13"/>
      <c r="D20" s="21"/>
      <c r="E20" s="21"/>
      <c r="F20" s="21"/>
      <c r="G20" s="21"/>
      <c r="H20" s="366"/>
      <c r="I20" s="21"/>
      <c r="J20" s="21"/>
      <c r="K20" s="173"/>
      <c r="M20" s="174"/>
    </row>
    <row r="21" spans="1:13">
      <c r="A21" s="179"/>
      <c r="B21" s="14"/>
      <c r="C21" s="13"/>
      <c r="D21" s="21"/>
      <c r="E21" s="21"/>
      <c r="F21" s="21"/>
      <c r="G21" s="21"/>
      <c r="H21" s="21"/>
      <c r="I21" s="21"/>
      <c r="J21" s="21"/>
      <c r="K21" s="173"/>
      <c r="M21" s="174"/>
    </row>
    <row r="22" spans="1:13">
      <c r="A22" s="179"/>
      <c r="B22" s="14"/>
      <c r="C22" s="13"/>
      <c r="D22" s="21"/>
      <c r="E22" s="21"/>
      <c r="F22" s="21"/>
      <c r="G22" s="21"/>
      <c r="H22" s="21"/>
      <c r="I22" s="21"/>
      <c r="J22" s="21"/>
      <c r="K22" s="173"/>
      <c r="M22" s="174"/>
    </row>
    <row r="23" spans="1:13">
      <c r="A23" s="179"/>
      <c r="B23" s="14"/>
      <c r="C23" s="13"/>
      <c r="D23" s="21"/>
      <c r="E23" s="21"/>
      <c r="F23" s="21"/>
      <c r="G23" s="21"/>
      <c r="H23" s="21"/>
      <c r="I23" s="21"/>
      <c r="J23" s="21"/>
      <c r="K23" s="173"/>
      <c r="M23" s="174"/>
    </row>
    <row r="24" spans="1:13">
      <c r="A24" s="194"/>
      <c r="B24" s="29"/>
      <c r="C24" s="11"/>
      <c r="D24" s="50"/>
      <c r="E24" s="50"/>
      <c r="F24" s="367"/>
      <c r="G24" s="50"/>
      <c r="H24" s="50"/>
      <c r="I24" s="50"/>
      <c r="J24" s="50"/>
      <c r="K24" s="195"/>
      <c r="M24" s="174"/>
    </row>
    <row r="25" spans="1:13">
      <c r="A25" s="21"/>
      <c r="B25" s="14"/>
      <c r="C25" s="13"/>
      <c r="D25" s="21"/>
      <c r="E25" s="21"/>
      <c r="F25" s="21"/>
      <c r="G25" s="21"/>
      <c r="H25" s="21"/>
      <c r="I25" s="21"/>
      <c r="J25" s="21"/>
      <c r="K25" s="21"/>
      <c r="M25" s="174"/>
    </row>
    <row r="26" spans="1:13">
      <c r="A26" s="21"/>
      <c r="B26" s="14"/>
      <c r="C26" s="13"/>
      <c r="D26" s="21"/>
      <c r="E26" s="21"/>
      <c r="F26" s="21"/>
      <c r="G26" s="21"/>
      <c r="H26" s="21"/>
      <c r="I26" s="21"/>
      <c r="J26" s="21"/>
      <c r="K26" s="21"/>
      <c r="M26" s="174"/>
    </row>
    <row r="27" spans="1:13">
      <c r="A27" s="21"/>
      <c r="B27" s="14"/>
      <c r="C27" s="13"/>
      <c r="D27" s="21"/>
      <c r="E27" s="21"/>
      <c r="F27" s="21"/>
      <c r="G27" s="21"/>
      <c r="H27" s="21"/>
      <c r="I27" s="21"/>
      <c r="J27" s="21"/>
      <c r="K27" s="21"/>
      <c r="M27" s="174"/>
    </row>
    <row r="28" spans="1:13">
      <c r="A28" s="21"/>
      <c r="B28" s="14"/>
      <c r="C28" s="13"/>
      <c r="D28" s="21"/>
      <c r="E28" s="21"/>
      <c r="F28" s="209"/>
      <c r="G28" s="368"/>
      <c r="H28" s="46"/>
      <c r="I28" s="172"/>
      <c r="J28" s="172"/>
      <c r="K28" s="21"/>
    </row>
    <row r="29" spans="1:13">
      <c r="A29" s="21"/>
      <c r="B29" s="14"/>
      <c r="C29" s="13"/>
      <c r="D29" s="196"/>
      <c r="E29" s="13"/>
      <c r="F29" s="197"/>
      <c r="G29" s="198"/>
      <c r="H29" s="197"/>
      <c r="I29" s="172"/>
      <c r="J29" s="21"/>
      <c r="K29" s="21"/>
    </row>
    <row r="30" spans="1:13">
      <c r="A30" s="21"/>
      <c r="B30" s="14"/>
      <c r="C30" s="13"/>
      <c r="D30" s="196"/>
      <c r="E30" s="13"/>
      <c r="F30" s="197"/>
      <c r="G30" s="198"/>
      <c r="H30" s="197"/>
      <c r="I30" s="172"/>
      <c r="J30" s="21"/>
      <c r="K30" s="21"/>
    </row>
    <row r="31" spans="1:13">
      <c r="A31" s="21"/>
      <c r="B31" s="14"/>
      <c r="C31" s="13"/>
      <c r="D31" s="196"/>
      <c r="E31" s="13"/>
      <c r="F31" s="197"/>
      <c r="G31" s="198"/>
      <c r="H31" s="197"/>
      <c r="I31" s="172"/>
      <c r="J31" s="21"/>
      <c r="K31" s="21"/>
      <c r="L31" s="21"/>
    </row>
    <row r="32" spans="1:13" s="21" customFormat="1">
      <c r="B32" s="14"/>
      <c r="C32" s="13"/>
      <c r="D32" s="196"/>
      <c r="E32" s="13"/>
      <c r="F32" s="369"/>
      <c r="G32" s="198"/>
      <c r="H32" s="197"/>
      <c r="I32" s="172"/>
    </row>
    <row r="33" spans="2:9" s="21" customFormat="1">
      <c r="B33" s="14"/>
      <c r="C33" s="13"/>
      <c r="D33" s="196"/>
      <c r="E33" s="13"/>
      <c r="F33" s="197"/>
      <c r="G33" s="198"/>
      <c r="H33" s="197"/>
      <c r="I33" s="172"/>
    </row>
    <row r="34" spans="2:9" s="104" customFormat="1" ht="15" customHeight="1">
      <c r="B34" s="14"/>
      <c r="C34" s="13"/>
      <c r="D34" s="196"/>
      <c r="E34" s="13"/>
      <c r="F34" s="197"/>
      <c r="G34" s="198"/>
      <c r="H34" s="197"/>
      <c r="I34" s="144"/>
    </row>
    <row r="35" spans="2:9" s="104" customFormat="1">
      <c r="B35" s="14"/>
      <c r="C35" s="13"/>
      <c r="D35" s="196"/>
      <c r="E35" s="13"/>
      <c r="F35" s="197"/>
      <c r="G35" s="198"/>
      <c r="H35" s="197"/>
      <c r="I35" s="144"/>
    </row>
    <row r="36" spans="2:9" s="21" customFormat="1">
      <c r="B36" s="14"/>
      <c r="C36" s="13"/>
      <c r="D36" s="196"/>
      <c r="E36" s="13"/>
      <c r="F36" s="197"/>
      <c r="G36" s="198"/>
      <c r="H36" s="197"/>
      <c r="I36" s="172"/>
    </row>
    <row r="37" spans="2:9" s="21" customFormat="1">
      <c r="B37" s="14"/>
      <c r="C37" s="13"/>
      <c r="D37" s="196"/>
      <c r="E37" s="13"/>
      <c r="F37" s="197"/>
      <c r="G37" s="198"/>
      <c r="H37" s="197"/>
      <c r="I37" s="172"/>
    </row>
    <row r="38" spans="2:9" s="21" customFormat="1">
      <c r="B38" s="14"/>
      <c r="C38" s="13"/>
      <c r="D38" s="196"/>
      <c r="E38" s="13"/>
      <c r="F38" s="197"/>
      <c r="G38" s="198"/>
      <c r="H38" s="197"/>
      <c r="I38" s="172"/>
    </row>
    <row r="39" spans="2:9" s="21" customFormat="1">
      <c r="B39" s="14"/>
      <c r="C39" s="13"/>
      <c r="D39" s="196"/>
      <c r="E39" s="13"/>
      <c r="F39" s="197"/>
      <c r="G39" s="198"/>
      <c r="H39" s="197"/>
      <c r="I39" s="172"/>
    </row>
    <row r="40" spans="2:9" s="21" customFormat="1">
      <c r="B40" s="14"/>
      <c r="C40" s="13"/>
      <c r="D40" s="196"/>
      <c r="E40" s="13"/>
      <c r="F40" s="197"/>
      <c r="G40" s="198"/>
      <c r="H40" s="197"/>
      <c r="I40" s="172"/>
    </row>
    <row r="41" spans="2:9" s="21" customFormat="1">
      <c r="B41" s="14"/>
      <c r="C41" s="13"/>
      <c r="D41" s="196"/>
      <c r="E41" s="13"/>
      <c r="F41" s="197"/>
      <c r="G41" s="198"/>
      <c r="H41" s="197"/>
      <c r="I41" s="172"/>
    </row>
    <row r="42" spans="2:9" s="21" customFormat="1">
      <c r="B42" s="14"/>
      <c r="C42" s="13"/>
      <c r="D42" s="196"/>
      <c r="E42" s="13"/>
      <c r="F42" s="197"/>
      <c r="G42" s="198"/>
      <c r="H42" s="197"/>
      <c r="I42" s="172"/>
    </row>
    <row r="43" spans="2:9" s="21" customFormat="1">
      <c r="B43" s="14"/>
      <c r="C43" s="13"/>
      <c r="D43" s="196"/>
      <c r="E43" s="13"/>
      <c r="F43" s="197"/>
      <c r="G43" s="198"/>
      <c r="H43" s="197"/>
      <c r="I43" s="172"/>
    </row>
    <row r="44" spans="2:9" s="21" customFormat="1" ht="18">
      <c r="B44" s="14"/>
      <c r="C44" s="13"/>
      <c r="D44" s="103"/>
      <c r="E44" s="13"/>
      <c r="F44" s="197"/>
      <c r="G44" s="198"/>
      <c r="H44" s="197"/>
      <c r="I44" s="172"/>
    </row>
    <row r="45" spans="2:9" s="21" customFormat="1">
      <c r="B45" s="14"/>
      <c r="C45" s="13"/>
      <c r="D45" s="196"/>
      <c r="E45" s="13"/>
      <c r="F45" s="197"/>
      <c r="G45" s="198"/>
      <c r="H45" s="197"/>
      <c r="I45" s="172"/>
    </row>
    <row r="46" spans="2:9" s="21" customFormat="1">
      <c r="B46" s="14"/>
      <c r="C46" s="13"/>
      <c r="D46" s="196"/>
      <c r="E46" s="13"/>
      <c r="F46" s="197"/>
      <c r="G46" s="198"/>
      <c r="H46" s="197"/>
      <c r="I46" s="172"/>
    </row>
    <row r="47" spans="2:9" s="21" customFormat="1">
      <c r="B47" s="14"/>
      <c r="C47" s="13"/>
      <c r="D47" s="196"/>
      <c r="E47" s="13"/>
      <c r="F47" s="197"/>
      <c r="G47" s="198"/>
      <c r="H47" s="197"/>
      <c r="I47" s="172"/>
    </row>
    <row r="48" spans="2:9" s="21" customFormat="1">
      <c r="B48" s="14"/>
      <c r="C48" s="13"/>
      <c r="D48" s="196"/>
      <c r="E48" s="13"/>
      <c r="F48" s="197"/>
      <c r="G48" s="198"/>
      <c r="H48" s="197"/>
      <c r="I48" s="172"/>
    </row>
    <row r="49" spans="2:9" s="21" customFormat="1">
      <c r="B49" s="14"/>
      <c r="C49" s="13"/>
      <c r="D49" s="196"/>
      <c r="E49" s="13"/>
      <c r="F49" s="197"/>
      <c r="G49" s="198"/>
      <c r="H49" s="197"/>
      <c r="I49" s="172"/>
    </row>
    <row r="50" spans="2:9" s="21" customFormat="1">
      <c r="B50" s="14"/>
      <c r="C50" s="13"/>
      <c r="D50" s="196"/>
      <c r="E50" s="13"/>
      <c r="F50" s="197"/>
      <c r="G50" s="198"/>
      <c r="H50" s="197"/>
      <c r="I50" s="172"/>
    </row>
    <row r="51" spans="2:9" s="21" customFormat="1">
      <c r="B51" s="14"/>
      <c r="C51" s="13"/>
      <c r="D51" s="196"/>
      <c r="E51" s="13"/>
      <c r="F51" s="197"/>
      <c r="G51" s="198"/>
      <c r="H51" s="197"/>
      <c r="I51" s="172"/>
    </row>
    <row r="52" spans="2:9" s="21" customFormat="1">
      <c r="B52" s="14"/>
      <c r="C52" s="13"/>
      <c r="D52" s="196"/>
      <c r="E52" s="13"/>
      <c r="F52" s="197"/>
      <c r="G52" s="198"/>
      <c r="H52" s="197"/>
      <c r="I52" s="172"/>
    </row>
    <row r="53" spans="2:9" s="21" customFormat="1">
      <c r="B53" s="14"/>
      <c r="C53" s="13"/>
      <c r="D53" s="196"/>
      <c r="E53" s="13"/>
      <c r="F53" s="197"/>
      <c r="G53" s="198"/>
      <c r="H53" s="197"/>
      <c r="I53" s="172"/>
    </row>
    <row r="54" spans="2:9" s="21" customFormat="1">
      <c r="B54" s="14"/>
      <c r="C54" s="13"/>
      <c r="D54" s="196"/>
      <c r="E54" s="13"/>
      <c r="F54" s="197"/>
      <c r="G54" s="198"/>
      <c r="H54" s="197"/>
      <c r="I54" s="172"/>
    </row>
    <row r="55" spans="2:9" s="21" customFormat="1">
      <c r="B55" s="14"/>
      <c r="C55" s="13"/>
      <c r="D55" s="196"/>
      <c r="E55" s="13"/>
      <c r="F55" s="197"/>
      <c r="G55" s="198"/>
      <c r="H55" s="197"/>
      <c r="I55" s="172"/>
    </row>
    <row r="56" spans="2:9" s="21" customFormat="1">
      <c r="B56" s="14"/>
      <c r="C56" s="13"/>
      <c r="D56" s="196"/>
      <c r="E56" s="13"/>
      <c r="F56" s="197"/>
      <c r="G56" s="198"/>
      <c r="H56" s="197"/>
      <c r="I56" s="172"/>
    </row>
    <row r="57" spans="2:9" s="21" customFormat="1">
      <c r="B57" s="14"/>
      <c r="C57" s="13"/>
      <c r="D57" s="196"/>
      <c r="E57" s="13"/>
      <c r="F57" s="197"/>
      <c r="G57" s="198"/>
      <c r="H57" s="197"/>
      <c r="I57" s="172"/>
    </row>
    <row r="58" spans="2:9" s="21" customFormat="1">
      <c r="B58" s="14"/>
      <c r="C58" s="13"/>
      <c r="D58" s="196"/>
      <c r="E58" s="13"/>
      <c r="F58" s="197"/>
      <c r="G58" s="198"/>
      <c r="H58" s="197"/>
      <c r="I58" s="172"/>
    </row>
    <row r="59" spans="2:9" s="21" customFormat="1">
      <c r="B59" s="14"/>
      <c r="C59" s="13"/>
      <c r="D59" s="196"/>
      <c r="E59" s="13"/>
      <c r="F59" s="197"/>
      <c r="G59" s="198"/>
      <c r="H59" s="197"/>
      <c r="I59" s="172"/>
    </row>
    <row r="60" spans="2:9" s="21" customFormat="1">
      <c r="B60" s="14"/>
      <c r="C60" s="13"/>
      <c r="D60" s="196"/>
      <c r="E60" s="13"/>
      <c r="F60" s="197"/>
      <c r="G60" s="198"/>
      <c r="H60" s="197"/>
      <c r="I60" s="172"/>
    </row>
    <row r="61" spans="2:9" s="21" customFormat="1">
      <c r="B61" s="14"/>
      <c r="C61" s="13"/>
      <c r="D61" s="196"/>
      <c r="E61" s="13"/>
      <c r="F61" s="197"/>
      <c r="G61" s="198"/>
      <c r="H61" s="197"/>
      <c r="I61" s="172"/>
    </row>
    <row r="62" spans="2:9" s="21" customFormat="1">
      <c r="B62" s="14"/>
      <c r="C62" s="13"/>
      <c r="D62" s="196"/>
      <c r="E62" s="13"/>
      <c r="F62" s="197"/>
      <c r="G62" s="198"/>
      <c r="H62" s="197"/>
      <c r="I62" s="172"/>
    </row>
    <row r="63" spans="2:9" s="21" customFormat="1">
      <c r="B63" s="14"/>
      <c r="C63" s="13"/>
      <c r="D63" s="196"/>
      <c r="E63" s="13"/>
      <c r="F63" s="197"/>
      <c r="G63" s="198"/>
      <c r="H63" s="197"/>
      <c r="I63" s="172"/>
    </row>
    <row r="64" spans="2:9" s="21" customFormat="1">
      <c r="B64" s="14"/>
      <c r="C64" s="13"/>
      <c r="D64" s="199"/>
      <c r="E64" s="200"/>
      <c r="F64" s="231"/>
      <c r="G64" s="202"/>
      <c r="H64" s="231"/>
      <c r="I64" s="172"/>
    </row>
    <row r="65" spans="2:9" s="21" customFormat="1">
      <c r="B65" s="14"/>
      <c r="C65" s="13"/>
      <c r="D65" s="199"/>
      <c r="E65" s="199"/>
      <c r="F65" s="199"/>
      <c r="G65" s="199"/>
      <c r="H65" s="199"/>
      <c r="I65" s="172"/>
    </row>
    <row r="66" spans="2:9" s="21" customFormat="1">
      <c r="B66" s="14"/>
      <c r="C66" s="13"/>
      <c r="D66" s="199"/>
      <c r="E66" s="199"/>
      <c r="F66" s="199"/>
      <c r="G66" s="199"/>
      <c r="H66" s="199"/>
      <c r="I66" s="172"/>
    </row>
    <row r="67" spans="2:9" s="21" customFormat="1">
      <c r="B67" s="14"/>
      <c r="C67" s="13"/>
      <c r="D67" s="203"/>
      <c r="E67" s="232"/>
      <c r="F67" s="199"/>
      <c r="G67" s="199"/>
      <c r="H67" s="199"/>
      <c r="I67" s="172"/>
    </row>
    <row r="68" spans="2:9" s="21" customFormat="1">
      <c r="B68" s="14"/>
      <c r="C68" s="13"/>
      <c r="D68" s="200"/>
      <c r="E68" s="232"/>
      <c r="F68" s="199"/>
      <c r="G68" s="199"/>
      <c r="H68" s="199"/>
      <c r="I68" s="172"/>
    </row>
    <row r="69" spans="2:9" s="21" customFormat="1">
      <c r="B69" s="14"/>
      <c r="C69" s="13"/>
      <c r="D69" s="199"/>
      <c r="E69" s="232"/>
      <c r="F69" s="199"/>
      <c r="G69" s="199"/>
      <c r="H69" s="199"/>
      <c r="I69" s="172"/>
    </row>
    <row r="70" spans="2:9" s="21" customFormat="1" ht="14">
      <c r="B70" s="199"/>
      <c r="C70" s="200"/>
      <c r="D70" s="205"/>
      <c r="E70" s="205"/>
      <c r="F70" s="205"/>
      <c r="G70" s="205"/>
      <c r="H70" s="205"/>
      <c r="I70" s="172"/>
    </row>
    <row r="71" spans="2:9" s="21" customFormat="1" ht="14">
      <c r="B71" s="104"/>
      <c r="C71" s="104"/>
      <c r="D71" s="205"/>
      <c r="E71" s="205"/>
      <c r="F71" s="205"/>
      <c r="G71" s="205"/>
      <c r="H71" s="205"/>
      <c r="I71" s="172"/>
    </row>
    <row r="72" spans="2:9" s="21" customFormat="1" ht="14">
      <c r="B72" s="104"/>
      <c r="C72" s="104"/>
      <c r="D72" s="206"/>
      <c r="E72" s="233"/>
      <c r="F72" s="205"/>
      <c r="G72" s="205"/>
      <c r="H72" s="205"/>
      <c r="I72" s="172"/>
    </row>
    <row r="73" spans="2:9" s="21" customFormat="1" ht="14">
      <c r="B73" s="203"/>
      <c r="C73" s="232"/>
      <c r="D73" s="208"/>
      <c r="E73" s="233"/>
      <c r="F73" s="205"/>
      <c r="G73" s="205"/>
      <c r="H73" s="205"/>
      <c r="I73" s="172"/>
    </row>
    <row r="74" spans="2:9" s="21" customFormat="1" ht="14">
      <c r="B74" s="209"/>
      <c r="C74" s="232"/>
      <c r="D74" s="205"/>
      <c r="E74" s="233"/>
      <c r="F74" s="205"/>
      <c r="G74" s="205"/>
      <c r="H74" s="205"/>
      <c r="I74" s="172"/>
    </row>
    <row r="75" spans="2:9" s="21" customFormat="1">
      <c r="C75" s="232"/>
      <c r="I75" s="172"/>
    </row>
    <row r="76" spans="2:9" s="21" customFormat="1">
      <c r="I76" s="172"/>
    </row>
    <row r="77" spans="2:9" s="21" customFormat="1">
      <c r="I77" s="172"/>
    </row>
    <row r="78" spans="2:9" s="21" customFormat="1">
      <c r="I78" s="172"/>
    </row>
    <row r="79" spans="2:9" s="21" customFormat="1">
      <c r="I79" s="172"/>
    </row>
    <row r="80" spans="2:9" s="21" customFormat="1">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7"/>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7" customWidth="1"/>
    <col min="2" max="2" width="51.54296875" style="237" customWidth="1"/>
    <col min="3" max="3" width="47.1796875" style="237" bestFit="1" customWidth="1"/>
    <col min="4" max="4" width="10.81640625" style="237" customWidth="1"/>
    <col min="5" max="5" width="12.1796875" style="237" customWidth="1"/>
    <col min="6" max="6" width="10.1796875" style="237" customWidth="1"/>
    <col min="7" max="10" width="10.81640625" style="237" customWidth="1"/>
    <col min="11" max="11" width="12.1796875" style="237" customWidth="1"/>
    <col min="12" max="12" width="10.81640625" style="237" customWidth="1"/>
    <col min="13" max="13" width="1.1796875" style="237" customWidth="1"/>
    <col min="14" max="16384" width="9.1796875" style="237"/>
  </cols>
  <sheetData>
    <row r="1" spans="1:13" ht="6" customHeight="1">
      <c r="A1" s="234"/>
      <c r="B1" s="235"/>
      <c r="C1" s="235"/>
      <c r="D1" s="235"/>
      <c r="E1" s="235"/>
      <c r="F1" s="235"/>
      <c r="G1" s="235"/>
      <c r="H1" s="235"/>
      <c r="I1" s="235"/>
      <c r="J1" s="235"/>
      <c r="K1" s="235"/>
      <c r="L1" s="235"/>
      <c r="M1" s="236"/>
    </row>
    <row r="2" spans="1:13" s="246" customFormat="1" ht="18">
      <c r="A2" s="238"/>
      <c r="B2" s="239" t="str">
        <f>'Cover Sheet'!B2</f>
        <v>SC Germany Consumer 2021-1</v>
      </c>
      <c r="C2" s="239"/>
      <c r="D2" s="1031" t="str">
        <f>'Cover Sheet'!D2</f>
        <v>Calculation Date</v>
      </c>
      <c r="E2" s="1032"/>
      <c r="F2" s="241"/>
      <c r="G2" s="107">
        <f>'Cover Sheet'!F2</f>
        <v>45820</v>
      </c>
      <c r="H2" s="352"/>
      <c r="I2" s="241"/>
      <c r="J2" s="241"/>
      <c r="K2" s="243"/>
      <c r="M2" s="245"/>
    </row>
    <row r="3" spans="1:13" s="246" customFormat="1" ht="18">
      <c r="A3" s="238"/>
      <c r="B3" s="239" t="str">
        <f>'Cover Sheet'!B3</f>
        <v>Monthly Investor Report</v>
      </c>
      <c r="C3" s="239"/>
      <c r="D3" s="1033" t="str">
        <f>'Cover Sheet'!D3</f>
        <v>Payment Date</v>
      </c>
      <c r="E3" s="1034"/>
      <c r="F3" s="249"/>
      <c r="G3" s="113">
        <f>'Cover Sheet'!F3</f>
        <v>45824</v>
      </c>
      <c r="H3" s="353"/>
      <c r="I3" s="248"/>
      <c r="J3" s="248"/>
      <c r="K3" s="250"/>
      <c r="M3" s="245"/>
    </row>
    <row r="4" spans="1:13" s="246" customFormat="1">
      <c r="A4" s="238"/>
      <c r="B4" s="252"/>
      <c r="C4" s="327"/>
      <c r="D4" s="1033" t="str">
        <f>'Cover Sheet'!D4</f>
        <v>Period  No</v>
      </c>
      <c r="E4" s="1034"/>
      <c r="F4" s="253"/>
      <c r="G4" s="116">
        <f>'Cover Sheet'!F4</f>
        <v>43</v>
      </c>
      <c r="H4" s="354"/>
      <c r="I4" s="254"/>
      <c r="J4" s="248"/>
      <c r="K4" s="255"/>
      <c r="M4" s="245"/>
    </row>
    <row r="5" spans="1:13" s="246" customFormat="1" ht="18">
      <c r="A5" s="238"/>
      <c r="B5" s="256" t="s">
        <v>404</v>
      </c>
      <c r="C5" s="328"/>
      <c r="D5" s="1033" t="str">
        <f>'Cover Sheet'!D5</f>
        <v>Monthly Period</v>
      </c>
      <c r="E5" s="1034"/>
      <c r="F5" s="355"/>
      <c r="G5" s="120">
        <f>'Cover Sheet'!F5</f>
        <v>45824</v>
      </c>
      <c r="H5" s="248"/>
      <c r="I5" s="254"/>
      <c r="J5" s="248"/>
      <c r="K5" s="255"/>
      <c r="M5" s="245"/>
    </row>
    <row r="6" spans="1:13" s="246" customFormat="1" ht="15" customHeight="1">
      <c r="A6" s="238"/>
      <c r="B6" s="257"/>
      <c r="C6" s="329"/>
      <c r="D6" s="1035" t="str">
        <f>'Cover Sheet'!D6</f>
        <v>Interest Period</v>
      </c>
      <c r="E6" s="1034"/>
      <c r="F6" s="249" t="s">
        <v>34</v>
      </c>
      <c r="G6" s="113">
        <f>'Cover Sheet'!F6</f>
        <v>45791</v>
      </c>
      <c r="H6" s="249" t="s">
        <v>4</v>
      </c>
      <c r="I6" s="249">
        <f>'Cover Sheet'!H6</f>
        <v>45824</v>
      </c>
      <c r="J6" s="249" t="s">
        <v>15</v>
      </c>
      <c r="K6" s="260" t="str">
        <f>'Cover Sheet'!J6</f>
        <v>33 days</v>
      </c>
      <c r="M6" s="261"/>
    </row>
    <row r="7" spans="1:13" s="246" customFormat="1" ht="13">
      <c r="A7" s="238"/>
      <c r="B7" s="33"/>
      <c r="C7" s="33"/>
      <c r="D7" s="1036" t="str">
        <f>'Cover Sheet'!D7</f>
        <v>Collection Period</v>
      </c>
      <c r="E7" s="1037"/>
      <c r="F7" s="263" t="s">
        <v>34</v>
      </c>
      <c r="G7" s="128" t="str">
        <f>'Cover Sheet'!F7</f>
        <v>01.05.2025</v>
      </c>
      <c r="H7" s="263" t="s">
        <v>4</v>
      </c>
      <c r="I7" s="263">
        <f>'Cover Sheet'!H7</f>
        <v>45808</v>
      </c>
      <c r="J7" s="356"/>
      <c r="K7" s="265"/>
      <c r="M7" s="245"/>
    </row>
    <row r="8" spans="1:13" s="246" customFormat="1" ht="13">
      <c r="A8" s="238"/>
      <c r="B8" s="33"/>
      <c r="C8" s="33"/>
      <c r="D8" s="25"/>
      <c r="E8" s="244"/>
      <c r="F8" s="266"/>
      <c r="G8" s="244"/>
      <c r="H8" s="33"/>
      <c r="I8" s="267"/>
      <c r="J8" s="33"/>
      <c r="K8" s="251"/>
      <c r="L8" s="33"/>
      <c r="M8" s="245"/>
    </row>
    <row r="9" spans="1:13" s="246" customFormat="1" ht="13">
      <c r="A9" s="238"/>
      <c r="B9" s="33"/>
      <c r="C9" s="33"/>
      <c r="D9" s="25"/>
      <c r="E9" s="33"/>
      <c r="F9" s="33"/>
      <c r="G9" s="33"/>
      <c r="H9" s="33"/>
      <c r="I9" s="33"/>
      <c r="J9" s="33"/>
      <c r="K9" s="33"/>
      <c r="L9" s="33"/>
      <c r="M9" s="268"/>
    </row>
    <row r="10" spans="1:13" s="246" customFormat="1">
      <c r="A10" s="238"/>
      <c r="B10" s="33"/>
      <c r="C10" s="33"/>
      <c r="D10" s="25"/>
      <c r="E10" s="33"/>
      <c r="F10" s="269"/>
      <c r="G10" s="33"/>
      <c r="H10" s="33"/>
      <c r="I10" s="25"/>
      <c r="J10" s="25"/>
      <c r="K10" s="33"/>
      <c r="L10" s="33"/>
      <c r="M10" s="245"/>
    </row>
    <row r="11" spans="1:13" s="246" customFormat="1" ht="12.75" customHeight="1">
      <c r="A11" s="238"/>
      <c r="B11" s="270"/>
      <c r="C11" s="33"/>
      <c r="D11" s="32" t="s">
        <v>446</v>
      </c>
      <c r="E11" s="32" t="s">
        <v>447</v>
      </c>
      <c r="F11" s="32" t="s">
        <v>449</v>
      </c>
      <c r="G11" s="32" t="s">
        <v>282</v>
      </c>
      <c r="H11" s="32" t="s">
        <v>448</v>
      </c>
      <c r="I11" s="32" t="s">
        <v>254</v>
      </c>
      <c r="J11" s="28"/>
      <c r="K11" s="28"/>
      <c r="L11" s="28"/>
      <c r="M11" s="272"/>
    </row>
    <row r="12" spans="1:13" s="246" customFormat="1" ht="15" customHeight="1">
      <c r="A12" s="238"/>
      <c r="B12" s="33"/>
      <c r="C12" s="25"/>
      <c r="D12" s="1028" t="s">
        <v>252</v>
      </c>
      <c r="E12" s="1029"/>
      <c r="F12" s="1030"/>
      <c r="G12" s="1028" t="s">
        <v>253</v>
      </c>
      <c r="H12" s="1029"/>
      <c r="I12" s="1030"/>
      <c r="J12" s="238"/>
      <c r="K12" s="33"/>
      <c r="L12" s="269"/>
      <c r="M12" s="245"/>
    </row>
    <row r="13" spans="1:13" s="246" customFormat="1" ht="33" customHeight="1">
      <c r="A13" s="238"/>
      <c r="B13" s="33"/>
      <c r="C13" s="24"/>
      <c r="D13" s="3" t="s">
        <v>111</v>
      </c>
      <c r="E13" s="3" t="s">
        <v>112</v>
      </c>
      <c r="F13" s="3" t="s">
        <v>113</v>
      </c>
      <c r="G13" s="3" t="s">
        <v>111</v>
      </c>
      <c r="H13" s="3" t="s">
        <v>112</v>
      </c>
      <c r="I13" s="3" t="s">
        <v>113</v>
      </c>
      <c r="J13" s="33"/>
      <c r="K13" s="4" t="s">
        <v>195</v>
      </c>
      <c r="L13" s="269"/>
      <c r="M13" s="245"/>
    </row>
    <row r="14" spans="1:13" ht="12.75" customHeight="1">
      <c r="A14" s="283"/>
      <c r="B14" s="25"/>
      <c r="C14" s="25"/>
      <c r="D14" s="34" t="s">
        <v>446</v>
      </c>
      <c r="E14" s="34" t="s">
        <v>447</v>
      </c>
      <c r="F14" s="35" t="s">
        <v>449</v>
      </c>
      <c r="G14" s="34" t="s">
        <v>282</v>
      </c>
      <c r="H14" s="34" t="s">
        <v>448</v>
      </c>
      <c r="I14" s="34" t="s">
        <v>254</v>
      </c>
      <c r="J14" s="25"/>
      <c r="K14" s="5"/>
      <c r="L14" s="269"/>
      <c r="M14" s="313"/>
    </row>
    <row r="15" spans="1:13" ht="12.75" customHeight="1">
      <c r="A15" s="283"/>
      <c r="B15" s="36" t="s">
        <v>486</v>
      </c>
      <c r="C15" s="67" t="s">
        <v>108</v>
      </c>
      <c r="D15" s="5" t="str">
        <f>VLOOKUP(C15,rating_21,8,0)</f>
        <v>A</v>
      </c>
      <c r="E15" s="5" t="str">
        <f>VLOOKUP($C15,rating_21,10,FALSE)</f>
        <v>F1</v>
      </c>
      <c r="F15" s="6" t="str">
        <f>VLOOKUP($C15,rating_21,11,FALSE)</f>
        <v>STABLE</v>
      </c>
      <c r="G15" s="5" t="str">
        <f>VLOOKUP($C15,rating_21,3,FALSE)</f>
        <v>A2</v>
      </c>
      <c r="H15" s="6" t="str">
        <f>VLOOKUP($C15,rating_21,5,FALSE)</f>
        <v>P-1</v>
      </c>
      <c r="I15" s="5" t="str">
        <f>VLOOKUP($C15,rating_21,6,FALSE)</f>
        <v>POS</v>
      </c>
      <c r="J15" s="25"/>
      <c r="K15" s="5" t="s">
        <v>210</v>
      </c>
      <c r="L15" s="269"/>
      <c r="M15" s="313"/>
    </row>
    <row r="16" spans="1:13" ht="12.75" customHeight="1">
      <c r="A16" s="283"/>
      <c r="B16" s="7"/>
      <c r="C16" s="68" t="s">
        <v>510</v>
      </c>
      <c r="D16" s="38"/>
      <c r="E16" s="38"/>
      <c r="F16" s="25"/>
      <c r="G16" s="38"/>
      <c r="H16" s="25"/>
      <c r="I16" s="38"/>
      <c r="J16" s="25"/>
      <c r="K16" s="5"/>
      <c r="L16" s="269"/>
      <c r="M16" s="313"/>
    </row>
    <row r="17" spans="1:13" ht="12.75" customHeight="1">
      <c r="A17" s="283"/>
      <c r="B17" s="8"/>
      <c r="C17" s="68" t="s">
        <v>511</v>
      </c>
      <c r="D17" s="5"/>
      <c r="E17" s="5"/>
      <c r="F17" s="6"/>
      <c r="G17" s="5"/>
      <c r="H17" s="6"/>
      <c r="I17" s="5"/>
      <c r="J17" s="25"/>
      <c r="K17" s="5"/>
      <c r="L17" s="269"/>
      <c r="M17" s="313"/>
    </row>
    <row r="18" spans="1:13" ht="12.75" customHeight="1">
      <c r="A18" s="283"/>
      <c r="B18" s="8"/>
      <c r="C18" s="68" t="s">
        <v>272</v>
      </c>
      <c r="D18" s="38"/>
      <c r="E18" s="38"/>
      <c r="F18" s="25"/>
      <c r="G18" s="38"/>
      <c r="H18" s="25"/>
      <c r="I18" s="38"/>
      <c r="J18" s="25"/>
      <c r="K18" s="5"/>
      <c r="L18" s="269"/>
      <c r="M18" s="313"/>
    </row>
    <row r="19" spans="1:13" ht="12.75" customHeight="1">
      <c r="A19" s="283"/>
      <c r="B19" s="8"/>
      <c r="C19" s="68"/>
      <c r="D19" s="38"/>
      <c r="E19" s="38"/>
      <c r="F19" s="25"/>
      <c r="G19" s="38"/>
      <c r="H19" s="25"/>
      <c r="I19" s="38"/>
      <c r="J19" s="25"/>
      <c r="K19" s="5"/>
      <c r="L19" s="269"/>
      <c r="M19" s="313"/>
    </row>
    <row r="20" spans="1:13" ht="12.75" customHeight="1">
      <c r="A20" s="283"/>
      <c r="B20" s="8"/>
      <c r="C20" s="67" t="s">
        <v>267</v>
      </c>
      <c r="D20" s="5" t="str">
        <f>VLOOKUP(C20,rating_21,8,0)</f>
        <v>A-</v>
      </c>
      <c r="E20" s="5" t="str">
        <f>VLOOKUP($C20,rating_21,10,FALSE)</f>
        <v>F1</v>
      </c>
      <c r="F20" s="6" t="str">
        <f>VLOOKUP($C20,rating_21,11,FALSE)</f>
        <v>STABLE</v>
      </c>
      <c r="G20" s="5" t="str">
        <f>VLOOKUP($C20,rating_21,3,FALSE)</f>
        <v>A1</v>
      </c>
      <c r="H20" s="6" t="str">
        <f>VLOOKUP($C20,rating_21,5,FALSE)</f>
        <v>P-1</v>
      </c>
      <c r="I20" s="5" t="str">
        <f>VLOOKUP($C20,rating_21,6,FALSE)</f>
        <v>NEG</v>
      </c>
      <c r="J20" s="25"/>
      <c r="K20" s="5" t="s">
        <v>210</v>
      </c>
      <c r="L20" s="269"/>
      <c r="M20" s="313"/>
    </row>
    <row r="21" spans="1:13" ht="12.75" customHeight="1">
      <c r="A21" s="283"/>
      <c r="B21" s="8"/>
      <c r="C21" s="68" t="s">
        <v>507</v>
      </c>
      <c r="D21" s="38"/>
      <c r="E21" s="38"/>
      <c r="F21" s="25"/>
      <c r="G21" s="38"/>
      <c r="H21" s="25"/>
      <c r="I21" s="38"/>
      <c r="J21" s="25"/>
      <c r="K21" s="5"/>
      <c r="L21" s="269"/>
      <c r="M21" s="313"/>
    </row>
    <row r="22" spans="1:13" ht="12.75" customHeight="1">
      <c r="A22" s="283"/>
      <c r="B22" s="8"/>
      <c r="C22" s="68" t="s">
        <v>508</v>
      </c>
      <c r="D22" s="38"/>
      <c r="E22" s="38"/>
      <c r="F22" s="25"/>
      <c r="G22" s="38"/>
      <c r="H22" s="25"/>
      <c r="I22" s="38"/>
      <c r="J22" s="25"/>
      <c r="K22" s="5"/>
      <c r="L22" s="269"/>
      <c r="M22" s="313"/>
    </row>
    <row r="23" spans="1:13" ht="12.75" customHeight="1">
      <c r="A23" s="283"/>
      <c r="B23" s="8"/>
      <c r="C23" s="68" t="s">
        <v>509</v>
      </c>
      <c r="D23" s="38"/>
      <c r="E23" s="38"/>
      <c r="F23" s="25"/>
      <c r="G23" s="38"/>
      <c r="H23" s="25"/>
      <c r="I23" s="38"/>
      <c r="J23" s="25"/>
      <c r="K23" s="5"/>
      <c r="L23" s="269"/>
      <c r="M23" s="313"/>
    </row>
    <row r="24" spans="1:13" ht="12.75" customHeight="1">
      <c r="A24" s="283"/>
      <c r="B24" s="8"/>
      <c r="C24" s="68"/>
      <c r="D24" s="38"/>
      <c r="E24" s="38"/>
      <c r="F24" s="25"/>
      <c r="G24" s="38"/>
      <c r="H24" s="25"/>
      <c r="I24" s="38"/>
      <c r="J24" s="25"/>
      <c r="K24" s="5"/>
      <c r="L24" s="269"/>
      <c r="M24" s="313"/>
    </row>
    <row r="25" spans="1:13" ht="12.75" customHeight="1">
      <c r="A25" s="283"/>
      <c r="B25" s="66" t="s">
        <v>485</v>
      </c>
      <c r="C25" s="67" t="s">
        <v>482</v>
      </c>
      <c r="D25" s="5" t="str">
        <f>VLOOKUP(C25,rating_21,8,0)</f>
        <v>-</v>
      </c>
      <c r="E25" s="5" t="str">
        <f>VLOOKUP($C25,rating_21,10,FALSE)</f>
        <v>-</v>
      </c>
      <c r="F25" s="6" t="str">
        <f>VLOOKUP($C25,rating_21,11,FALSE)</f>
        <v>-</v>
      </c>
      <c r="G25" s="5" t="str">
        <f>VLOOKUP($C25,rating_21,3,FALSE)</f>
        <v>-</v>
      </c>
      <c r="H25" s="6" t="str">
        <f>VLOOKUP($C25,rating_21,5,FALSE)</f>
        <v>P-1</v>
      </c>
      <c r="I25" s="5" t="str">
        <f>VLOOKUP($C25,rating_21,6,FALSE)</f>
        <v>STABLE</v>
      </c>
      <c r="J25" s="25"/>
      <c r="K25" s="5" t="s">
        <v>210</v>
      </c>
      <c r="L25" s="269"/>
      <c r="M25" s="313"/>
    </row>
    <row r="26" spans="1:13" ht="12.75" customHeight="1">
      <c r="A26" s="283"/>
      <c r="B26" s="8"/>
      <c r="C26" s="68" t="s">
        <v>483</v>
      </c>
      <c r="D26" s="38"/>
      <c r="E26" s="38"/>
      <c r="F26" s="25"/>
      <c r="G26" s="38"/>
      <c r="H26" s="25"/>
      <c r="I26" s="38"/>
      <c r="J26" s="25"/>
      <c r="K26" s="5"/>
      <c r="L26" s="269"/>
      <c r="M26" s="313"/>
    </row>
    <row r="27" spans="1:13" ht="12.75" customHeight="1">
      <c r="A27" s="283"/>
      <c r="B27" s="8"/>
      <c r="C27" s="68" t="s">
        <v>484</v>
      </c>
      <c r="D27" s="38"/>
      <c r="E27" s="38"/>
      <c r="F27" s="25"/>
      <c r="G27" s="38"/>
      <c r="H27" s="25"/>
      <c r="I27" s="38"/>
      <c r="J27" s="25"/>
      <c r="K27" s="5"/>
      <c r="L27" s="269"/>
      <c r="M27" s="313"/>
    </row>
    <row r="28" spans="1:13" ht="12.75" customHeight="1">
      <c r="A28" s="283"/>
      <c r="B28" s="8"/>
      <c r="C28" s="68" t="s">
        <v>205</v>
      </c>
      <c r="D28" s="38"/>
      <c r="E28" s="38"/>
      <c r="F28" s="25"/>
      <c r="G28" s="38"/>
      <c r="H28" s="25"/>
      <c r="I28" s="38"/>
      <c r="J28" s="25"/>
      <c r="K28" s="5"/>
      <c r="L28" s="269"/>
      <c r="M28" s="313"/>
    </row>
    <row r="29" spans="1:13" ht="12.75" customHeight="1">
      <c r="A29" s="283"/>
      <c r="B29" s="8"/>
      <c r="C29" s="68"/>
      <c r="D29" s="38"/>
      <c r="E29" s="38"/>
      <c r="F29" s="25"/>
      <c r="G29" s="38"/>
      <c r="H29" s="25"/>
      <c r="I29" s="38"/>
      <c r="J29" s="25"/>
      <c r="K29" s="5"/>
      <c r="L29" s="269"/>
      <c r="M29" s="313"/>
    </row>
    <row r="30" spans="1:13" ht="12.75" customHeight="1">
      <c r="A30" s="283"/>
      <c r="B30" s="66" t="s">
        <v>480</v>
      </c>
      <c r="C30" s="67" t="s">
        <v>271</v>
      </c>
      <c r="D30" s="5" t="str">
        <f>VLOOKUP(C30,rating_21,8,0)</f>
        <v>-</v>
      </c>
      <c r="E30" s="5" t="str">
        <f>VLOOKUP($C30,rating_21,10,FALSE)</f>
        <v>-</v>
      </c>
      <c r="F30" s="5" t="str">
        <f>VLOOKUP($C30,rating_21,11,FALSE)</f>
        <v>-</v>
      </c>
      <c r="G30" s="5" t="str">
        <f>VLOOKUP($C30,rating_21,3,FALSE)</f>
        <v>-</v>
      </c>
      <c r="H30" s="5" t="str">
        <f>VLOOKUP($C30,rating_21,5,FALSE)</f>
        <v>-</v>
      </c>
      <c r="I30" s="5" t="str">
        <f>VLOOKUP($C30,rating_21,6,FALSE)</f>
        <v>-</v>
      </c>
      <c r="J30" s="25"/>
      <c r="K30" s="5" t="s">
        <v>210</v>
      </c>
      <c r="L30" s="269"/>
      <c r="M30" s="313"/>
    </row>
    <row r="31" spans="1:13" ht="12.75" customHeight="1">
      <c r="A31" s="283"/>
      <c r="B31" s="8"/>
      <c r="C31" s="68" t="s">
        <v>506</v>
      </c>
      <c r="D31" s="38"/>
      <c r="E31" s="38"/>
      <c r="F31" s="25"/>
      <c r="G31" s="38"/>
      <c r="H31" s="25"/>
      <c r="I31" s="38"/>
      <c r="J31" s="25"/>
      <c r="K31" s="5"/>
      <c r="L31" s="269"/>
      <c r="M31" s="313"/>
    </row>
    <row r="32" spans="1:13" ht="12.75" customHeight="1">
      <c r="A32" s="283"/>
      <c r="B32" s="8"/>
      <c r="C32" s="68" t="s">
        <v>481</v>
      </c>
      <c r="D32" s="38"/>
      <c r="E32" s="38"/>
      <c r="F32" s="25"/>
      <c r="G32" s="38"/>
      <c r="H32" s="25"/>
      <c r="I32" s="38"/>
      <c r="J32" s="25"/>
      <c r="K32" s="5"/>
      <c r="L32" s="269"/>
      <c r="M32" s="313"/>
    </row>
    <row r="33" spans="1:13" ht="12.75" customHeight="1">
      <c r="A33" s="283"/>
      <c r="B33" s="8"/>
      <c r="C33" s="68" t="s">
        <v>269</v>
      </c>
      <c r="D33" s="38"/>
      <c r="E33" s="38"/>
      <c r="F33" s="25"/>
      <c r="G33" s="38"/>
      <c r="H33" s="25"/>
      <c r="I33" s="38"/>
      <c r="J33" s="25"/>
      <c r="K33" s="5"/>
      <c r="L33" s="269"/>
      <c r="M33" s="313"/>
    </row>
    <row r="34" spans="1:13" ht="12.75" customHeight="1">
      <c r="A34" s="283"/>
      <c r="B34" s="8"/>
      <c r="C34" s="68"/>
      <c r="D34" s="38"/>
      <c r="E34" s="38"/>
      <c r="F34" s="25"/>
      <c r="G34" s="38"/>
      <c r="H34" s="25"/>
      <c r="I34" s="38"/>
      <c r="J34" s="25"/>
      <c r="K34" s="5"/>
      <c r="L34" s="269"/>
      <c r="M34" s="313"/>
    </row>
    <row r="35" spans="1:13" ht="12.75" customHeight="1">
      <c r="A35" s="283"/>
      <c r="B35" s="8"/>
      <c r="C35" s="68"/>
      <c r="D35" s="38"/>
      <c r="E35" s="38"/>
      <c r="F35" s="25"/>
      <c r="G35" s="38"/>
      <c r="H35" s="25"/>
      <c r="I35" s="38"/>
      <c r="J35" s="25"/>
      <c r="K35" s="5"/>
      <c r="L35" s="269"/>
      <c r="M35" s="313"/>
    </row>
    <row r="36" spans="1:13" ht="12.75" customHeight="1">
      <c r="A36" s="283"/>
      <c r="B36" s="66" t="s">
        <v>491</v>
      </c>
      <c r="C36" s="93" t="s">
        <v>521</v>
      </c>
      <c r="D36" s="5" t="str">
        <f>VLOOKUP(C36,rating_21,8,0)</f>
        <v>AA</v>
      </c>
      <c r="E36" s="5" t="str">
        <f>VLOOKUP($C36,rating_21,10,FALSE)</f>
        <v>F1+</v>
      </c>
      <c r="F36" s="6" t="str">
        <f>VLOOKUP($C36,rating_21,11,FALSE)</f>
        <v>STABLE</v>
      </c>
      <c r="G36" s="5" t="str">
        <f>VLOOKUP($C36,rating_21,3,FALSE)</f>
        <v>-</v>
      </c>
      <c r="H36" s="6" t="str">
        <f>VLOOKUP($C36,rating_21,5,FALSE)</f>
        <v>P-1</v>
      </c>
      <c r="I36" s="5" t="str">
        <f>VLOOKUP($C36,rating_21,6,FALSE)</f>
        <v>STABLE</v>
      </c>
      <c r="J36" s="25"/>
      <c r="K36" s="5" t="s">
        <v>210</v>
      </c>
      <c r="L36" s="269"/>
      <c r="M36" s="313"/>
    </row>
    <row r="37" spans="1:13" ht="12.75" customHeight="1">
      <c r="A37" s="283"/>
      <c r="B37" s="8" t="s">
        <v>478</v>
      </c>
      <c r="C37" s="91" t="s">
        <v>492</v>
      </c>
      <c r="D37" s="38"/>
      <c r="E37" s="38"/>
      <c r="F37" s="25"/>
      <c r="G37" s="38"/>
      <c r="H37" s="25"/>
      <c r="I37" s="38"/>
      <c r="J37" s="25"/>
      <c r="K37" s="5"/>
      <c r="L37" s="269"/>
      <c r="M37" s="313"/>
    </row>
    <row r="38" spans="1:13" ht="12.75" customHeight="1">
      <c r="A38" s="283"/>
      <c r="B38" s="8"/>
      <c r="C38" s="68" t="s">
        <v>479</v>
      </c>
      <c r="D38" s="38"/>
      <c r="E38" s="38"/>
      <c r="F38" s="25"/>
      <c r="G38" s="38"/>
      <c r="H38" s="25"/>
      <c r="I38" s="38"/>
      <c r="J38" s="25"/>
      <c r="K38" s="5"/>
      <c r="L38" s="269"/>
      <c r="M38" s="313"/>
    </row>
    <row r="39" spans="1:13" ht="12.75" customHeight="1">
      <c r="A39" s="283"/>
      <c r="B39" s="8"/>
      <c r="C39" s="68" t="s">
        <v>269</v>
      </c>
      <c r="D39" s="38"/>
      <c r="E39" s="38"/>
      <c r="F39" s="25"/>
      <c r="G39" s="38"/>
      <c r="H39" s="25"/>
      <c r="I39" s="38"/>
      <c r="J39" s="25"/>
      <c r="K39" s="5"/>
      <c r="L39" s="269"/>
      <c r="M39" s="313"/>
    </row>
    <row r="40" spans="1:13" ht="12.75" customHeight="1">
      <c r="A40" s="283"/>
      <c r="B40" s="8"/>
      <c r="C40" s="63"/>
      <c r="D40" s="38"/>
      <c r="E40" s="38"/>
      <c r="F40" s="25"/>
      <c r="G40" s="38"/>
      <c r="H40" s="25"/>
      <c r="I40" s="38"/>
      <c r="J40" s="25"/>
      <c r="K40" s="5"/>
      <c r="L40" s="269"/>
      <c r="M40" s="313"/>
    </row>
    <row r="41" spans="1:13" ht="12.75" customHeight="1">
      <c r="A41" s="283"/>
      <c r="B41" s="36" t="s">
        <v>473</v>
      </c>
      <c r="C41" s="69" t="s">
        <v>517</v>
      </c>
      <c r="D41" s="5" t="str">
        <f>VLOOKUP(C41,rating_21,8,0)</f>
        <v>AA</v>
      </c>
      <c r="E41" s="5" t="str">
        <f>VLOOKUP($C41,rating_21,10,FALSE)</f>
        <v>F1+</v>
      </c>
      <c r="F41" s="6" t="str">
        <f>VLOOKUP($C41,rating_21,11,FALSE)</f>
        <v>STABLE</v>
      </c>
      <c r="G41" s="5" t="str">
        <f>VLOOKUP($C41,rating_21,3,FALSE)</f>
        <v>Aa2</v>
      </c>
      <c r="H41" s="6" t="str">
        <f>VLOOKUP($C41,rating_21,5,FALSE)</f>
        <v>P-1</v>
      </c>
      <c r="I41" s="5" t="str">
        <f>VLOOKUP($C41,rating_21,6,FALSE)</f>
        <v>STABLE</v>
      </c>
      <c r="J41" s="25"/>
      <c r="K41" s="5" t="s">
        <v>210</v>
      </c>
      <c r="L41" s="269"/>
      <c r="M41" s="313"/>
    </row>
    <row r="42" spans="1:13" ht="12.75" customHeight="1">
      <c r="A42" s="283"/>
      <c r="B42" s="65" t="s">
        <v>474</v>
      </c>
      <c r="C42" s="68" t="s">
        <v>489</v>
      </c>
      <c r="D42" s="38"/>
      <c r="E42" s="38"/>
      <c r="F42" s="25"/>
      <c r="G42" s="38"/>
      <c r="H42" s="25"/>
      <c r="I42" s="38"/>
      <c r="J42" s="25"/>
      <c r="K42" s="5"/>
      <c r="L42" s="269"/>
      <c r="M42" s="313"/>
    </row>
    <row r="43" spans="1:13" ht="12.75" customHeight="1">
      <c r="A43" s="283"/>
      <c r="B43" s="24" t="s">
        <v>475</v>
      </c>
      <c r="C43" s="68" t="s">
        <v>476</v>
      </c>
      <c r="D43" s="38"/>
      <c r="E43" s="38"/>
      <c r="F43" s="25"/>
      <c r="G43" s="38"/>
      <c r="H43" s="25"/>
      <c r="I43" s="38"/>
      <c r="J43" s="25"/>
      <c r="K43" s="5"/>
      <c r="L43" s="269"/>
      <c r="M43" s="313"/>
    </row>
    <row r="44" spans="1:13" ht="12.75" customHeight="1">
      <c r="A44" s="283"/>
      <c r="B44" s="25"/>
      <c r="C44" s="68" t="s">
        <v>194</v>
      </c>
      <c r="D44" s="38"/>
      <c r="E44" s="38"/>
      <c r="F44" s="25"/>
      <c r="G44" s="38"/>
      <c r="H44" s="25"/>
      <c r="I44" s="38"/>
      <c r="J44" s="25"/>
      <c r="K44" s="5"/>
      <c r="L44" s="269"/>
      <c r="M44" s="313"/>
    </row>
    <row r="45" spans="1:13" ht="12.75" customHeight="1">
      <c r="A45" s="283"/>
      <c r="B45" s="25"/>
      <c r="C45" s="63"/>
      <c r="D45" s="38"/>
      <c r="E45" s="38"/>
      <c r="F45" s="25"/>
      <c r="G45" s="38"/>
      <c r="H45" s="25"/>
      <c r="I45" s="38"/>
      <c r="J45" s="25"/>
      <c r="K45" s="5"/>
      <c r="L45" s="269"/>
      <c r="M45" s="313"/>
    </row>
    <row r="46" spans="1:13" ht="12.75" customHeight="1">
      <c r="A46" s="283"/>
      <c r="B46" s="25"/>
      <c r="C46" s="63"/>
      <c r="D46" s="38"/>
      <c r="E46" s="38"/>
      <c r="F46" s="25"/>
      <c r="G46" s="38"/>
      <c r="H46" s="25"/>
      <c r="I46" s="38"/>
      <c r="J46" s="25"/>
      <c r="K46" s="5"/>
      <c r="L46" s="269"/>
      <c r="M46" s="313"/>
    </row>
    <row r="47" spans="1:13" ht="12.75" customHeight="1">
      <c r="A47" s="283"/>
      <c r="B47" s="23" t="s">
        <v>477</v>
      </c>
      <c r="C47" s="69" t="s">
        <v>517</v>
      </c>
      <c r="D47" s="5" t="str">
        <f>VLOOKUP(C47,rating_21,8,0)</f>
        <v>AA</v>
      </c>
      <c r="E47" s="5" t="str">
        <f>VLOOKUP($C47,rating_21,10,FALSE)</f>
        <v>F1+</v>
      </c>
      <c r="F47" s="6" t="str">
        <f>VLOOKUP($C47,rating_21,11,FALSE)</f>
        <v>STABLE</v>
      </c>
      <c r="G47" s="5" t="str">
        <f>VLOOKUP($C47,rating_21,3,FALSE)</f>
        <v>Aa2</v>
      </c>
      <c r="H47" s="6" t="str">
        <f>VLOOKUP($C47,rating_21,5,FALSE)</f>
        <v>P-1</v>
      </c>
      <c r="I47" s="5" t="str">
        <f>VLOOKUP($C47,rating_21,6,FALSE)</f>
        <v>STABLE</v>
      </c>
      <c r="J47" s="25"/>
      <c r="K47" s="5" t="s">
        <v>210</v>
      </c>
      <c r="L47" s="269"/>
      <c r="M47" s="313"/>
    </row>
    <row r="48" spans="1:13" ht="12.75" customHeight="1">
      <c r="A48" s="283"/>
      <c r="B48" s="25"/>
      <c r="C48" s="64" t="s">
        <v>488</v>
      </c>
      <c r="D48" s="38"/>
      <c r="E48" s="38"/>
      <c r="F48" s="25"/>
      <c r="G48" s="38"/>
      <c r="H48" s="25"/>
      <c r="I48" s="38"/>
      <c r="J48" s="25"/>
      <c r="K48" s="5"/>
      <c r="L48" s="269"/>
      <c r="M48" s="313"/>
    </row>
    <row r="49" spans="1:13" ht="12.75" customHeight="1">
      <c r="A49" s="283"/>
      <c r="B49" s="25"/>
      <c r="C49" s="64" t="s">
        <v>490</v>
      </c>
      <c r="D49" s="38"/>
      <c r="E49" s="38"/>
      <c r="F49" s="25"/>
      <c r="G49" s="38"/>
      <c r="H49" s="25"/>
      <c r="I49" s="38"/>
      <c r="J49" s="25"/>
      <c r="K49" s="5"/>
      <c r="L49" s="269"/>
      <c r="M49" s="313"/>
    </row>
    <row r="50" spans="1:13" ht="12.75" customHeight="1">
      <c r="A50" s="283"/>
      <c r="B50" s="25"/>
      <c r="C50" s="64" t="s">
        <v>205</v>
      </c>
      <c r="D50" s="38"/>
      <c r="E50" s="38"/>
      <c r="F50" s="25"/>
      <c r="G50" s="38"/>
      <c r="H50" s="25"/>
      <c r="I50" s="38"/>
      <c r="J50" s="25"/>
      <c r="K50" s="5"/>
      <c r="L50" s="269"/>
      <c r="M50" s="313"/>
    </row>
    <row r="51" spans="1:13" ht="12.75" customHeight="1">
      <c r="A51" s="283"/>
      <c r="B51" s="25"/>
      <c r="C51" s="61"/>
      <c r="D51" s="38"/>
      <c r="E51" s="38"/>
      <c r="F51" s="25"/>
      <c r="G51" s="38"/>
      <c r="H51" s="25"/>
      <c r="I51" s="38"/>
      <c r="J51" s="25"/>
      <c r="K51" s="5"/>
      <c r="L51" s="269"/>
      <c r="M51" s="313"/>
    </row>
    <row r="52" spans="1:13" ht="12.75" customHeight="1">
      <c r="A52" s="283"/>
      <c r="B52" s="25"/>
      <c r="C52" s="61"/>
      <c r="D52" s="38"/>
      <c r="E52" s="38"/>
      <c r="F52" s="25"/>
      <c r="G52" s="38"/>
      <c r="H52" s="25"/>
      <c r="I52" s="38"/>
      <c r="J52" s="25"/>
      <c r="K52" s="5"/>
      <c r="L52" s="269"/>
      <c r="M52" s="313"/>
    </row>
    <row r="53" spans="1:13" ht="12.75" customHeight="1">
      <c r="A53" s="283"/>
      <c r="B53" s="36" t="s">
        <v>274</v>
      </c>
      <c r="C53" s="69" t="s">
        <v>280</v>
      </c>
      <c r="D53" s="5" t="str">
        <f>VLOOKUP(C53,rating_21,8,0)</f>
        <v>AA-</v>
      </c>
      <c r="E53" s="5" t="str">
        <f>VLOOKUP($C53,rating_21,10,FALSE)</f>
        <v>F1+</v>
      </c>
      <c r="F53" s="6" t="str">
        <f>VLOOKUP($C53,rating_21,11,FALSE)</f>
        <v>STABLE</v>
      </c>
      <c r="G53" s="5" t="str">
        <f>VLOOKUP($C53,rating_21,3,FALSE)</f>
        <v>Aa2</v>
      </c>
      <c r="H53" s="6" t="str">
        <f>VLOOKUP($C53,rating_21,5,FALSE)</f>
        <v>P-1</v>
      </c>
      <c r="I53" s="5" t="str">
        <f>VLOOKUP($C53,rating_21,6,FALSE)</f>
        <v>STABLE</v>
      </c>
      <c r="J53" s="25"/>
      <c r="K53" s="5" t="s">
        <v>210</v>
      </c>
      <c r="L53" s="269"/>
      <c r="M53" s="313"/>
    </row>
    <row r="54" spans="1:13" ht="12.75" customHeight="1">
      <c r="A54" s="283"/>
      <c r="B54" s="25"/>
      <c r="C54" s="68" t="s">
        <v>275</v>
      </c>
      <c r="D54" s="38"/>
      <c r="E54" s="38"/>
      <c r="F54" s="38"/>
      <c r="G54" s="38"/>
      <c r="H54" s="38"/>
      <c r="I54" s="38"/>
      <c r="J54" s="25"/>
      <c r="K54" s="5"/>
      <c r="L54" s="25"/>
      <c r="M54" s="313"/>
    </row>
    <row r="55" spans="1:13" ht="12.75" customHeight="1">
      <c r="A55" s="283"/>
      <c r="C55" s="68" t="s">
        <v>276</v>
      </c>
      <c r="D55" s="38"/>
      <c r="E55" s="38"/>
      <c r="F55" s="25"/>
      <c r="G55" s="38"/>
      <c r="H55" s="25"/>
      <c r="I55" s="38"/>
      <c r="J55" s="25"/>
      <c r="K55" s="5"/>
      <c r="L55" s="25"/>
      <c r="M55" s="313"/>
    </row>
    <row r="56" spans="1:13" ht="12.75" customHeight="1">
      <c r="A56" s="283"/>
      <c r="B56" s="25"/>
      <c r="C56" s="68" t="s">
        <v>205</v>
      </c>
      <c r="D56" s="38"/>
      <c r="E56" s="38"/>
      <c r="F56" s="25"/>
      <c r="G56" s="38"/>
      <c r="H56" s="25"/>
      <c r="I56" s="38"/>
      <c r="J56" s="25"/>
      <c r="K56" s="5"/>
      <c r="L56" s="25"/>
      <c r="M56" s="313"/>
    </row>
    <row r="57" spans="1:13" ht="12.75" customHeight="1">
      <c r="A57" s="283"/>
      <c r="B57" s="25"/>
      <c r="C57" s="68"/>
      <c r="D57" s="38"/>
      <c r="E57" s="38"/>
      <c r="F57" s="25"/>
      <c r="G57" s="38"/>
      <c r="H57" s="25"/>
      <c r="I57" s="38"/>
      <c r="J57" s="25"/>
      <c r="K57" s="5"/>
      <c r="L57" s="25"/>
      <c r="M57" s="313"/>
    </row>
    <row r="58" spans="1:13" ht="12.75" customHeight="1">
      <c r="A58" s="283"/>
      <c r="B58" s="24" t="s">
        <v>196</v>
      </c>
      <c r="C58" s="67" t="s">
        <v>471</v>
      </c>
      <c r="D58" s="5" t="str">
        <f>VLOOKUP(C58,rating_21,8,0)</f>
        <v>-</v>
      </c>
      <c r="E58" s="5" t="str">
        <f>VLOOKUP($C58,rating_21,10,FALSE)</f>
        <v>-</v>
      </c>
      <c r="F58" s="5" t="str">
        <f>VLOOKUP($C58,rating_21,11,FALSE)</f>
        <v>-</v>
      </c>
      <c r="G58" s="5" t="str">
        <f>VLOOKUP($C58,rating_21,3,FALSE)</f>
        <v>-</v>
      </c>
      <c r="H58" s="5" t="str">
        <f>VLOOKUP($C58,rating_21,5,FALSE)</f>
        <v>-</v>
      </c>
      <c r="I58" s="5" t="str">
        <f>VLOOKUP($C58,rating_21,6,FALSE)</f>
        <v>-</v>
      </c>
      <c r="J58" s="25"/>
      <c r="K58" s="5" t="s">
        <v>210</v>
      </c>
      <c r="L58" s="25"/>
      <c r="M58" s="313"/>
    </row>
    <row r="59" spans="1:13" ht="12.75" customHeight="1">
      <c r="A59" s="283"/>
      <c r="B59" s="25"/>
      <c r="C59" s="68" t="s">
        <v>273</v>
      </c>
      <c r="D59" s="38"/>
      <c r="E59" s="38"/>
      <c r="F59" s="25"/>
      <c r="G59" s="38"/>
      <c r="H59" s="25"/>
      <c r="I59" s="38"/>
      <c r="J59" s="25"/>
      <c r="K59" s="5"/>
      <c r="L59" s="25"/>
      <c r="M59" s="313"/>
    </row>
    <row r="60" spans="1:13" ht="12.75" customHeight="1">
      <c r="A60" s="283"/>
      <c r="B60" s="25"/>
      <c r="C60" s="68" t="s">
        <v>487</v>
      </c>
      <c r="D60" s="38"/>
      <c r="E60" s="38"/>
      <c r="F60" s="25"/>
      <c r="G60" s="38"/>
      <c r="H60" s="25"/>
      <c r="I60" s="38"/>
      <c r="J60" s="25"/>
      <c r="K60" s="5"/>
      <c r="L60" s="25"/>
      <c r="M60" s="313"/>
    </row>
    <row r="61" spans="1:13" ht="12.75" customHeight="1">
      <c r="A61" s="283"/>
      <c r="B61" s="25"/>
      <c r="C61" s="68" t="s">
        <v>472</v>
      </c>
      <c r="D61" s="38"/>
      <c r="E61" s="38"/>
      <c r="F61" s="25"/>
      <c r="G61" s="38"/>
      <c r="H61" s="25"/>
      <c r="I61" s="38"/>
      <c r="J61" s="25"/>
      <c r="K61" s="5"/>
      <c r="L61" s="25"/>
      <c r="M61" s="313"/>
    </row>
    <row r="62" spans="1:13" ht="12.75" customHeight="1">
      <c r="A62" s="283"/>
      <c r="B62" s="25"/>
      <c r="C62" s="68"/>
      <c r="D62" s="38"/>
      <c r="E62" s="38"/>
      <c r="F62" s="25"/>
      <c r="G62" s="38"/>
      <c r="H62" s="25"/>
      <c r="I62" s="38"/>
      <c r="J62" s="25"/>
      <c r="K62" s="5"/>
      <c r="L62" s="25"/>
      <c r="M62" s="313"/>
    </row>
    <row r="63" spans="1:13" ht="12.75" customHeight="1">
      <c r="A63" s="283"/>
      <c r="B63" s="25"/>
      <c r="C63" s="68"/>
      <c r="D63" s="38"/>
      <c r="E63" s="38"/>
      <c r="F63" s="25"/>
      <c r="G63" s="38"/>
      <c r="H63" s="25"/>
      <c r="I63" s="38"/>
      <c r="J63" s="25"/>
      <c r="K63" s="5"/>
      <c r="L63" s="25"/>
      <c r="M63" s="313"/>
    </row>
    <row r="64" spans="1:13" ht="12.75" customHeight="1">
      <c r="A64" s="283"/>
      <c r="B64" s="25"/>
      <c r="C64" s="68"/>
      <c r="D64" s="38"/>
      <c r="E64" s="38"/>
      <c r="F64" s="25"/>
      <c r="G64" s="38"/>
      <c r="H64" s="25"/>
      <c r="I64" s="38"/>
      <c r="J64" s="25"/>
      <c r="K64" s="5"/>
      <c r="L64" s="25"/>
      <c r="M64" s="313"/>
    </row>
    <row r="65" spans="1:13" ht="12.75" customHeight="1">
      <c r="A65" s="283"/>
      <c r="B65" s="25"/>
      <c r="C65" s="25"/>
      <c r="D65" s="39"/>
      <c r="E65" s="39"/>
      <c r="F65" s="40"/>
      <c r="G65" s="39"/>
      <c r="H65" s="40"/>
      <c r="I65" s="39"/>
      <c r="J65" s="38"/>
      <c r="K65" s="41"/>
      <c r="L65" s="25"/>
      <c r="M65" s="313"/>
    </row>
    <row r="66" spans="1:13" ht="12.75" customHeight="1">
      <c r="A66" s="283"/>
      <c r="B66" s="25"/>
      <c r="C66" s="25"/>
      <c r="D66" s="33"/>
      <c r="E66" s="33"/>
      <c r="F66" s="33"/>
      <c r="G66" s="33"/>
      <c r="H66" s="33"/>
      <c r="I66" s="33"/>
      <c r="J66" s="33"/>
      <c r="K66" s="33"/>
      <c r="L66" s="33"/>
      <c r="M66" s="313"/>
    </row>
    <row r="67" spans="1:13" ht="12.75" customHeight="1">
      <c r="A67" s="283"/>
      <c r="B67" s="25"/>
      <c r="C67" s="25"/>
      <c r="D67" s="33"/>
      <c r="E67" s="33"/>
      <c r="F67" s="33"/>
      <c r="G67" s="33"/>
      <c r="H67" s="33"/>
      <c r="I67" s="33"/>
      <c r="J67" s="33"/>
      <c r="K67" s="33"/>
      <c r="L67" s="33"/>
      <c r="M67" s="313"/>
    </row>
    <row r="68" spans="1:13" ht="12.75" customHeight="1">
      <c r="A68" s="283"/>
      <c r="B68" s="36" t="s">
        <v>197</v>
      </c>
      <c r="C68" s="65" t="s">
        <v>493</v>
      </c>
      <c r="D68" s="64"/>
      <c r="E68" s="65" t="s">
        <v>451</v>
      </c>
      <c r="F68" s="64"/>
      <c r="G68" s="64"/>
      <c r="H68" s="25"/>
      <c r="I68" s="24"/>
      <c r="J68" s="33"/>
      <c r="K68" s="33"/>
      <c r="L68" s="33"/>
      <c r="M68" s="313"/>
    </row>
    <row r="69" spans="1:13" ht="12.75" customHeight="1">
      <c r="A69" s="283"/>
      <c r="B69" s="25"/>
      <c r="C69" s="64" t="s">
        <v>494</v>
      </c>
      <c r="D69" s="64"/>
      <c r="E69" s="64" t="s">
        <v>496</v>
      </c>
      <c r="F69" s="64"/>
      <c r="G69" s="64"/>
      <c r="H69" s="64"/>
      <c r="I69" s="64"/>
      <c r="J69" s="33"/>
      <c r="K69" s="33"/>
      <c r="L69" s="33"/>
      <c r="M69" s="313"/>
    </row>
    <row r="70" spans="1:13" ht="12.75" customHeight="1">
      <c r="A70" s="283"/>
      <c r="B70" s="25"/>
      <c r="C70" s="64" t="s">
        <v>495</v>
      </c>
      <c r="D70" s="64"/>
      <c r="E70" s="64" t="s">
        <v>497</v>
      </c>
      <c r="F70" s="64"/>
      <c r="G70" s="64"/>
      <c r="H70" s="64"/>
      <c r="I70" s="64"/>
      <c r="J70" s="33"/>
      <c r="K70" s="33"/>
      <c r="L70" s="33"/>
      <c r="M70" s="313"/>
    </row>
    <row r="71" spans="1:13" s="33" customFormat="1" ht="12.75" customHeight="1">
      <c r="A71" s="238"/>
      <c r="B71" s="25"/>
      <c r="C71" s="64" t="s">
        <v>205</v>
      </c>
      <c r="D71" s="64"/>
      <c r="E71" s="64" t="s">
        <v>272</v>
      </c>
      <c r="F71" s="64"/>
      <c r="G71" s="64"/>
      <c r="H71" s="64"/>
      <c r="I71" s="64"/>
      <c r="M71" s="245"/>
    </row>
    <row r="72" spans="1:13" s="33" customFormat="1" ht="12.75" customHeight="1">
      <c r="A72" s="238"/>
      <c r="B72" s="25"/>
      <c r="C72" s="64"/>
      <c r="D72" s="64"/>
      <c r="E72" s="64"/>
      <c r="F72" s="64"/>
      <c r="G72" s="64"/>
      <c r="H72" s="64"/>
      <c r="I72" s="64"/>
      <c r="M72" s="245"/>
    </row>
    <row r="73" spans="1:13" s="25" customFormat="1" ht="12.75" customHeight="1">
      <c r="A73" s="283"/>
      <c r="M73" s="313"/>
    </row>
    <row r="74" spans="1:13" s="25" customFormat="1" ht="12.75" customHeight="1">
      <c r="A74" s="347"/>
      <c r="B74" s="50" t="str">
        <f>'24. Santander Consumer Bank'!B36</f>
        <v>Ratings as of 31.05.2025, data source: Bloomberg</v>
      </c>
      <c r="C74" s="97"/>
      <c r="D74" s="42"/>
      <c r="E74" s="42"/>
      <c r="F74" s="42"/>
      <c r="G74" s="42"/>
      <c r="H74" s="42"/>
      <c r="I74" s="42"/>
      <c r="J74" s="42"/>
      <c r="K74" s="42"/>
      <c r="L74" s="42"/>
      <c r="M74" s="351"/>
    </row>
    <row r="75" spans="1:13" s="25" customFormat="1" ht="15.5">
      <c r="C75" s="13"/>
      <c r="D75" s="28"/>
      <c r="E75" s="28"/>
      <c r="F75" s="28"/>
      <c r="G75" s="28"/>
      <c r="H75" s="28"/>
      <c r="I75" s="28"/>
      <c r="J75" s="28"/>
      <c r="K75" s="28"/>
      <c r="L75" s="28"/>
    </row>
    <row r="76" spans="1:13" s="25" customFormat="1" ht="15.5">
      <c r="C76" s="13"/>
      <c r="D76" s="28"/>
      <c r="E76" s="28"/>
      <c r="F76" s="28"/>
      <c r="G76" s="28"/>
      <c r="H76" s="28"/>
      <c r="I76" s="28"/>
      <c r="J76" s="28"/>
      <c r="K76" s="28"/>
      <c r="L76" s="28"/>
    </row>
    <row r="77" spans="1:13" s="25" customFormat="1" ht="15.5">
      <c r="C77" s="13"/>
      <c r="D77" s="28"/>
      <c r="E77" s="28"/>
      <c r="F77" s="28"/>
      <c r="G77" s="28"/>
      <c r="H77" s="28"/>
      <c r="I77" s="28"/>
      <c r="J77" s="28"/>
      <c r="K77" s="28"/>
      <c r="L77" s="28"/>
    </row>
    <row r="78" spans="1:13" s="25" customFormat="1" ht="15.5">
      <c r="C78" s="357"/>
      <c r="D78" s="43"/>
      <c r="E78" s="43"/>
      <c r="F78" s="43"/>
      <c r="G78" s="9"/>
      <c r="H78" s="9"/>
      <c r="I78" s="9"/>
      <c r="J78" s="9"/>
      <c r="K78" s="269"/>
    </row>
    <row r="79" spans="1:13" s="25" customFormat="1" ht="15.5">
      <c r="C79" s="357"/>
      <c r="D79" s="43"/>
      <c r="E79" s="43"/>
      <c r="F79" s="43"/>
      <c r="G79" s="9"/>
      <c r="H79" s="9"/>
      <c r="I79" s="9"/>
      <c r="J79" s="9"/>
    </row>
    <row r="80" spans="1:13" s="25" customFormat="1" ht="15.5">
      <c r="D80" s="44"/>
      <c r="H80" s="24"/>
      <c r="J80" s="9"/>
    </row>
    <row r="81" spans="2:11" s="25" customFormat="1" ht="15.5">
      <c r="J81" s="9"/>
    </row>
    <row r="82" spans="2:11" s="25" customFormat="1" ht="15.5">
      <c r="B82" s="33"/>
      <c r="E82" s="33"/>
      <c r="G82" s="33"/>
      <c r="J82" s="9"/>
      <c r="K82" s="33"/>
    </row>
    <row r="83" spans="2:11" s="25" customFormat="1" ht="15.5">
      <c r="B83" s="33"/>
      <c r="E83" s="33"/>
      <c r="G83" s="33"/>
      <c r="J83" s="9"/>
      <c r="K83" s="33"/>
    </row>
    <row r="84" spans="2:11" s="25" customFormat="1" ht="15.5">
      <c r="J84" s="9"/>
    </row>
    <row r="85" spans="2:11" s="25" customFormat="1" ht="15.5">
      <c r="C85" s="43"/>
      <c r="D85" s="43"/>
      <c r="E85" s="43"/>
      <c r="F85" s="43"/>
      <c r="G85" s="9"/>
      <c r="H85" s="9"/>
      <c r="I85" s="9"/>
      <c r="J85" s="9"/>
    </row>
    <row r="86" spans="2:11" s="25" customFormat="1" ht="14">
      <c r="B86" s="33"/>
      <c r="C86" s="33"/>
      <c r="D86" s="206"/>
      <c r="E86" s="233"/>
      <c r="F86" s="322"/>
      <c r="G86" s="322"/>
      <c r="H86" s="322"/>
      <c r="I86" s="278"/>
    </row>
    <row r="87" spans="2:11" s="25" customFormat="1" ht="14">
      <c r="B87" s="203"/>
      <c r="C87" s="232"/>
      <c r="D87" s="323"/>
      <c r="E87" s="233"/>
      <c r="F87" s="322"/>
      <c r="G87" s="322"/>
      <c r="H87" s="322"/>
      <c r="I87" s="278"/>
    </row>
    <row r="88" spans="2:11" s="25" customFormat="1" ht="14">
      <c r="B88" s="324"/>
      <c r="C88" s="232"/>
      <c r="D88" s="322"/>
      <c r="E88" s="233"/>
      <c r="F88" s="322"/>
      <c r="G88" s="322"/>
      <c r="H88" s="322"/>
      <c r="I88" s="278"/>
    </row>
    <row r="89" spans="2:11" s="25" customFormat="1">
      <c r="C89" s="232"/>
      <c r="I89" s="278"/>
    </row>
    <row r="90" spans="2:11" s="25" customFormat="1">
      <c r="I90" s="278"/>
    </row>
    <row r="91" spans="2:11" s="25" customFormat="1">
      <c r="I91" s="278"/>
    </row>
    <row r="92" spans="2:11" s="25" customFormat="1">
      <c r="I92" s="278"/>
    </row>
    <row r="93" spans="2:11" s="25" customFormat="1">
      <c r="I93" s="278"/>
    </row>
    <row r="94" spans="2:11" s="25" customFormat="1">
      <c r="I94" s="278"/>
    </row>
    <row r="95" spans="2:11" s="25" customFormat="1">
      <c r="I95" s="278"/>
    </row>
    <row r="96" spans="2:11" s="25" customFormat="1">
      <c r="I96" s="278"/>
    </row>
    <row r="97" spans="9:9" s="25" customFormat="1">
      <c r="I97" s="278"/>
    </row>
    <row r="98" spans="9:9" s="25" customFormat="1">
      <c r="I98" s="278"/>
    </row>
    <row r="99" spans="9:9" s="25" customFormat="1">
      <c r="I99" s="278"/>
    </row>
    <row r="100" spans="9:9" s="25" customFormat="1">
      <c r="I100" s="278"/>
    </row>
    <row r="101" spans="9:9" s="25" customFormat="1">
      <c r="I101" s="278"/>
    </row>
    <row r="102" spans="9:9" s="25" customFormat="1">
      <c r="I102" s="278"/>
    </row>
    <row r="103" spans="9:9" s="25" customFormat="1">
      <c r="I103" s="278"/>
    </row>
    <row r="104" spans="9:9" s="25" customFormat="1">
      <c r="I104" s="278"/>
    </row>
    <row r="105" spans="9:9" s="25" customFormat="1">
      <c r="I105" s="278"/>
    </row>
    <row r="106" spans="9:9" s="25" customFormat="1">
      <c r="I106" s="278"/>
    </row>
    <row r="107" spans="9:9" s="25" customFormat="1">
      <c r="I107" s="278"/>
    </row>
    <row r="108" spans="9:9" s="25" customFormat="1">
      <c r="I108" s="278"/>
    </row>
    <row r="109" spans="9:9" s="25" customFormat="1">
      <c r="I109" s="278"/>
    </row>
    <row r="110" spans="9:9" s="25" customFormat="1">
      <c r="I110" s="278"/>
    </row>
    <row r="111" spans="9:9" s="25" customFormat="1">
      <c r="I111" s="278"/>
    </row>
    <row r="112" spans="9:9" s="25" customFormat="1">
      <c r="I112" s="278"/>
    </row>
    <row r="113" spans="9:9" s="25" customFormat="1">
      <c r="I113" s="278"/>
    </row>
    <row r="114" spans="9:9" s="25" customFormat="1">
      <c r="I114" s="278"/>
    </row>
    <row r="115" spans="9:9" s="25" customFormat="1">
      <c r="I115" s="278"/>
    </row>
    <row r="116" spans="9:9" s="25" customFormat="1">
      <c r="I116" s="278"/>
    </row>
    <row r="117" spans="9:9" s="25" customFormat="1">
      <c r="I117" s="278"/>
    </row>
    <row r="118" spans="9:9" s="25" customFormat="1">
      <c r="I118" s="278"/>
    </row>
    <row r="119" spans="9:9" s="25" customFormat="1">
      <c r="I119" s="278"/>
    </row>
    <row r="120" spans="9:9" s="25" customFormat="1">
      <c r="I120" s="278"/>
    </row>
    <row r="121" spans="9:9" s="25" customFormat="1">
      <c r="I121" s="278"/>
    </row>
    <row r="122" spans="9:9" s="25" customFormat="1">
      <c r="I122" s="278"/>
    </row>
    <row r="123" spans="9:9" s="25" customFormat="1">
      <c r="I123" s="278"/>
    </row>
    <row r="124" spans="9:9" s="25" customFormat="1">
      <c r="I124" s="278"/>
    </row>
    <row r="125" spans="9:9" s="25" customFormat="1">
      <c r="I125" s="278"/>
    </row>
    <row r="126" spans="9:9" s="25" customFormat="1">
      <c r="I126" s="278"/>
    </row>
    <row r="127" spans="9:9" s="25" customFormat="1">
      <c r="I127" s="278"/>
    </row>
    <row r="128" spans="9:9" s="25" customFormat="1">
      <c r="I128" s="278"/>
    </row>
    <row r="129" spans="9:9" s="25" customFormat="1">
      <c r="I129" s="278"/>
    </row>
    <row r="130" spans="9:9" s="25" customFormat="1">
      <c r="I130" s="278"/>
    </row>
    <row r="131" spans="9:9" s="25" customFormat="1">
      <c r="I131" s="278"/>
    </row>
    <row r="132" spans="9:9" s="25" customFormat="1">
      <c r="I132" s="278"/>
    </row>
    <row r="133" spans="9:9" s="25" customFormat="1">
      <c r="I133" s="278"/>
    </row>
    <row r="134" spans="9:9" s="25" customFormat="1">
      <c r="I134" s="278"/>
    </row>
    <row r="135" spans="9:9" s="25" customFormat="1">
      <c r="I135" s="278"/>
    </row>
    <row r="136" spans="9:9" s="25" customFormat="1">
      <c r="I136" s="278"/>
    </row>
    <row r="137" spans="9:9" s="25" customFormat="1">
      <c r="I137" s="278"/>
    </row>
    <row r="138" spans="9:9" s="25" customFormat="1">
      <c r="I138" s="278"/>
    </row>
    <row r="139" spans="9:9" s="25" customFormat="1">
      <c r="I139" s="278"/>
    </row>
    <row r="140" spans="9:9" s="25" customFormat="1">
      <c r="I140" s="278"/>
    </row>
    <row r="141" spans="9:9" s="25" customFormat="1">
      <c r="I141" s="278"/>
    </row>
    <row r="142" spans="9:9" s="25" customFormat="1">
      <c r="I142" s="278"/>
    </row>
    <row r="143" spans="9:9" s="25" customFormat="1">
      <c r="I143" s="278"/>
    </row>
    <row r="144" spans="9:9" s="25" customFormat="1">
      <c r="I144" s="278"/>
    </row>
    <row r="145" spans="9:9" s="25" customFormat="1">
      <c r="I145" s="278"/>
    </row>
    <row r="146" spans="9:9" s="25" customFormat="1">
      <c r="I146" s="278"/>
    </row>
    <row r="147" spans="9:9" s="25" customFormat="1">
      <c r="I147" s="278"/>
    </row>
    <row r="148" spans="9:9" s="25" customFormat="1">
      <c r="I148" s="278"/>
    </row>
    <row r="149" spans="9:9" s="25" customFormat="1">
      <c r="I149" s="278"/>
    </row>
    <row r="150" spans="9:9" s="25" customFormat="1">
      <c r="I150" s="278"/>
    </row>
    <row r="151" spans="9:9" s="25" customFormat="1">
      <c r="I151" s="278"/>
    </row>
    <row r="152" spans="9:9" s="25" customFormat="1">
      <c r="I152" s="278"/>
    </row>
    <row r="153" spans="9:9" s="25" customFormat="1">
      <c r="I153" s="278"/>
    </row>
    <row r="154" spans="9:9" s="25" customFormat="1">
      <c r="I154" s="278"/>
    </row>
    <row r="155" spans="9:9" s="25" customFormat="1">
      <c r="I155" s="278"/>
    </row>
    <row r="156" spans="9:9" s="25" customFormat="1">
      <c r="I156" s="278"/>
    </row>
    <row r="157" spans="9:9" s="25" customFormat="1">
      <c r="I157" s="278"/>
    </row>
    <row r="158" spans="9:9" s="25" customFormat="1">
      <c r="I158" s="278"/>
    </row>
    <row r="159" spans="9:9" s="25" customFormat="1">
      <c r="I159" s="278"/>
    </row>
    <row r="160" spans="9:9" s="25" customFormat="1">
      <c r="I160" s="278"/>
    </row>
    <row r="161" spans="9:9" s="25" customFormat="1">
      <c r="I161" s="278"/>
    </row>
    <row r="162" spans="9:9" s="25" customFormat="1">
      <c r="I162" s="278"/>
    </row>
    <row r="163" spans="9:9" s="25" customFormat="1">
      <c r="I163" s="278"/>
    </row>
    <row r="164" spans="9:9" s="25" customFormat="1">
      <c r="I164" s="278"/>
    </row>
    <row r="165" spans="9:9" s="25" customFormat="1">
      <c r="I165" s="278"/>
    </row>
    <row r="166" spans="9:9" s="25" customFormat="1">
      <c r="I166" s="278"/>
    </row>
    <row r="167" spans="9:9" s="25" customFormat="1">
      <c r="I167" s="278"/>
    </row>
    <row r="168" spans="9:9" s="25" customFormat="1">
      <c r="I168" s="278"/>
    </row>
    <row r="169" spans="9:9" s="25" customFormat="1">
      <c r="I169" s="278"/>
    </row>
    <row r="170" spans="9:9" s="25" customFormat="1">
      <c r="I170" s="278"/>
    </row>
    <row r="171" spans="9:9" s="25" customFormat="1">
      <c r="I171" s="278"/>
    </row>
    <row r="172" spans="9:9" s="25" customFormat="1">
      <c r="I172" s="278"/>
    </row>
    <row r="173" spans="9:9" s="25" customFormat="1">
      <c r="I173" s="278"/>
    </row>
    <row r="174" spans="9:9" s="25" customFormat="1">
      <c r="I174" s="278"/>
    </row>
    <row r="175" spans="9:9" s="25" customFormat="1">
      <c r="I175" s="278"/>
    </row>
    <row r="176" spans="9:9" s="25" customFormat="1">
      <c r="I176" s="278"/>
    </row>
    <row r="177" spans="9:9" s="25" customFormat="1">
      <c r="I177" s="278"/>
    </row>
    <row r="178" spans="9:9" s="25" customFormat="1">
      <c r="I178" s="278"/>
    </row>
    <row r="179" spans="9:9" s="25" customFormat="1">
      <c r="I179" s="278"/>
    </row>
    <row r="180" spans="9:9" s="25" customFormat="1">
      <c r="I180" s="278"/>
    </row>
    <row r="181" spans="9:9" s="25" customFormat="1">
      <c r="I181" s="278"/>
    </row>
    <row r="182" spans="9:9" s="25" customFormat="1">
      <c r="I182" s="278"/>
    </row>
    <row r="183" spans="9:9" s="25" customFormat="1">
      <c r="I183" s="278"/>
    </row>
    <row r="184" spans="9:9" s="25" customFormat="1">
      <c r="I184" s="278"/>
    </row>
    <row r="185" spans="9:9" s="25" customFormat="1">
      <c r="I185" s="278"/>
    </row>
    <row r="186" spans="9:9" s="25" customFormat="1">
      <c r="I186" s="278"/>
    </row>
    <row r="187" spans="9:9" s="25" customFormat="1">
      <c r="I187" s="278"/>
    </row>
    <row r="188" spans="9:9" s="25" customFormat="1">
      <c r="I188" s="278"/>
    </row>
    <row r="189" spans="9:9" s="25" customFormat="1">
      <c r="I189" s="278"/>
    </row>
    <row r="190" spans="9:9" s="25" customFormat="1">
      <c r="I190" s="278"/>
    </row>
    <row r="191" spans="9:9" s="25" customFormat="1">
      <c r="I191" s="278"/>
    </row>
    <row r="192" spans="9:9" s="25" customFormat="1">
      <c r="I192" s="278"/>
    </row>
    <row r="193" spans="9:9" s="25" customFormat="1">
      <c r="I193" s="278"/>
    </row>
    <row r="194" spans="9:9" s="25" customFormat="1">
      <c r="I194" s="278"/>
    </row>
    <row r="195" spans="9:9" s="25" customFormat="1">
      <c r="I195" s="278"/>
    </row>
    <row r="196" spans="9:9" s="25" customFormat="1">
      <c r="I196" s="278"/>
    </row>
    <row r="197" spans="9:9" s="25" customFormat="1">
      <c r="I197" s="278"/>
    </row>
    <row r="198" spans="9:9" s="25" customFormat="1">
      <c r="I198" s="278"/>
    </row>
    <row r="199" spans="9:9" s="25" customFormat="1">
      <c r="I199" s="278"/>
    </row>
    <row r="200" spans="9:9" s="25" customFormat="1">
      <c r="I200" s="278"/>
    </row>
    <row r="201" spans="9:9" s="25" customFormat="1">
      <c r="I201" s="278"/>
    </row>
    <row r="202" spans="9:9" s="25" customFormat="1">
      <c r="I202" s="278"/>
    </row>
    <row r="203" spans="9:9" s="25" customFormat="1">
      <c r="I203" s="278"/>
    </row>
    <row r="204" spans="9:9" s="25" customFormat="1">
      <c r="I204" s="278"/>
    </row>
    <row r="205" spans="9:9" s="25" customFormat="1">
      <c r="I205" s="278"/>
    </row>
    <row r="206" spans="9:9" s="25" customFormat="1">
      <c r="I206" s="278"/>
    </row>
    <row r="207" spans="9:9" s="25" customFormat="1">
      <c r="I207" s="278"/>
    </row>
    <row r="208" spans="9:9" s="25" customFormat="1">
      <c r="I208" s="278"/>
    </row>
    <row r="209" spans="9:9" s="25" customFormat="1">
      <c r="I209" s="278"/>
    </row>
    <row r="210" spans="9:9" s="25" customFormat="1">
      <c r="I210" s="278"/>
    </row>
    <row r="211" spans="9:9" s="25" customFormat="1">
      <c r="I211" s="278"/>
    </row>
    <row r="212" spans="9:9" s="25" customFormat="1">
      <c r="I212" s="278"/>
    </row>
    <row r="213" spans="9:9" s="25" customFormat="1">
      <c r="I213" s="278"/>
    </row>
    <row r="214" spans="9:9" s="25" customFormat="1">
      <c r="I214" s="278"/>
    </row>
    <row r="215" spans="9:9" s="25" customFormat="1">
      <c r="I215" s="278"/>
    </row>
    <row r="216" spans="9:9" s="25" customFormat="1">
      <c r="I216" s="278"/>
    </row>
    <row r="217" spans="9:9" s="25" customFormat="1">
      <c r="I217" s="278"/>
    </row>
    <row r="218" spans="9:9" s="25" customFormat="1">
      <c r="I218" s="278"/>
    </row>
    <row r="219" spans="9:9" s="25" customFormat="1">
      <c r="I219" s="278"/>
    </row>
    <row r="220" spans="9:9" s="25" customFormat="1">
      <c r="I220" s="278"/>
    </row>
    <row r="221" spans="9:9" s="25" customFormat="1">
      <c r="I221" s="278"/>
    </row>
    <row r="222" spans="9:9" s="25" customFormat="1">
      <c r="I222" s="278"/>
    </row>
    <row r="223" spans="9:9" s="25" customFormat="1">
      <c r="I223" s="278"/>
    </row>
    <row r="224" spans="9:9" s="25" customFormat="1">
      <c r="I224" s="278"/>
    </row>
    <row r="225" spans="9:9" s="25" customFormat="1">
      <c r="I225" s="278"/>
    </row>
    <row r="226" spans="9:9" s="25" customFormat="1">
      <c r="I226" s="278"/>
    </row>
    <row r="227" spans="9:9" s="25" customFormat="1">
      <c r="I227" s="278"/>
    </row>
    <row r="228" spans="9:9" s="25" customFormat="1">
      <c r="I228" s="278"/>
    </row>
    <row r="229" spans="9:9" s="25" customFormat="1">
      <c r="I229" s="278"/>
    </row>
    <row r="230" spans="9:9" s="25" customFormat="1">
      <c r="I230" s="278"/>
    </row>
    <row r="231" spans="9:9" s="25" customFormat="1">
      <c r="I231" s="278"/>
    </row>
    <row r="232" spans="9:9" s="25" customFormat="1">
      <c r="I232" s="278"/>
    </row>
    <row r="233" spans="9:9" s="25" customFormat="1">
      <c r="I233" s="278"/>
    </row>
    <row r="234" spans="9:9" s="25" customFormat="1">
      <c r="I234" s="278"/>
    </row>
    <row r="235" spans="9:9" s="25" customFormat="1">
      <c r="I235" s="278"/>
    </row>
    <row r="236" spans="9:9" s="25" customFormat="1">
      <c r="I236" s="278"/>
    </row>
    <row r="237" spans="9:9" s="25" customFormat="1">
      <c r="I237" s="278"/>
    </row>
    <row r="238" spans="9:9" s="25" customFormat="1">
      <c r="I238" s="278"/>
    </row>
    <row r="239" spans="9:9" s="25" customFormat="1">
      <c r="I239" s="278"/>
    </row>
    <row r="240" spans="9:9" s="25" customFormat="1">
      <c r="I240" s="278"/>
    </row>
    <row r="241" spans="9:9" s="25" customFormat="1">
      <c r="I241" s="278"/>
    </row>
    <row r="242" spans="9:9" s="25" customFormat="1">
      <c r="I242" s="278"/>
    </row>
    <row r="243" spans="9:9" s="25" customFormat="1">
      <c r="I243" s="278"/>
    </row>
    <row r="244" spans="9:9" s="25" customFormat="1">
      <c r="I244" s="278"/>
    </row>
    <row r="245" spans="9:9" s="25" customFormat="1">
      <c r="I245" s="278"/>
    </row>
    <row r="246" spans="9:9" s="25" customFormat="1">
      <c r="I246" s="278"/>
    </row>
    <row r="247" spans="9:9" s="25" customFormat="1">
      <c r="I247" s="278"/>
    </row>
    <row r="248" spans="9:9" s="25" customFormat="1">
      <c r="I248" s="278"/>
    </row>
    <row r="249" spans="9:9" s="25" customFormat="1">
      <c r="I249" s="278"/>
    </row>
    <row r="250" spans="9:9" s="25" customFormat="1">
      <c r="I250" s="278"/>
    </row>
    <row r="251" spans="9:9" s="25" customFormat="1">
      <c r="I251" s="278"/>
    </row>
    <row r="252" spans="9:9" s="25" customFormat="1">
      <c r="I252" s="278"/>
    </row>
    <row r="253" spans="9:9" s="25" customFormat="1">
      <c r="I253" s="278"/>
    </row>
    <row r="254" spans="9:9" s="25" customFormat="1">
      <c r="I254" s="278"/>
    </row>
    <row r="255" spans="9:9" s="25" customFormat="1">
      <c r="I255" s="278"/>
    </row>
    <row r="256" spans="9:9" s="25" customFormat="1">
      <c r="I256" s="278"/>
    </row>
    <row r="257" spans="9:9" s="25" customFormat="1">
      <c r="I257" s="278"/>
    </row>
    <row r="258" spans="9:9" s="25" customFormat="1">
      <c r="I258" s="278"/>
    </row>
    <row r="259" spans="9:9" s="25" customFormat="1">
      <c r="I259" s="278"/>
    </row>
    <row r="260" spans="9:9" s="25" customFormat="1">
      <c r="I260" s="278"/>
    </row>
    <row r="261" spans="9:9" s="25" customFormat="1">
      <c r="I261" s="278"/>
    </row>
    <row r="262" spans="9:9" s="25" customFormat="1">
      <c r="I262" s="278"/>
    </row>
    <row r="263" spans="9:9" s="25" customFormat="1">
      <c r="I263" s="278"/>
    </row>
    <row r="264" spans="9:9" s="25" customFormat="1">
      <c r="I264" s="278"/>
    </row>
    <row r="265" spans="9:9" s="25" customFormat="1">
      <c r="I265" s="278"/>
    </row>
    <row r="266" spans="9:9" s="25" customFormat="1">
      <c r="I266" s="278"/>
    </row>
    <row r="267" spans="9:9" s="25" customFormat="1">
      <c r="I267" s="278"/>
    </row>
    <row r="268" spans="9:9" s="25" customFormat="1">
      <c r="I268" s="278"/>
    </row>
    <row r="269" spans="9:9" s="25" customFormat="1">
      <c r="I269" s="278"/>
    </row>
    <row r="270" spans="9:9" s="25" customFormat="1">
      <c r="I270" s="278"/>
    </row>
    <row r="271" spans="9:9" s="25" customFormat="1">
      <c r="I271" s="278"/>
    </row>
    <row r="272" spans="9:9" s="25" customFormat="1">
      <c r="I272" s="278"/>
    </row>
    <row r="273" spans="9:9" s="25" customFormat="1">
      <c r="I273" s="278"/>
    </row>
    <row r="274" spans="9:9" s="25" customFormat="1">
      <c r="I274" s="278"/>
    </row>
    <row r="275" spans="9:9" s="25" customFormat="1">
      <c r="I275" s="278"/>
    </row>
    <row r="276" spans="9:9" s="25" customFormat="1">
      <c r="I276" s="278"/>
    </row>
    <row r="277" spans="9:9" s="25" customFormat="1">
      <c r="I277" s="278"/>
    </row>
    <row r="278" spans="9:9" s="25" customFormat="1">
      <c r="I278" s="278"/>
    </row>
    <row r="279" spans="9:9" s="25" customFormat="1">
      <c r="I279" s="278"/>
    </row>
    <row r="280" spans="9:9" s="25" customFormat="1">
      <c r="I280" s="278"/>
    </row>
    <row r="281" spans="9:9" s="25" customFormat="1">
      <c r="I281" s="278"/>
    </row>
    <row r="282" spans="9:9" s="25" customFormat="1">
      <c r="I282" s="278"/>
    </row>
    <row r="283" spans="9:9" s="25" customFormat="1">
      <c r="I283" s="278"/>
    </row>
    <row r="284" spans="9:9" s="25" customFormat="1">
      <c r="I284" s="278"/>
    </row>
    <row r="285" spans="9:9" s="25" customFormat="1">
      <c r="I285" s="278"/>
    </row>
    <row r="286" spans="9:9" s="25" customFormat="1">
      <c r="I286" s="278"/>
    </row>
    <row r="287" spans="9:9" s="25" customFormat="1">
      <c r="I287" s="278"/>
    </row>
    <row r="288" spans="9:9" s="25" customFormat="1">
      <c r="I288" s="278"/>
    </row>
    <row r="289" spans="9:9" s="25" customFormat="1">
      <c r="I289" s="278"/>
    </row>
    <row r="290" spans="9:9" s="25" customFormat="1">
      <c r="I290" s="278"/>
    </row>
    <row r="291" spans="9:9" s="25" customFormat="1">
      <c r="I291" s="278"/>
    </row>
    <row r="292" spans="9:9" s="25" customFormat="1">
      <c r="I292" s="278"/>
    </row>
    <row r="293" spans="9:9" s="25" customFormat="1">
      <c r="I293" s="278"/>
    </row>
    <row r="294" spans="9:9" s="25" customFormat="1">
      <c r="I294" s="278"/>
    </row>
    <row r="295" spans="9:9" s="25" customFormat="1">
      <c r="I295" s="278"/>
    </row>
    <row r="296" spans="9:9" s="25" customFormat="1">
      <c r="I296" s="278"/>
    </row>
    <row r="297" spans="9:9" s="25" customFormat="1">
      <c r="I297" s="278"/>
    </row>
    <row r="298" spans="9:9" s="25" customFormat="1">
      <c r="I298" s="278"/>
    </row>
    <row r="299" spans="9:9" s="25" customFormat="1">
      <c r="I299" s="278"/>
    </row>
    <row r="300" spans="9:9" s="25" customFormat="1">
      <c r="I300" s="278"/>
    </row>
    <row r="301" spans="9:9" s="25" customFormat="1">
      <c r="I301" s="278"/>
    </row>
    <row r="302" spans="9:9" s="25" customFormat="1">
      <c r="I302" s="278"/>
    </row>
    <row r="303" spans="9:9" s="25" customFormat="1">
      <c r="I303" s="278"/>
    </row>
    <row r="304" spans="9:9" s="25" customFormat="1">
      <c r="I304" s="278"/>
    </row>
    <row r="305" spans="9:9" s="25" customFormat="1">
      <c r="I305" s="278"/>
    </row>
    <row r="306" spans="9:9" s="25" customFormat="1">
      <c r="I306" s="278"/>
    </row>
    <row r="307" spans="9:9" s="25" customFormat="1">
      <c r="I307" s="278"/>
    </row>
    <row r="308" spans="9:9" s="25" customFormat="1"/>
    <row r="309" spans="9:9" s="25" customFormat="1"/>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row r="2247"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7" customWidth="1"/>
    <col min="2" max="2" width="34.54296875" style="237" customWidth="1"/>
    <col min="3" max="10" width="15.81640625" style="237" customWidth="1"/>
    <col min="11" max="11" width="1.1796875" style="237" customWidth="1"/>
    <col min="12" max="12" width="3.1796875" style="237" customWidth="1"/>
    <col min="13" max="16384" width="9.1796875" style="237"/>
  </cols>
  <sheetData>
    <row r="1" spans="1:16" ht="6" customHeight="1">
      <c r="A1" s="234"/>
      <c r="B1" s="235"/>
      <c r="C1" s="235"/>
      <c r="D1" s="235"/>
      <c r="E1" s="235"/>
      <c r="F1" s="235"/>
      <c r="G1" s="235"/>
      <c r="H1" s="235"/>
      <c r="I1" s="235"/>
      <c r="J1" s="235"/>
      <c r="K1" s="236"/>
    </row>
    <row r="2" spans="1:16" s="246" customFormat="1" ht="18">
      <c r="A2" s="238"/>
      <c r="B2" s="239" t="str">
        <f>'Cover Sheet'!B2</f>
        <v>SC Germany Consumer 2021-1</v>
      </c>
      <c r="C2" s="239"/>
      <c r="D2" s="240" t="str">
        <f>'Cover Sheet'!D2</f>
        <v>Calculation Date</v>
      </c>
      <c r="E2" s="241"/>
      <c r="F2" s="242">
        <f>'Cover Sheet'!F2</f>
        <v>45820</v>
      </c>
      <c r="G2" s="241"/>
      <c r="H2" s="241"/>
      <c r="I2" s="241"/>
      <c r="J2" s="243"/>
      <c r="K2" s="325"/>
    </row>
    <row r="3" spans="1:16" s="246" customFormat="1" ht="18">
      <c r="A3" s="238"/>
      <c r="B3" s="239" t="str">
        <f>'Cover Sheet'!B3</f>
        <v>Monthly Investor Report</v>
      </c>
      <c r="C3" s="239"/>
      <c r="D3" s="247" t="str">
        <f>'Cover Sheet'!D3</f>
        <v>Payment Date</v>
      </c>
      <c r="E3" s="248"/>
      <c r="F3" s="249">
        <f>'Cover Sheet'!F3</f>
        <v>45824</v>
      </c>
      <c r="G3" s="248"/>
      <c r="H3" s="248"/>
      <c r="I3" s="248"/>
      <c r="J3" s="250"/>
      <c r="K3" s="326"/>
    </row>
    <row r="4" spans="1:16" s="246" customFormat="1" ht="13">
      <c r="A4" s="238"/>
      <c r="B4" s="252"/>
      <c r="C4" s="327"/>
      <c r="D4" s="247" t="str">
        <f>'Cover Sheet'!D4</f>
        <v>Period  No</v>
      </c>
      <c r="E4" s="248"/>
      <c r="F4" s="253">
        <f>'Cover Sheet'!F4</f>
        <v>43</v>
      </c>
      <c r="G4" s="248"/>
      <c r="H4" s="254"/>
      <c r="I4" s="248"/>
      <c r="J4" s="255"/>
      <c r="K4" s="325"/>
    </row>
    <row r="5" spans="1:16" s="246" customFormat="1" ht="18">
      <c r="A5" s="238"/>
      <c r="B5" s="256" t="s">
        <v>403</v>
      </c>
      <c r="C5" s="328"/>
      <c r="D5" s="247" t="str">
        <f>'Cover Sheet'!D5</f>
        <v>Monthly Period</v>
      </c>
      <c r="E5" s="248"/>
      <c r="F5" s="120">
        <f>'Cover Sheet'!F5</f>
        <v>45824</v>
      </c>
      <c r="G5" s="248"/>
      <c r="H5" s="254"/>
      <c r="I5" s="248"/>
      <c r="J5" s="255"/>
      <c r="K5" s="326"/>
    </row>
    <row r="6" spans="1:16" s="246" customFormat="1" ht="15" customHeight="1">
      <c r="A6" s="238"/>
      <c r="B6" s="257"/>
      <c r="C6" s="329"/>
      <c r="D6" s="258" t="str">
        <f>'Cover Sheet'!D6</f>
        <v>Interest Period</v>
      </c>
      <c r="E6" s="249" t="s">
        <v>34</v>
      </c>
      <c r="F6" s="249">
        <f>'Cover Sheet'!F6</f>
        <v>45791</v>
      </c>
      <c r="G6" s="249" t="s">
        <v>4</v>
      </c>
      <c r="H6" s="249">
        <f>'Cover Sheet'!H6</f>
        <v>45824</v>
      </c>
      <c r="I6" s="259" t="s">
        <v>15</v>
      </c>
      <c r="J6" s="260" t="str">
        <f>'Cover Sheet'!J6</f>
        <v>33 days</v>
      </c>
      <c r="K6" s="326"/>
      <c r="M6" s="330"/>
    </row>
    <row r="7" spans="1:16" s="246" customFormat="1" ht="13">
      <c r="A7" s="238"/>
      <c r="B7" s="33"/>
      <c r="C7" s="33"/>
      <c r="D7" s="262" t="str">
        <f>'Cover Sheet'!D7</f>
        <v>Collection Period</v>
      </c>
      <c r="E7" s="263" t="s">
        <v>34</v>
      </c>
      <c r="F7" s="263" t="str">
        <f>'Cover Sheet'!F7</f>
        <v>01.05.2025</v>
      </c>
      <c r="G7" s="263" t="s">
        <v>4</v>
      </c>
      <c r="H7" s="263">
        <f>'Cover Sheet'!H7</f>
        <v>45808</v>
      </c>
      <c r="I7" s="264"/>
      <c r="J7" s="265"/>
      <c r="K7" s="326"/>
    </row>
    <row r="8" spans="1:16" s="246" customFormat="1" ht="13">
      <c r="A8" s="238"/>
      <c r="B8" s="33"/>
      <c r="C8" s="33"/>
      <c r="D8" s="25"/>
      <c r="E8" s="244"/>
      <c r="F8" s="266"/>
      <c r="G8" s="244"/>
      <c r="H8" s="33"/>
      <c r="I8" s="267"/>
      <c r="J8" s="33"/>
      <c r="K8" s="326"/>
    </row>
    <row r="9" spans="1:16" s="246" customFormat="1" ht="13">
      <c r="A9" s="238"/>
      <c r="B9" s="33"/>
      <c r="C9" s="33"/>
      <c r="D9" s="25"/>
      <c r="E9" s="33"/>
      <c r="F9" s="33"/>
      <c r="G9" s="33"/>
      <c r="H9" s="33"/>
      <c r="I9" s="33"/>
      <c r="J9" s="33"/>
      <c r="K9" s="245"/>
      <c r="M9" s="331"/>
    </row>
    <row r="10" spans="1:16" s="246" customFormat="1">
      <c r="A10" s="238"/>
      <c r="B10" s="33"/>
      <c r="C10" s="33"/>
      <c r="D10" s="25"/>
      <c r="E10" s="33"/>
      <c r="F10" s="269"/>
      <c r="G10" s="33"/>
      <c r="H10" s="33"/>
      <c r="I10" s="25"/>
      <c r="J10" s="25"/>
      <c r="K10" s="245"/>
    </row>
    <row r="11" spans="1:16" s="246" customFormat="1" ht="17.5">
      <c r="A11" s="238"/>
      <c r="B11" s="270"/>
      <c r="C11" s="33"/>
      <c r="D11" s="25"/>
      <c r="E11" s="33"/>
      <c r="F11" s="25"/>
      <c r="G11" s="271"/>
      <c r="H11" s="271"/>
      <c r="I11" s="25"/>
      <c r="J11" s="33"/>
      <c r="K11" s="245"/>
      <c r="M11" s="332"/>
    </row>
    <row r="12" spans="1:16" s="246" customFormat="1" ht="12.75" customHeight="1">
      <c r="A12" s="238"/>
      <c r="B12" s="333"/>
      <c r="C12" s="25"/>
      <c r="D12" s="25"/>
      <c r="E12" s="25"/>
      <c r="F12" s="25"/>
      <c r="G12" s="273"/>
      <c r="H12" s="273"/>
      <c r="I12" s="25"/>
      <c r="J12" s="25"/>
      <c r="K12" s="245"/>
      <c r="M12" s="332"/>
    </row>
    <row r="13" spans="1:16" s="246" customFormat="1" ht="12.75" customHeight="1">
      <c r="A13" s="238"/>
      <c r="B13" s="23" t="s">
        <v>198</v>
      </c>
      <c r="D13" s="24" t="s">
        <v>458</v>
      </c>
      <c r="F13" s="334"/>
      <c r="G13" s="335"/>
      <c r="H13" s="335"/>
      <c r="I13" s="278"/>
      <c r="J13" s="25"/>
      <c r="K13" s="245"/>
      <c r="M13" s="332"/>
      <c r="P13" s="24"/>
    </row>
    <row r="14" spans="1:16" s="246" customFormat="1" ht="12.75" customHeight="1">
      <c r="A14" s="238"/>
      <c r="B14" s="23"/>
      <c r="D14" s="25"/>
      <c r="F14" s="336"/>
      <c r="G14" s="336"/>
      <c r="H14" s="337"/>
      <c r="I14" s="171"/>
      <c r="J14" s="25"/>
      <c r="K14" s="245"/>
      <c r="M14" s="332"/>
      <c r="P14" s="25"/>
    </row>
    <row r="15" spans="1:16" ht="12.75" customHeight="1">
      <c r="A15" s="283"/>
      <c r="B15" s="23" t="s">
        <v>199</v>
      </c>
      <c r="D15" s="24" t="s">
        <v>459</v>
      </c>
      <c r="F15" s="26"/>
      <c r="G15" s="26"/>
      <c r="H15" s="338"/>
      <c r="I15" s="218"/>
      <c r="J15" s="25"/>
      <c r="K15" s="313"/>
      <c r="M15" s="332"/>
      <c r="P15" s="24"/>
    </row>
    <row r="16" spans="1:16" ht="12.75" customHeight="1">
      <c r="A16" s="283"/>
      <c r="B16" s="23"/>
      <c r="D16" s="25" t="s">
        <v>204</v>
      </c>
      <c r="F16" s="26"/>
      <c r="G16" s="26"/>
      <c r="H16" s="338"/>
      <c r="I16" s="218"/>
      <c r="J16" s="25"/>
      <c r="K16" s="313"/>
      <c r="M16" s="332"/>
      <c r="P16" s="25"/>
    </row>
    <row r="17" spans="1:16" ht="12.75" customHeight="1">
      <c r="A17" s="283"/>
      <c r="B17" s="23"/>
      <c r="D17" s="64" t="s">
        <v>268</v>
      </c>
      <c r="E17" s="339"/>
      <c r="F17" s="340"/>
      <c r="G17" s="26"/>
      <c r="H17" s="338"/>
      <c r="I17" s="218"/>
      <c r="J17" s="25"/>
      <c r="K17" s="313"/>
      <c r="M17" s="332"/>
      <c r="P17" s="25"/>
    </row>
    <row r="18" spans="1:16" ht="12.75" customHeight="1">
      <c r="A18" s="283"/>
      <c r="B18" s="23"/>
      <c r="D18" s="64" t="s">
        <v>270</v>
      </c>
      <c r="E18" s="339"/>
      <c r="F18" s="340"/>
      <c r="G18" s="26"/>
      <c r="H18" s="338"/>
      <c r="I18" s="218"/>
      <c r="J18" s="25"/>
      <c r="K18" s="313"/>
      <c r="M18" s="332"/>
      <c r="P18" s="25"/>
    </row>
    <row r="19" spans="1:16" ht="12.75" customHeight="1">
      <c r="A19" s="283"/>
      <c r="B19" s="23"/>
      <c r="D19" s="64" t="s">
        <v>269</v>
      </c>
      <c r="E19" s="339"/>
      <c r="F19" s="340"/>
      <c r="G19" s="26"/>
      <c r="H19" s="338"/>
      <c r="I19" s="218"/>
      <c r="J19" s="25"/>
      <c r="K19" s="313"/>
      <c r="M19" s="332"/>
      <c r="P19" s="25"/>
    </row>
    <row r="20" spans="1:16" ht="12.75" customHeight="1">
      <c r="A20" s="283"/>
      <c r="B20" s="23"/>
      <c r="D20" s="25"/>
      <c r="F20" s="26"/>
      <c r="G20" s="26"/>
      <c r="H20" s="338"/>
      <c r="I20" s="218"/>
      <c r="J20" s="25"/>
      <c r="K20" s="313"/>
      <c r="M20" s="332"/>
      <c r="P20" s="25"/>
    </row>
    <row r="21" spans="1:16" ht="12.75" customHeight="1">
      <c r="A21" s="283"/>
      <c r="B21" s="23" t="s">
        <v>215</v>
      </c>
      <c r="D21" s="64" t="s">
        <v>431</v>
      </c>
      <c r="E21" s="64"/>
      <c r="F21" s="26"/>
      <c r="G21" s="26"/>
      <c r="H21" s="338"/>
      <c r="I21" s="218"/>
      <c r="J21" s="25"/>
      <c r="K21" s="313"/>
      <c r="M21" s="332"/>
      <c r="P21" s="25"/>
    </row>
    <row r="22" spans="1:16" ht="12.75" customHeight="1">
      <c r="A22" s="283"/>
      <c r="B22" s="23"/>
      <c r="D22" s="25"/>
      <c r="F22" s="26"/>
      <c r="G22" s="26"/>
      <c r="H22" s="338"/>
      <c r="I22" s="218"/>
      <c r="J22" s="25"/>
      <c r="K22" s="313"/>
      <c r="M22" s="332"/>
      <c r="P22" s="25"/>
    </row>
    <row r="23" spans="1:16" ht="12.75" customHeight="1">
      <c r="A23" s="283"/>
      <c r="B23" s="23" t="s">
        <v>200</v>
      </c>
      <c r="D23" s="24" t="s">
        <v>206</v>
      </c>
      <c r="F23" s="26"/>
      <c r="G23" s="26"/>
      <c r="H23" s="338"/>
      <c r="I23" s="218"/>
      <c r="J23" s="25"/>
      <c r="K23" s="313"/>
      <c r="M23" s="332"/>
      <c r="P23" s="24"/>
    </row>
    <row r="24" spans="1:16" ht="12.75" customHeight="1">
      <c r="A24" s="283"/>
      <c r="B24" s="23"/>
      <c r="D24" s="25"/>
      <c r="F24" s="26"/>
      <c r="G24" s="26"/>
      <c r="H24" s="338"/>
      <c r="I24" s="218"/>
      <c r="J24" s="25"/>
      <c r="K24" s="313"/>
      <c r="M24" s="332"/>
      <c r="P24" s="25"/>
    </row>
    <row r="25" spans="1:16" ht="12.75" customHeight="1">
      <c r="A25" s="283"/>
      <c r="B25" s="23" t="s">
        <v>201</v>
      </c>
      <c r="D25" s="24" t="s">
        <v>206</v>
      </c>
      <c r="F25" s="26"/>
      <c r="G25" s="26"/>
      <c r="H25" s="338"/>
      <c r="I25" s="218"/>
      <c r="J25" s="25"/>
      <c r="K25" s="313"/>
      <c r="M25" s="332"/>
      <c r="P25" s="24"/>
    </row>
    <row r="26" spans="1:16" ht="12.75" customHeight="1">
      <c r="A26" s="283"/>
      <c r="B26" s="23"/>
      <c r="D26" s="25"/>
      <c r="F26" s="26"/>
      <c r="G26" s="26"/>
      <c r="H26" s="338"/>
      <c r="I26" s="218"/>
      <c r="J26" s="25"/>
      <c r="K26" s="313"/>
      <c r="M26" s="332"/>
      <c r="P26" s="25"/>
    </row>
    <row r="27" spans="1:16" ht="12.75" customHeight="1">
      <c r="A27" s="283"/>
      <c r="B27" s="23" t="s">
        <v>202</v>
      </c>
      <c r="D27" s="24" t="s">
        <v>206</v>
      </c>
      <c r="F27" s="27"/>
      <c r="G27" s="27"/>
      <c r="H27" s="338"/>
      <c r="I27" s="218"/>
      <c r="J27" s="25"/>
      <c r="K27" s="313"/>
      <c r="M27" s="332"/>
      <c r="P27" s="24"/>
    </row>
    <row r="28" spans="1:16" ht="12.75" customHeight="1">
      <c r="A28" s="283"/>
      <c r="B28" s="23"/>
      <c r="D28" s="25" t="s">
        <v>117</v>
      </c>
      <c r="F28" s="341"/>
      <c r="G28" s="342"/>
      <c r="H28" s="338"/>
      <c r="I28" s="218"/>
      <c r="J28" s="25"/>
      <c r="K28" s="313"/>
      <c r="M28" s="332"/>
      <c r="P28" s="25"/>
    </row>
    <row r="29" spans="1:16" ht="12.75" customHeight="1">
      <c r="A29" s="283"/>
      <c r="B29" s="25"/>
      <c r="D29" s="25" t="s">
        <v>207</v>
      </c>
      <c r="F29" s="26"/>
      <c r="G29" s="26"/>
      <c r="H29" s="338"/>
      <c r="I29" s="218"/>
      <c r="J29" s="25"/>
      <c r="K29" s="313"/>
      <c r="M29" s="332"/>
      <c r="P29" s="25"/>
    </row>
    <row r="30" spans="1:16" ht="12.75" customHeight="1">
      <c r="A30" s="283"/>
      <c r="B30" s="23"/>
      <c r="D30" s="25" t="s">
        <v>208</v>
      </c>
      <c r="F30" s="26"/>
      <c r="G30" s="26"/>
      <c r="H30" s="338"/>
      <c r="I30" s="223"/>
      <c r="J30" s="25"/>
      <c r="K30" s="313"/>
      <c r="M30" s="332"/>
      <c r="P30" s="25"/>
    </row>
    <row r="31" spans="1:16" ht="12.75" customHeight="1">
      <c r="A31" s="283"/>
      <c r="B31" s="23"/>
      <c r="D31" s="25" t="s">
        <v>205</v>
      </c>
      <c r="F31" s="343"/>
      <c r="G31" s="344"/>
      <c r="H31" s="343"/>
      <c r="I31" s="25"/>
      <c r="J31" s="25"/>
      <c r="K31" s="313"/>
      <c r="M31" s="332"/>
      <c r="P31" s="25"/>
    </row>
    <row r="32" spans="1:16" ht="12.75" customHeight="1">
      <c r="A32" s="283"/>
      <c r="B32" s="23"/>
      <c r="D32" s="25" t="s">
        <v>209</v>
      </c>
      <c r="F32" s="28"/>
      <c r="G32" s="28"/>
      <c r="H32" s="28"/>
      <c r="I32" s="28"/>
      <c r="J32" s="25"/>
      <c r="K32" s="313"/>
      <c r="M32" s="332"/>
      <c r="P32" s="25"/>
    </row>
    <row r="33" spans="1:16" ht="12.75" customHeight="1">
      <c r="A33" s="283"/>
      <c r="B33" s="23"/>
      <c r="D33" s="25"/>
      <c r="F33" s="28"/>
      <c r="G33" s="28"/>
      <c r="H33" s="28"/>
      <c r="I33" s="28"/>
      <c r="J33" s="25"/>
      <c r="K33" s="313"/>
      <c r="M33" s="332"/>
      <c r="P33" s="25"/>
    </row>
    <row r="34" spans="1:16" ht="12.75" customHeight="1">
      <c r="A34" s="283"/>
      <c r="B34" s="23"/>
      <c r="D34" s="25"/>
      <c r="F34" s="28"/>
      <c r="G34" s="28"/>
      <c r="H34" s="28"/>
      <c r="I34" s="28"/>
      <c r="J34" s="25"/>
      <c r="K34" s="313"/>
      <c r="M34" s="332"/>
      <c r="P34" s="25"/>
    </row>
    <row r="35" spans="1:16" ht="12.75" customHeight="1">
      <c r="A35" s="283"/>
      <c r="B35" s="23" t="s">
        <v>203</v>
      </c>
      <c r="D35" s="65" t="s">
        <v>271</v>
      </c>
      <c r="E35" s="339"/>
      <c r="F35" s="62"/>
      <c r="G35" s="28"/>
      <c r="H35" s="28"/>
      <c r="I35" s="28"/>
      <c r="J35" s="25"/>
      <c r="K35" s="313"/>
      <c r="M35" s="332"/>
      <c r="P35" s="24"/>
    </row>
    <row r="36" spans="1:16" ht="12.75" customHeight="1">
      <c r="A36" s="283"/>
      <c r="B36" s="23"/>
      <c r="D36" s="64" t="s">
        <v>268</v>
      </c>
      <c r="E36" s="339"/>
      <c r="F36" s="345"/>
      <c r="G36" s="346"/>
      <c r="H36" s="346"/>
      <c r="I36" s="278"/>
      <c r="J36" s="278"/>
      <c r="K36" s="313"/>
      <c r="P36" s="25"/>
    </row>
    <row r="37" spans="1:16" ht="12.75" customHeight="1">
      <c r="A37" s="283"/>
      <c r="B37" s="25"/>
      <c r="D37" s="64" t="s">
        <v>270</v>
      </c>
      <c r="E37" s="339"/>
      <c r="F37" s="345"/>
      <c r="G37" s="346"/>
      <c r="H37" s="346"/>
      <c r="I37" s="278"/>
      <c r="J37" s="25"/>
      <c r="K37" s="313"/>
      <c r="P37" s="25"/>
    </row>
    <row r="38" spans="1:16" ht="12.75" customHeight="1">
      <c r="A38" s="283"/>
      <c r="B38" s="23"/>
      <c r="D38" s="64" t="s">
        <v>269</v>
      </c>
      <c r="E38" s="339"/>
      <c r="F38" s="62"/>
      <c r="G38" s="28"/>
      <c r="H38" s="28"/>
      <c r="I38" s="25"/>
      <c r="J38" s="25"/>
      <c r="K38" s="313"/>
      <c r="P38" s="25"/>
    </row>
    <row r="39" spans="1:16" ht="12.75" customHeight="1">
      <c r="A39" s="283"/>
      <c r="B39" s="23"/>
      <c r="D39" s="61"/>
      <c r="E39" s="339"/>
      <c r="F39" s="62"/>
      <c r="G39" s="28"/>
      <c r="H39" s="28"/>
      <c r="I39" s="25"/>
      <c r="J39" s="25"/>
      <c r="K39" s="313"/>
      <c r="P39" s="25"/>
    </row>
    <row r="40" spans="1:16" ht="12.75" customHeight="1">
      <c r="A40" s="283"/>
      <c r="B40" s="23"/>
      <c r="D40" s="61"/>
      <c r="E40" s="339"/>
      <c r="F40" s="62"/>
      <c r="G40" s="28"/>
      <c r="H40" s="28"/>
      <c r="I40" s="278"/>
      <c r="J40" s="25"/>
      <c r="K40" s="313"/>
      <c r="L40" s="25"/>
      <c r="P40" s="25"/>
    </row>
    <row r="41" spans="1:16" s="25" customFormat="1" ht="12.75" customHeight="1">
      <c r="A41" s="347"/>
      <c r="B41" s="29"/>
      <c r="C41" s="11"/>
      <c r="D41" s="348"/>
      <c r="E41" s="11"/>
      <c r="F41" s="315"/>
      <c r="G41" s="349"/>
      <c r="H41" s="315"/>
      <c r="I41" s="350"/>
      <c r="J41" s="40"/>
      <c r="K41" s="351"/>
    </row>
    <row r="42" spans="1:16" s="25" customFormat="1"/>
    <row r="43" spans="1:16" s="25" customFormat="1">
      <c r="B43" s="14"/>
      <c r="C43" s="13"/>
      <c r="D43" s="196"/>
      <c r="E43" s="13"/>
      <c r="F43" s="197"/>
      <c r="G43" s="198"/>
      <c r="H43" s="197"/>
      <c r="I43" s="278"/>
    </row>
    <row r="44" spans="1:16" s="25" customFormat="1">
      <c r="B44" s="14"/>
      <c r="C44" s="13"/>
      <c r="D44" s="196"/>
      <c r="E44" s="13"/>
      <c r="F44" s="197"/>
      <c r="G44" s="198"/>
      <c r="H44" s="197"/>
      <c r="I44" s="278"/>
    </row>
    <row r="45" spans="1:16" s="25" customFormat="1">
      <c r="B45" s="14"/>
      <c r="C45" s="13"/>
      <c r="D45" s="196"/>
      <c r="E45" s="13"/>
      <c r="F45" s="197"/>
      <c r="G45" s="198"/>
      <c r="H45" s="197"/>
      <c r="I45" s="278"/>
    </row>
    <row r="46" spans="1:16" s="25" customFormat="1" ht="15.5">
      <c r="B46" s="14"/>
      <c r="C46" s="30"/>
      <c r="D46" s="196"/>
      <c r="E46" s="13"/>
      <c r="F46" s="197"/>
      <c r="G46" s="198"/>
      <c r="H46" s="197"/>
      <c r="I46" s="278"/>
    </row>
    <row r="47" spans="1:16" s="25" customFormat="1" ht="15.5">
      <c r="B47" s="14"/>
      <c r="C47" s="30"/>
      <c r="D47" s="196"/>
      <c r="E47" s="13"/>
      <c r="F47" s="197"/>
      <c r="G47" s="198"/>
      <c r="H47" s="197"/>
      <c r="I47" s="278"/>
    </row>
    <row r="48" spans="1:16" s="25" customFormat="1" ht="15.5">
      <c r="B48" s="14"/>
      <c r="C48" s="31"/>
      <c r="D48" s="196"/>
      <c r="E48" s="13"/>
      <c r="F48" s="197"/>
      <c r="G48" s="198"/>
      <c r="H48" s="197"/>
      <c r="I48" s="278"/>
    </row>
    <row r="49" spans="2:9" s="25" customFormat="1" ht="15.5">
      <c r="B49" s="14"/>
      <c r="C49" s="31"/>
      <c r="D49" s="196"/>
      <c r="E49" s="13"/>
      <c r="F49" s="197"/>
      <c r="G49" s="198"/>
      <c r="H49" s="197"/>
      <c r="I49" s="278"/>
    </row>
    <row r="50" spans="2:9" s="25" customFormat="1" ht="15.5">
      <c r="B50" s="14"/>
      <c r="C50" s="31"/>
      <c r="D50" s="196"/>
      <c r="E50" s="13"/>
      <c r="F50" s="197"/>
      <c r="G50" s="198"/>
      <c r="H50" s="197"/>
      <c r="I50" s="278"/>
    </row>
    <row r="51" spans="2:9" s="25" customFormat="1" ht="15.5">
      <c r="B51" s="14"/>
      <c r="C51" s="31"/>
      <c r="D51" s="196"/>
      <c r="E51" s="13"/>
      <c r="F51" s="197"/>
      <c r="G51" s="198"/>
      <c r="H51" s="197"/>
      <c r="I51" s="278"/>
    </row>
    <row r="52" spans="2:9" s="25" customFormat="1" ht="15.5">
      <c r="B52" s="14"/>
      <c r="C52" s="31"/>
      <c r="D52" s="196"/>
      <c r="E52" s="13"/>
      <c r="F52" s="197"/>
      <c r="G52" s="198"/>
      <c r="H52" s="197"/>
      <c r="I52" s="278"/>
    </row>
    <row r="53" spans="2:9" s="25" customFormat="1" ht="15.5">
      <c r="B53" s="14"/>
      <c r="C53" s="31"/>
      <c r="D53" s="196"/>
      <c r="E53" s="13"/>
      <c r="F53" s="197"/>
      <c r="G53" s="198"/>
      <c r="H53" s="197"/>
      <c r="I53" s="278"/>
    </row>
    <row r="54" spans="2:9" s="25" customFormat="1">
      <c r="B54" s="14"/>
      <c r="C54" s="13"/>
      <c r="D54" s="196"/>
      <c r="E54" s="13"/>
      <c r="F54" s="197"/>
      <c r="G54" s="198"/>
      <c r="H54" s="197"/>
      <c r="I54" s="278"/>
    </row>
    <row r="55" spans="2:9" s="25" customFormat="1">
      <c r="B55" s="14"/>
      <c r="C55" s="13"/>
      <c r="D55" s="196"/>
      <c r="E55" s="13"/>
      <c r="F55" s="197"/>
      <c r="G55" s="198"/>
      <c r="H55" s="197"/>
      <c r="I55" s="278"/>
    </row>
    <row r="56" spans="2:9" s="25" customFormat="1">
      <c r="B56" s="14"/>
      <c r="C56" s="13"/>
      <c r="D56" s="196"/>
      <c r="E56" s="13"/>
      <c r="F56" s="197"/>
      <c r="G56" s="198"/>
      <c r="H56" s="197"/>
      <c r="I56" s="278"/>
    </row>
    <row r="57" spans="2:9" s="25" customFormat="1">
      <c r="B57" s="14"/>
      <c r="C57" s="13"/>
      <c r="D57" s="196"/>
      <c r="E57" s="13"/>
      <c r="F57" s="197"/>
      <c r="G57" s="198"/>
      <c r="H57" s="197"/>
      <c r="I57" s="278"/>
    </row>
    <row r="58" spans="2:9" s="25" customFormat="1">
      <c r="B58" s="14"/>
      <c r="C58" s="13"/>
      <c r="D58" s="196"/>
      <c r="E58" s="13"/>
      <c r="F58" s="197"/>
      <c r="G58" s="198"/>
      <c r="H58" s="197"/>
      <c r="I58" s="278"/>
    </row>
    <row r="59" spans="2:9" s="25" customFormat="1">
      <c r="B59" s="14"/>
      <c r="C59" s="13"/>
      <c r="D59" s="196"/>
      <c r="E59" s="13"/>
      <c r="F59" s="197"/>
      <c r="G59" s="198"/>
      <c r="H59" s="197"/>
      <c r="I59" s="278"/>
    </row>
    <row r="60" spans="2:9" s="25" customFormat="1">
      <c r="B60" s="14"/>
      <c r="C60" s="13"/>
      <c r="D60" s="196"/>
      <c r="E60" s="13"/>
      <c r="F60" s="197"/>
      <c r="G60" s="198"/>
      <c r="H60" s="197"/>
      <c r="I60" s="278"/>
    </row>
    <row r="61" spans="2:9" s="25" customFormat="1">
      <c r="B61" s="14"/>
      <c r="C61" s="13"/>
      <c r="D61" s="196"/>
      <c r="E61" s="13"/>
      <c r="F61" s="197"/>
      <c r="G61" s="198"/>
      <c r="H61" s="197"/>
      <c r="I61" s="278"/>
    </row>
    <row r="62" spans="2:9" s="25" customFormat="1">
      <c r="B62" s="14"/>
      <c r="C62" s="13"/>
      <c r="D62" s="196"/>
      <c r="E62" s="13"/>
      <c r="F62" s="197"/>
      <c r="G62" s="198"/>
      <c r="H62" s="197"/>
      <c r="I62" s="278"/>
    </row>
    <row r="63" spans="2:9" s="25" customFormat="1">
      <c r="B63" s="14"/>
      <c r="C63" s="13"/>
      <c r="D63" s="196"/>
      <c r="E63" s="13"/>
      <c r="F63" s="197"/>
      <c r="G63" s="198"/>
      <c r="H63" s="197"/>
      <c r="I63" s="278"/>
    </row>
    <row r="64" spans="2:9" s="25" customFormat="1">
      <c r="B64" s="14"/>
      <c r="C64" s="13"/>
      <c r="D64" s="196"/>
      <c r="E64" s="13"/>
      <c r="F64" s="197"/>
      <c r="G64" s="198"/>
      <c r="H64" s="197"/>
      <c r="I64" s="278"/>
    </row>
    <row r="65" spans="2:9" s="25" customFormat="1">
      <c r="B65" s="14"/>
      <c r="C65" s="13"/>
      <c r="D65" s="196"/>
      <c r="E65" s="13"/>
      <c r="F65" s="197"/>
      <c r="G65" s="198"/>
      <c r="H65" s="197"/>
      <c r="I65" s="278"/>
    </row>
    <row r="66" spans="2:9" s="25" customFormat="1">
      <c r="B66" s="14"/>
      <c r="C66" s="13"/>
      <c r="D66" s="196"/>
      <c r="E66" s="13"/>
      <c r="F66" s="197"/>
      <c r="G66" s="198"/>
      <c r="H66" s="197"/>
      <c r="I66" s="278"/>
    </row>
    <row r="67" spans="2:9" s="25" customFormat="1">
      <c r="B67" s="14"/>
      <c r="C67" s="13"/>
      <c r="D67" s="196"/>
      <c r="E67" s="13"/>
      <c r="F67" s="197"/>
      <c r="G67" s="198"/>
      <c r="H67" s="197"/>
      <c r="I67" s="278"/>
    </row>
    <row r="68" spans="2:9" s="25" customFormat="1">
      <c r="B68" s="14"/>
      <c r="C68" s="13"/>
      <c r="D68" s="196"/>
      <c r="E68" s="13"/>
      <c r="F68" s="197"/>
      <c r="G68" s="198"/>
      <c r="H68" s="197"/>
      <c r="I68" s="278"/>
    </row>
    <row r="69" spans="2:9" s="25" customFormat="1">
      <c r="B69" s="14"/>
      <c r="C69" s="13"/>
      <c r="D69" s="319"/>
      <c r="E69" s="320"/>
      <c r="F69" s="231"/>
      <c r="G69" s="321"/>
      <c r="H69" s="231"/>
      <c r="I69" s="278"/>
    </row>
    <row r="70" spans="2:9" s="25" customFormat="1">
      <c r="B70" s="14"/>
      <c r="C70" s="13"/>
      <c r="D70" s="319"/>
      <c r="E70" s="319"/>
      <c r="F70" s="319"/>
      <c r="G70" s="319"/>
      <c r="H70" s="319"/>
      <c r="I70" s="278"/>
    </row>
    <row r="71" spans="2:9" s="25" customFormat="1">
      <c r="B71" s="14"/>
      <c r="C71" s="13"/>
      <c r="D71" s="319"/>
      <c r="E71" s="319"/>
      <c r="F71" s="319"/>
      <c r="G71" s="319"/>
      <c r="H71" s="319"/>
      <c r="I71" s="278"/>
    </row>
    <row r="72" spans="2:9" s="25" customFormat="1">
      <c r="B72" s="14"/>
      <c r="C72" s="13"/>
      <c r="D72" s="203"/>
      <c r="E72" s="232"/>
      <c r="F72" s="319"/>
      <c r="G72" s="319"/>
      <c r="H72" s="319"/>
      <c r="I72" s="278"/>
    </row>
    <row r="73" spans="2:9" s="25" customFormat="1">
      <c r="B73" s="14"/>
      <c r="C73" s="13"/>
      <c r="D73" s="320"/>
      <c r="E73" s="232"/>
      <c r="F73" s="319"/>
      <c r="G73" s="319"/>
      <c r="H73" s="319"/>
      <c r="I73" s="278"/>
    </row>
    <row r="74" spans="2:9" s="25" customFormat="1">
      <c r="B74" s="14"/>
      <c r="C74" s="13"/>
      <c r="D74" s="319"/>
      <c r="E74" s="232"/>
      <c r="F74" s="319"/>
      <c r="G74" s="319"/>
      <c r="H74" s="319"/>
      <c r="I74" s="278"/>
    </row>
    <row r="75" spans="2:9" s="25" customFormat="1" ht="14">
      <c r="B75" s="319"/>
      <c r="C75" s="320"/>
      <c r="D75" s="322"/>
      <c r="E75" s="322"/>
      <c r="F75" s="322"/>
      <c r="G75" s="322"/>
      <c r="H75" s="322"/>
      <c r="I75" s="278"/>
    </row>
    <row r="76" spans="2:9" s="25" customFormat="1" ht="14">
      <c r="B76" s="33"/>
      <c r="C76" s="33"/>
      <c r="D76" s="322"/>
      <c r="E76" s="322"/>
      <c r="F76" s="322"/>
      <c r="G76" s="322"/>
      <c r="H76" s="322"/>
      <c r="I76" s="278"/>
    </row>
    <row r="77" spans="2:9" s="25" customFormat="1" ht="14">
      <c r="B77" s="33"/>
      <c r="C77" s="33"/>
      <c r="D77" s="206"/>
      <c r="E77" s="233"/>
      <c r="F77" s="322"/>
      <c r="G77" s="322"/>
      <c r="H77" s="322"/>
      <c r="I77" s="278"/>
    </row>
    <row r="78" spans="2:9" s="25" customFormat="1" ht="14">
      <c r="B78" s="203"/>
      <c r="C78" s="232"/>
      <c r="D78" s="323"/>
      <c r="E78" s="233"/>
      <c r="F78" s="322"/>
      <c r="G78" s="322"/>
      <c r="H78" s="322"/>
      <c r="I78" s="278"/>
    </row>
    <row r="79" spans="2:9" s="25" customFormat="1" ht="14">
      <c r="B79" s="324"/>
      <c r="C79" s="232"/>
      <c r="D79" s="322"/>
      <c r="E79" s="233"/>
      <c r="F79" s="322"/>
      <c r="G79" s="322"/>
      <c r="H79" s="322"/>
      <c r="I79" s="278"/>
    </row>
    <row r="80" spans="2:9" s="25" customFormat="1">
      <c r="C80" s="232"/>
      <c r="I80" s="278"/>
    </row>
    <row r="81" spans="9:9" s="25" customFormat="1">
      <c r="I81" s="278"/>
    </row>
    <row r="82" spans="9:9" s="25" customFormat="1">
      <c r="I82" s="278"/>
    </row>
    <row r="83" spans="9:9" s="25" customFormat="1">
      <c r="I83" s="278"/>
    </row>
    <row r="84" spans="9:9" s="25" customFormat="1">
      <c r="I84" s="278"/>
    </row>
    <row r="85" spans="9:9" s="25" customFormat="1">
      <c r="I85" s="278"/>
    </row>
    <row r="86" spans="9:9" s="25" customFormat="1">
      <c r="I86" s="278"/>
    </row>
    <row r="87" spans="9:9" s="25" customFormat="1">
      <c r="I87" s="278"/>
    </row>
    <row r="88" spans="9:9" s="25" customFormat="1">
      <c r="I88" s="278"/>
    </row>
    <row r="89" spans="9:9" s="25" customFormat="1">
      <c r="I89" s="278"/>
    </row>
    <row r="90" spans="9:9" s="25" customFormat="1">
      <c r="I90" s="278"/>
    </row>
    <row r="91" spans="9:9" s="25" customFormat="1">
      <c r="I91" s="278"/>
    </row>
    <row r="92" spans="9:9" s="25" customFormat="1">
      <c r="I92" s="278"/>
    </row>
    <row r="93" spans="9:9" s="25" customFormat="1">
      <c r="I93" s="278"/>
    </row>
    <row r="94" spans="9:9" s="25" customFormat="1">
      <c r="I94" s="278"/>
    </row>
    <row r="95" spans="9:9" s="25" customFormat="1">
      <c r="I95" s="278"/>
    </row>
    <row r="96" spans="9:9" s="25" customFormat="1">
      <c r="I96" s="278"/>
    </row>
    <row r="97" spans="9:9" s="25" customFormat="1">
      <c r="I97" s="278"/>
    </row>
    <row r="98" spans="9:9" s="25" customFormat="1">
      <c r="I98" s="278"/>
    </row>
    <row r="99" spans="9:9" s="25" customFormat="1">
      <c r="I99" s="278"/>
    </row>
    <row r="100" spans="9:9" s="25" customFormat="1">
      <c r="I100" s="278"/>
    </row>
    <row r="101" spans="9:9" s="25" customFormat="1">
      <c r="I101" s="278"/>
    </row>
    <row r="102" spans="9:9" s="25" customFormat="1">
      <c r="I102" s="278"/>
    </row>
    <row r="103" spans="9:9" s="25" customFormat="1">
      <c r="I103" s="278"/>
    </row>
    <row r="104" spans="9:9" s="25" customFormat="1">
      <c r="I104" s="278"/>
    </row>
    <row r="105" spans="9:9" s="25" customFormat="1">
      <c r="I105" s="278"/>
    </row>
    <row r="106" spans="9:9" s="25" customFormat="1">
      <c r="I106" s="278"/>
    </row>
    <row r="107" spans="9:9" s="25" customFormat="1">
      <c r="I107" s="278"/>
    </row>
    <row r="108" spans="9:9" s="25" customFormat="1">
      <c r="I108" s="278"/>
    </row>
    <row r="109" spans="9:9" s="25" customFormat="1">
      <c r="I109" s="278"/>
    </row>
    <row r="110" spans="9:9" s="25" customFormat="1">
      <c r="I110" s="278"/>
    </row>
    <row r="111" spans="9:9" s="25" customFormat="1">
      <c r="I111" s="278"/>
    </row>
    <row r="112" spans="9:9" s="25" customFormat="1">
      <c r="I112" s="278"/>
    </row>
    <row r="113" spans="9:9" s="25" customFormat="1">
      <c r="I113" s="278"/>
    </row>
    <row r="114" spans="9:9" s="25" customFormat="1">
      <c r="I114" s="278"/>
    </row>
    <row r="115" spans="9:9" s="25" customFormat="1">
      <c r="I115" s="278"/>
    </row>
    <row r="116" spans="9:9" s="25" customFormat="1">
      <c r="I116" s="278"/>
    </row>
    <row r="117" spans="9:9" s="25" customFormat="1">
      <c r="I117" s="278"/>
    </row>
    <row r="118" spans="9:9" s="25" customFormat="1">
      <c r="I118" s="278"/>
    </row>
    <row r="119" spans="9:9" s="25" customFormat="1">
      <c r="I119" s="278"/>
    </row>
    <row r="120" spans="9:9" s="25" customFormat="1">
      <c r="I120" s="278"/>
    </row>
    <row r="121" spans="9:9" s="25" customFormat="1">
      <c r="I121" s="278"/>
    </row>
    <row r="122" spans="9:9" s="25" customFormat="1">
      <c r="I122" s="278"/>
    </row>
    <row r="123" spans="9:9" s="25" customFormat="1">
      <c r="I123" s="278"/>
    </row>
    <row r="124" spans="9:9" s="25" customFormat="1">
      <c r="I124" s="278"/>
    </row>
    <row r="125" spans="9:9" s="25" customFormat="1">
      <c r="I125" s="278"/>
    </row>
    <row r="126" spans="9:9" s="25" customFormat="1">
      <c r="I126" s="278"/>
    </row>
    <row r="127" spans="9:9" s="25" customFormat="1">
      <c r="I127" s="278"/>
    </row>
    <row r="128" spans="9:9" s="25" customFormat="1">
      <c r="I128" s="278"/>
    </row>
    <row r="129" spans="9:9" s="25" customFormat="1">
      <c r="I129" s="278"/>
    </row>
    <row r="130" spans="9:9" s="25" customFormat="1">
      <c r="I130" s="278"/>
    </row>
    <row r="131" spans="9:9" s="25" customFormat="1">
      <c r="I131" s="278"/>
    </row>
    <row r="132" spans="9:9" s="25" customFormat="1">
      <c r="I132" s="278"/>
    </row>
    <row r="133" spans="9:9" s="25" customFormat="1">
      <c r="I133" s="278"/>
    </row>
    <row r="134" spans="9:9" s="25" customFormat="1">
      <c r="I134" s="278"/>
    </row>
    <row r="135" spans="9:9" s="25" customFormat="1">
      <c r="I135" s="278"/>
    </row>
    <row r="136" spans="9:9" s="25" customFormat="1">
      <c r="I136" s="278"/>
    </row>
    <row r="137" spans="9:9" s="25" customFormat="1">
      <c r="I137" s="278"/>
    </row>
    <row r="138" spans="9:9" s="25" customFormat="1">
      <c r="I138" s="278"/>
    </row>
    <row r="139" spans="9:9" s="25" customFormat="1">
      <c r="I139" s="278"/>
    </row>
    <row r="140" spans="9:9" s="25" customFormat="1">
      <c r="I140" s="278"/>
    </row>
    <row r="141" spans="9:9" s="25" customFormat="1">
      <c r="I141" s="278"/>
    </row>
    <row r="142" spans="9:9" s="25" customFormat="1">
      <c r="I142" s="278"/>
    </row>
    <row r="143" spans="9:9" s="25" customFormat="1">
      <c r="I143" s="278"/>
    </row>
    <row r="144" spans="9:9" s="25" customFormat="1">
      <c r="I144" s="278"/>
    </row>
    <row r="145" spans="9:9" s="25" customFormat="1">
      <c r="I145" s="278"/>
    </row>
    <row r="146" spans="9:9" s="25" customFormat="1">
      <c r="I146" s="278"/>
    </row>
    <row r="147" spans="9:9" s="25" customFormat="1">
      <c r="I147" s="278"/>
    </row>
    <row r="148" spans="9:9" s="25" customFormat="1">
      <c r="I148" s="278"/>
    </row>
    <row r="149" spans="9:9" s="25" customFormat="1">
      <c r="I149" s="278"/>
    </row>
    <row r="150" spans="9:9" s="25" customFormat="1">
      <c r="I150" s="278"/>
    </row>
    <row r="151" spans="9:9" s="25" customFormat="1">
      <c r="I151" s="278"/>
    </row>
    <row r="152" spans="9:9" s="25" customFormat="1">
      <c r="I152" s="278"/>
    </row>
    <row r="153" spans="9:9" s="25" customFormat="1">
      <c r="I153" s="278"/>
    </row>
    <row r="154" spans="9:9" s="25" customFormat="1">
      <c r="I154" s="278"/>
    </row>
    <row r="155" spans="9:9" s="25" customFormat="1">
      <c r="I155" s="278"/>
    </row>
    <row r="156" spans="9:9" s="25" customFormat="1">
      <c r="I156" s="278"/>
    </row>
    <row r="157" spans="9:9" s="25" customFormat="1">
      <c r="I157" s="278"/>
    </row>
    <row r="158" spans="9:9" s="25" customFormat="1">
      <c r="I158" s="278"/>
    </row>
    <row r="159" spans="9:9" s="25" customFormat="1">
      <c r="I159" s="278"/>
    </row>
    <row r="160" spans="9:9" s="25" customFormat="1">
      <c r="I160" s="278"/>
    </row>
    <row r="161" spans="9:9" s="25" customFormat="1">
      <c r="I161" s="278"/>
    </row>
    <row r="162" spans="9:9" s="25" customFormat="1">
      <c r="I162" s="278"/>
    </row>
    <row r="163" spans="9:9" s="25" customFormat="1">
      <c r="I163" s="278"/>
    </row>
    <row r="164" spans="9:9" s="25" customFormat="1">
      <c r="I164" s="278"/>
    </row>
    <row r="165" spans="9:9" s="25" customFormat="1">
      <c r="I165" s="278"/>
    </row>
    <row r="166" spans="9:9" s="25" customFormat="1">
      <c r="I166" s="278"/>
    </row>
    <row r="167" spans="9:9" s="25" customFormat="1">
      <c r="I167" s="278"/>
    </row>
    <row r="168" spans="9:9" s="25" customFormat="1">
      <c r="I168" s="278"/>
    </row>
    <row r="169" spans="9:9" s="25" customFormat="1">
      <c r="I169" s="278"/>
    </row>
    <row r="170" spans="9:9" s="25" customFormat="1">
      <c r="I170" s="278"/>
    </row>
    <row r="171" spans="9:9" s="25" customFormat="1">
      <c r="I171" s="278"/>
    </row>
    <row r="172" spans="9:9" s="25" customFormat="1">
      <c r="I172" s="278"/>
    </row>
    <row r="173" spans="9:9" s="25" customFormat="1">
      <c r="I173" s="278"/>
    </row>
    <row r="174" spans="9:9" s="25" customFormat="1">
      <c r="I174" s="278"/>
    </row>
    <row r="175" spans="9:9" s="25" customFormat="1">
      <c r="I175" s="278"/>
    </row>
    <row r="176" spans="9:9" s="25" customFormat="1">
      <c r="I176" s="278"/>
    </row>
    <row r="177" spans="9:9" s="25" customFormat="1">
      <c r="I177" s="278"/>
    </row>
    <row r="178" spans="9:9" s="25" customFormat="1">
      <c r="I178" s="278"/>
    </row>
    <row r="179" spans="9:9" s="25" customFormat="1">
      <c r="I179" s="278"/>
    </row>
    <row r="180" spans="9:9" s="25" customFormat="1">
      <c r="I180" s="278"/>
    </row>
    <row r="181" spans="9:9" s="25" customFormat="1">
      <c r="I181" s="278"/>
    </row>
    <row r="182" spans="9:9" s="25" customFormat="1">
      <c r="I182" s="278"/>
    </row>
    <row r="183" spans="9:9" s="25" customFormat="1">
      <c r="I183" s="278"/>
    </row>
    <row r="184" spans="9:9" s="25" customFormat="1">
      <c r="I184" s="278"/>
    </row>
    <row r="185" spans="9:9" s="25" customFormat="1">
      <c r="I185" s="278"/>
    </row>
    <row r="186" spans="9:9" s="25" customFormat="1">
      <c r="I186" s="278"/>
    </row>
    <row r="187" spans="9:9" s="25" customFormat="1">
      <c r="I187" s="278"/>
    </row>
    <row r="188" spans="9:9" s="25" customFormat="1">
      <c r="I188" s="278"/>
    </row>
    <row r="189" spans="9:9" s="25" customFormat="1">
      <c r="I189" s="278"/>
    </row>
    <row r="190" spans="9:9" s="25" customFormat="1">
      <c r="I190" s="278"/>
    </row>
    <row r="191" spans="9:9" s="25" customFormat="1">
      <c r="I191" s="278"/>
    </row>
    <row r="192" spans="9:9" s="25" customFormat="1">
      <c r="I192" s="278"/>
    </row>
    <row r="193" spans="9:9" s="25" customFormat="1">
      <c r="I193" s="278"/>
    </row>
    <row r="194" spans="9:9" s="25" customFormat="1">
      <c r="I194" s="278"/>
    </row>
    <row r="195" spans="9:9" s="25" customFormat="1">
      <c r="I195" s="278"/>
    </row>
    <row r="196" spans="9:9" s="25" customFormat="1">
      <c r="I196" s="278"/>
    </row>
    <row r="197" spans="9:9" s="25" customFormat="1">
      <c r="I197" s="278"/>
    </row>
    <row r="198" spans="9:9" s="25" customFormat="1">
      <c r="I198" s="278"/>
    </row>
    <row r="199" spans="9:9" s="25" customFormat="1">
      <c r="I199" s="278"/>
    </row>
    <row r="200" spans="9:9" s="25" customFormat="1">
      <c r="I200" s="278"/>
    </row>
    <row r="201" spans="9:9" s="25" customFormat="1">
      <c r="I201" s="278"/>
    </row>
    <row r="202" spans="9:9" s="25" customFormat="1">
      <c r="I202" s="278"/>
    </row>
    <row r="203" spans="9:9" s="25" customFormat="1">
      <c r="I203" s="278"/>
    </row>
    <row r="204" spans="9:9" s="25" customFormat="1">
      <c r="I204" s="278"/>
    </row>
    <row r="205" spans="9:9" s="25" customFormat="1">
      <c r="I205" s="278"/>
    </row>
    <row r="206" spans="9:9" s="25" customFormat="1">
      <c r="I206" s="278"/>
    </row>
    <row r="207" spans="9:9" s="25" customFormat="1">
      <c r="I207" s="278"/>
    </row>
    <row r="208" spans="9:9" s="25" customFormat="1">
      <c r="I208" s="278"/>
    </row>
    <row r="209" spans="9:9" s="25" customFormat="1">
      <c r="I209" s="278"/>
    </row>
    <row r="210" spans="9:9" s="25" customFormat="1">
      <c r="I210" s="278"/>
    </row>
    <row r="211" spans="9:9" s="25" customFormat="1">
      <c r="I211" s="278"/>
    </row>
    <row r="212" spans="9:9" s="25" customFormat="1">
      <c r="I212" s="278"/>
    </row>
    <row r="213" spans="9:9" s="25" customFormat="1">
      <c r="I213" s="278"/>
    </row>
    <row r="214" spans="9:9" s="25" customFormat="1">
      <c r="I214" s="278"/>
    </row>
    <row r="215" spans="9:9" s="25" customFormat="1">
      <c r="I215" s="278"/>
    </row>
    <row r="216" spans="9:9" s="25" customFormat="1">
      <c r="I216" s="278"/>
    </row>
    <row r="217" spans="9:9" s="25" customFormat="1">
      <c r="I217" s="278"/>
    </row>
    <row r="218" spans="9:9" s="25" customFormat="1">
      <c r="I218" s="278"/>
    </row>
    <row r="219" spans="9:9" s="25" customFormat="1">
      <c r="I219" s="278"/>
    </row>
    <row r="220" spans="9:9" s="25" customFormat="1">
      <c r="I220" s="278"/>
    </row>
    <row r="221" spans="9:9" s="25" customFormat="1">
      <c r="I221" s="278"/>
    </row>
    <row r="222" spans="9:9" s="25" customFormat="1">
      <c r="I222" s="278"/>
    </row>
    <row r="223" spans="9:9" s="25" customFormat="1">
      <c r="I223" s="278"/>
    </row>
    <row r="224" spans="9:9" s="25" customFormat="1">
      <c r="I224" s="278"/>
    </row>
    <row r="225" spans="9:9" s="25" customFormat="1">
      <c r="I225" s="278"/>
    </row>
    <row r="226" spans="9:9" s="25" customFormat="1">
      <c r="I226" s="278"/>
    </row>
    <row r="227" spans="9:9" s="25" customFormat="1">
      <c r="I227" s="278"/>
    </row>
    <row r="228" spans="9:9" s="25" customFormat="1">
      <c r="I228" s="278"/>
    </row>
    <row r="229" spans="9:9" s="25" customFormat="1">
      <c r="I229" s="278"/>
    </row>
    <row r="230" spans="9:9" s="25" customFormat="1">
      <c r="I230" s="278"/>
    </row>
    <row r="231" spans="9:9" s="25" customFormat="1">
      <c r="I231" s="278"/>
    </row>
    <row r="232" spans="9:9" s="25" customFormat="1">
      <c r="I232" s="278"/>
    </row>
    <row r="233" spans="9:9" s="25" customFormat="1">
      <c r="I233" s="278"/>
    </row>
    <row r="234" spans="9:9" s="25" customFormat="1">
      <c r="I234" s="278"/>
    </row>
    <row r="235" spans="9:9" s="25" customFormat="1">
      <c r="I235" s="278"/>
    </row>
    <row r="236" spans="9:9" s="25" customFormat="1">
      <c r="I236" s="278"/>
    </row>
    <row r="237" spans="9:9" s="25" customFormat="1">
      <c r="I237" s="278"/>
    </row>
    <row r="238" spans="9:9" s="25" customFormat="1">
      <c r="I238" s="278"/>
    </row>
    <row r="239" spans="9:9" s="25" customFormat="1">
      <c r="I239" s="278"/>
    </row>
    <row r="240" spans="9:9" s="25" customFormat="1">
      <c r="I240" s="278"/>
    </row>
    <row r="241" spans="9:9" s="25" customFormat="1">
      <c r="I241" s="278"/>
    </row>
    <row r="242" spans="9:9" s="25" customFormat="1">
      <c r="I242" s="278"/>
    </row>
    <row r="243" spans="9:9" s="25" customFormat="1">
      <c r="I243" s="278"/>
    </row>
    <row r="244" spans="9:9" s="25" customFormat="1">
      <c r="I244" s="278"/>
    </row>
    <row r="245" spans="9:9" s="25" customFormat="1">
      <c r="I245" s="278"/>
    </row>
    <row r="246" spans="9:9" s="25" customFormat="1">
      <c r="I246" s="278"/>
    </row>
    <row r="247" spans="9:9" s="25" customFormat="1">
      <c r="I247" s="278"/>
    </row>
    <row r="248" spans="9:9" s="25" customFormat="1">
      <c r="I248" s="278"/>
    </row>
    <row r="249" spans="9:9" s="25" customFormat="1">
      <c r="I249" s="278"/>
    </row>
    <row r="250" spans="9:9" s="25" customFormat="1">
      <c r="I250" s="278"/>
    </row>
    <row r="251" spans="9:9" s="25" customFormat="1">
      <c r="I251" s="278"/>
    </row>
    <row r="252" spans="9:9" s="25" customFormat="1">
      <c r="I252" s="278"/>
    </row>
    <row r="253" spans="9:9" s="25" customFormat="1">
      <c r="I253" s="278"/>
    </row>
    <row r="254" spans="9:9" s="25" customFormat="1">
      <c r="I254" s="278"/>
    </row>
    <row r="255" spans="9:9" s="25" customFormat="1">
      <c r="I255" s="278"/>
    </row>
    <row r="256" spans="9:9" s="25" customFormat="1">
      <c r="I256" s="278"/>
    </row>
    <row r="257" spans="9:9" s="25" customFormat="1">
      <c r="I257" s="278"/>
    </row>
    <row r="258" spans="9:9" s="25" customFormat="1">
      <c r="I258" s="278"/>
    </row>
    <row r="259" spans="9:9" s="25" customFormat="1">
      <c r="I259" s="278"/>
    </row>
    <row r="260" spans="9:9" s="25" customFormat="1">
      <c r="I260" s="278"/>
    </row>
    <row r="261" spans="9:9" s="25" customFormat="1">
      <c r="I261" s="278"/>
    </row>
    <row r="262" spans="9:9" s="25" customFormat="1">
      <c r="I262" s="278"/>
    </row>
    <row r="263" spans="9:9" s="25" customFormat="1">
      <c r="I263" s="278"/>
    </row>
    <row r="264" spans="9:9" s="25" customFormat="1">
      <c r="I264" s="278"/>
    </row>
    <row r="265" spans="9:9" s="25" customFormat="1">
      <c r="I265" s="278"/>
    </row>
    <row r="266" spans="9:9" s="25" customFormat="1">
      <c r="I266" s="278"/>
    </row>
    <row r="267" spans="9:9" s="25" customFormat="1">
      <c r="I267" s="278"/>
    </row>
    <row r="268" spans="9:9" s="25" customFormat="1">
      <c r="I268" s="278"/>
    </row>
    <row r="269" spans="9:9" s="25" customFormat="1">
      <c r="I269" s="278"/>
    </row>
    <row r="270" spans="9:9" s="25" customFormat="1">
      <c r="I270" s="278"/>
    </row>
    <row r="271" spans="9:9" s="25" customFormat="1">
      <c r="I271" s="278"/>
    </row>
    <row r="272" spans="9:9" s="25" customFormat="1">
      <c r="I272" s="278"/>
    </row>
    <row r="273" spans="9:9" s="25" customFormat="1">
      <c r="I273" s="278"/>
    </row>
    <row r="274" spans="9:9" s="25" customFormat="1">
      <c r="I274" s="278"/>
    </row>
    <row r="275" spans="9:9" s="25" customFormat="1">
      <c r="I275" s="278"/>
    </row>
    <row r="276" spans="9:9" s="25" customFormat="1">
      <c r="I276" s="278"/>
    </row>
    <row r="277" spans="9:9" s="25" customFormat="1">
      <c r="I277" s="278"/>
    </row>
    <row r="278" spans="9:9" s="25" customFormat="1">
      <c r="I278" s="278"/>
    </row>
    <row r="279" spans="9:9" s="25" customFormat="1">
      <c r="I279" s="278"/>
    </row>
    <row r="280" spans="9:9" s="25" customFormat="1">
      <c r="I280" s="278"/>
    </row>
    <row r="281" spans="9:9" s="25" customFormat="1">
      <c r="I281" s="278"/>
    </row>
    <row r="282" spans="9:9" s="25" customFormat="1">
      <c r="I282" s="278"/>
    </row>
    <row r="283" spans="9:9" s="25" customFormat="1">
      <c r="I283" s="278"/>
    </row>
    <row r="284" spans="9:9" s="25" customFormat="1">
      <c r="I284" s="278"/>
    </row>
    <row r="285" spans="9:9" s="25" customFormat="1">
      <c r="I285" s="278"/>
    </row>
    <row r="286" spans="9:9" s="25" customFormat="1">
      <c r="I286" s="278"/>
    </row>
    <row r="287" spans="9:9" s="25" customFormat="1">
      <c r="I287" s="278"/>
    </row>
    <row r="288" spans="9:9" s="25" customFormat="1">
      <c r="I288" s="278"/>
    </row>
    <row r="289" spans="9:9" s="25" customFormat="1">
      <c r="I289" s="278"/>
    </row>
    <row r="290" spans="9:9" s="25" customFormat="1">
      <c r="I290" s="278"/>
    </row>
    <row r="291" spans="9:9" s="25" customFormat="1">
      <c r="I291" s="278"/>
    </row>
    <row r="292" spans="9:9" s="25" customFormat="1">
      <c r="I292" s="278"/>
    </row>
    <row r="293" spans="9:9" s="25" customFormat="1">
      <c r="I293" s="278"/>
    </row>
    <row r="294" spans="9:9" s="25" customFormat="1">
      <c r="I294" s="278"/>
    </row>
    <row r="295" spans="9:9" s="25" customFormat="1">
      <c r="I295" s="278"/>
    </row>
    <row r="296" spans="9:9" s="25" customFormat="1">
      <c r="I296" s="278"/>
    </row>
    <row r="297" spans="9:9" s="25" customFormat="1">
      <c r="I297" s="278"/>
    </row>
    <row r="298" spans="9:9" s="25" customFormat="1">
      <c r="I298" s="278"/>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7" customWidth="1"/>
    <col min="2" max="2" width="45.54296875" style="237" bestFit="1" customWidth="1"/>
    <col min="3" max="3" width="22.54296875" style="237" customWidth="1"/>
    <col min="4" max="4" width="15" style="237" customWidth="1"/>
    <col min="5" max="6" width="10.81640625" style="237" customWidth="1"/>
    <col min="7" max="7" width="11.81640625" style="237" customWidth="1"/>
    <col min="8" max="11" width="10.81640625" style="237" customWidth="1"/>
    <col min="12" max="12" width="12.36328125" style="237" customWidth="1"/>
    <col min="13" max="13" width="9.81640625" style="237" customWidth="1"/>
    <col min="14" max="16384" width="9.1796875" style="237"/>
  </cols>
  <sheetData>
    <row r="1" spans="1:14" ht="6" customHeight="1">
      <c r="A1" s="234"/>
      <c r="B1" s="235"/>
      <c r="C1" s="235"/>
      <c r="D1" s="235"/>
      <c r="E1" s="235"/>
      <c r="F1" s="235"/>
      <c r="G1" s="235"/>
      <c r="H1" s="235"/>
      <c r="I1" s="235"/>
      <c r="J1" s="235"/>
      <c r="K1" s="235"/>
      <c r="L1" s="235"/>
      <c r="M1" s="235"/>
      <c r="N1" s="236"/>
    </row>
    <row r="2" spans="1:14" s="246" customFormat="1" ht="18">
      <c r="A2" s="238"/>
      <c r="B2" s="239" t="str">
        <f>'Cover Sheet'!B2</f>
        <v>SC Germany Consumer 2021-1</v>
      </c>
      <c r="C2" s="239"/>
      <c r="D2" s="240" t="str">
        <f>'Cover Sheet'!D2</f>
        <v>Calculation Date</v>
      </c>
      <c r="E2" s="241"/>
      <c r="F2" s="242">
        <f>'Cover Sheet'!F2</f>
        <v>45820</v>
      </c>
      <c r="G2" s="241"/>
      <c r="H2" s="241"/>
      <c r="I2" s="241"/>
      <c r="J2" s="243"/>
      <c r="K2" s="244"/>
      <c r="L2" s="244"/>
      <c r="M2" s="33"/>
      <c r="N2" s="245"/>
    </row>
    <row r="3" spans="1:14" s="246" customFormat="1" ht="18">
      <c r="A3" s="238"/>
      <c r="B3" s="239" t="str">
        <f>'Cover Sheet'!B3</f>
        <v>Monthly Investor Report</v>
      </c>
      <c r="C3" s="239"/>
      <c r="D3" s="247" t="str">
        <f>'Cover Sheet'!D3</f>
        <v>Payment Date</v>
      </c>
      <c r="E3" s="248"/>
      <c r="F3" s="249">
        <f>'Cover Sheet'!F3</f>
        <v>45824</v>
      </c>
      <c r="G3" s="248"/>
      <c r="H3" s="248"/>
      <c r="I3" s="248"/>
      <c r="J3" s="250"/>
      <c r="K3" s="251"/>
      <c r="L3" s="251"/>
      <c r="M3" s="33"/>
      <c r="N3" s="245"/>
    </row>
    <row r="4" spans="1:14" s="246" customFormat="1" ht="13">
      <c r="A4" s="238"/>
      <c r="B4" s="252"/>
      <c r="C4" s="252"/>
      <c r="D4" s="247" t="str">
        <f>'Cover Sheet'!D4</f>
        <v>Period  No</v>
      </c>
      <c r="E4" s="248"/>
      <c r="F4" s="253">
        <f>'Cover Sheet'!F4</f>
        <v>43</v>
      </c>
      <c r="G4" s="248"/>
      <c r="H4" s="254"/>
      <c r="I4" s="248"/>
      <c r="J4" s="255"/>
      <c r="K4" s="244"/>
      <c r="L4" s="244"/>
      <c r="M4" s="33"/>
      <c r="N4" s="245"/>
    </row>
    <row r="5" spans="1:14" s="246" customFormat="1" ht="18">
      <c r="A5" s="238"/>
      <c r="B5" s="256" t="s">
        <v>400</v>
      </c>
      <c r="C5" s="256"/>
      <c r="D5" s="247" t="str">
        <f>'Cover Sheet'!D5</f>
        <v>Monthly Period</v>
      </c>
      <c r="E5" s="248"/>
      <c r="F5" s="120">
        <f>'Cover Sheet'!F5</f>
        <v>45824</v>
      </c>
      <c r="G5" s="248"/>
      <c r="H5" s="254"/>
      <c r="I5" s="248"/>
      <c r="J5" s="255"/>
      <c r="K5" s="251"/>
      <c r="L5" s="251"/>
      <c r="M5" s="33"/>
      <c r="N5" s="245"/>
    </row>
    <row r="6" spans="1:14" s="246" customFormat="1" ht="15" customHeight="1">
      <c r="A6" s="238"/>
      <c r="B6" s="257"/>
      <c r="C6" s="257"/>
      <c r="D6" s="258" t="str">
        <f>'Cover Sheet'!D6</f>
        <v>Interest Period</v>
      </c>
      <c r="E6" s="249" t="s">
        <v>34</v>
      </c>
      <c r="F6" s="249">
        <f>'Cover Sheet'!F6</f>
        <v>45791</v>
      </c>
      <c r="G6" s="249" t="s">
        <v>4</v>
      </c>
      <c r="H6" s="249">
        <f>'Cover Sheet'!H6</f>
        <v>45824</v>
      </c>
      <c r="I6" s="259" t="s">
        <v>15</v>
      </c>
      <c r="J6" s="260" t="str">
        <f>'Cover Sheet'!J6</f>
        <v>33 days</v>
      </c>
      <c r="K6" s="251"/>
      <c r="L6" s="251"/>
      <c r="M6" s="33"/>
      <c r="N6" s="261"/>
    </row>
    <row r="7" spans="1:14" s="246" customFormat="1" ht="13">
      <c r="A7" s="238"/>
      <c r="B7" s="33"/>
      <c r="C7" s="33"/>
      <c r="D7" s="262" t="str">
        <f>'Cover Sheet'!D7</f>
        <v>Collection Period</v>
      </c>
      <c r="E7" s="263" t="s">
        <v>34</v>
      </c>
      <c r="F7" s="263" t="str">
        <f>'Cover Sheet'!F7</f>
        <v>01.05.2025</v>
      </c>
      <c r="G7" s="263" t="s">
        <v>4</v>
      </c>
      <c r="H7" s="263">
        <f>'Cover Sheet'!H7</f>
        <v>45808</v>
      </c>
      <c r="I7" s="264"/>
      <c r="J7" s="265"/>
      <c r="K7" s="251"/>
      <c r="L7" s="251"/>
      <c r="M7" s="33"/>
      <c r="N7" s="245"/>
    </row>
    <row r="8" spans="1:14" s="246" customFormat="1" ht="13">
      <c r="A8" s="238"/>
      <c r="B8" s="33"/>
      <c r="C8" s="33"/>
      <c r="D8" s="33"/>
      <c r="E8" s="33"/>
      <c r="F8" s="244"/>
      <c r="G8" s="266"/>
      <c r="H8" s="244"/>
      <c r="I8" s="33"/>
      <c r="J8" s="267"/>
      <c r="K8" s="33"/>
      <c r="L8" s="251"/>
      <c r="M8" s="33"/>
      <c r="N8" s="245"/>
    </row>
    <row r="9" spans="1:14" s="246" customFormat="1" ht="13">
      <c r="A9" s="238"/>
      <c r="B9" s="33"/>
      <c r="C9" s="33"/>
      <c r="D9" s="33"/>
      <c r="E9" s="33"/>
      <c r="F9" s="33"/>
      <c r="G9" s="33"/>
      <c r="H9" s="33"/>
      <c r="I9" s="33"/>
      <c r="J9" s="33"/>
      <c r="K9" s="33"/>
      <c r="L9" s="33"/>
      <c r="M9" s="33"/>
      <c r="N9" s="268"/>
    </row>
    <row r="10" spans="1:14" s="246" customFormat="1">
      <c r="A10" s="238"/>
      <c r="B10" s="33"/>
      <c r="C10" s="33"/>
      <c r="D10" s="33"/>
      <c r="E10" s="25"/>
      <c r="F10" s="33"/>
      <c r="G10" s="269"/>
      <c r="H10" s="33"/>
      <c r="I10" s="33"/>
      <c r="J10" s="25"/>
      <c r="K10" s="25"/>
      <c r="L10" s="33"/>
      <c r="M10" s="33"/>
      <c r="N10" s="245"/>
    </row>
    <row r="11" spans="1:14" s="246" customFormat="1" ht="17.5">
      <c r="A11" s="238"/>
      <c r="B11" s="270"/>
      <c r="C11" s="270"/>
      <c r="D11" s="33"/>
      <c r="E11" s="25"/>
      <c r="F11" s="33"/>
      <c r="G11" s="25"/>
      <c r="H11" s="271"/>
      <c r="I11" s="271"/>
      <c r="J11" s="25"/>
      <c r="K11" s="33"/>
      <c r="L11" s="33"/>
      <c r="M11" s="33"/>
      <c r="N11" s="272"/>
    </row>
    <row r="12" spans="1:14" s="246" customFormat="1">
      <c r="A12" s="238"/>
      <c r="B12" s="33"/>
      <c r="C12" s="33"/>
      <c r="D12" s="25"/>
      <c r="E12" s="25"/>
      <c r="F12" s="25"/>
      <c r="G12" s="25"/>
      <c r="H12" s="273"/>
      <c r="I12" s="273"/>
      <c r="J12" s="25"/>
      <c r="K12" s="25"/>
      <c r="L12" s="33"/>
      <c r="M12" s="33"/>
      <c r="N12" s="272"/>
    </row>
    <row r="13" spans="1:14" s="246" customFormat="1" ht="18">
      <c r="A13" s="238"/>
      <c r="B13" s="274" t="s">
        <v>278</v>
      </c>
      <c r="C13" s="274"/>
      <c r="D13" s="25"/>
      <c r="E13" s="275"/>
      <c r="F13" s="275"/>
      <c r="G13" s="276"/>
      <c r="H13" s="277"/>
      <c r="I13" s="277"/>
      <c r="J13" s="278"/>
      <c r="K13" s="25"/>
      <c r="L13" s="33"/>
      <c r="M13" s="33"/>
      <c r="N13" s="272"/>
    </row>
    <row r="14" spans="1:14" s="246" customFormat="1" ht="12.75" customHeight="1">
      <c r="A14" s="238"/>
      <c r="B14" s="25" t="s">
        <v>279</v>
      </c>
      <c r="C14" s="944" t="s">
        <v>280</v>
      </c>
      <c r="E14" s="279"/>
      <c r="F14" s="280"/>
      <c r="G14" s="281"/>
      <c r="H14" s="281"/>
      <c r="I14" s="282"/>
      <c r="J14" s="277"/>
      <c r="K14" s="25"/>
      <c r="L14" s="33"/>
      <c r="M14" s="33"/>
      <c r="N14" s="272"/>
    </row>
    <row r="15" spans="1:14">
      <c r="A15" s="283"/>
      <c r="B15" s="45" t="s">
        <v>281</v>
      </c>
      <c r="C15" s="945" t="s">
        <v>43</v>
      </c>
      <c r="E15" s="25"/>
      <c r="F15" s="284"/>
      <c r="G15" s="285"/>
      <c r="H15" s="286"/>
      <c r="I15" s="285"/>
      <c r="J15" s="285"/>
      <c r="K15" s="25"/>
      <c r="L15" s="25"/>
      <c r="M15" s="25"/>
      <c r="N15" s="272"/>
    </row>
    <row r="16" spans="1:14" ht="13" thickBot="1">
      <c r="A16" s="283"/>
      <c r="B16" s="14"/>
      <c r="C16" s="73"/>
      <c r="D16" s="32" t="s">
        <v>534</v>
      </c>
      <c r="E16" s="32" t="s">
        <v>447</v>
      </c>
      <c r="F16" s="32" t="s">
        <v>449</v>
      </c>
      <c r="G16" s="32" t="s">
        <v>453</v>
      </c>
      <c r="H16" s="32" t="s">
        <v>448</v>
      </c>
      <c r="I16" s="32" t="s">
        <v>254</v>
      </c>
      <c r="J16" s="285"/>
      <c r="K16" s="25"/>
      <c r="L16" s="25"/>
      <c r="M16" s="25"/>
      <c r="N16" s="272"/>
    </row>
    <row r="17" spans="1:14" ht="13" thickBot="1">
      <c r="A17" s="283"/>
      <c r="D17" s="1038" t="s">
        <v>252</v>
      </c>
      <c r="E17" s="1039"/>
      <c r="F17" s="1039"/>
      <c r="G17" s="1038" t="s">
        <v>253</v>
      </c>
      <c r="H17" s="1039"/>
      <c r="I17" s="1040"/>
      <c r="J17" s="25"/>
      <c r="N17" s="272"/>
    </row>
    <row r="18" spans="1:14" ht="50">
      <c r="A18" s="283"/>
      <c r="B18" s="287" t="s">
        <v>283</v>
      </c>
      <c r="C18" s="288" t="s">
        <v>284</v>
      </c>
      <c r="D18" s="74" t="s">
        <v>535</v>
      </c>
      <c r="E18" s="74" t="s">
        <v>112</v>
      </c>
      <c r="F18" s="74" t="s">
        <v>113</v>
      </c>
      <c r="G18" s="75" t="s">
        <v>285</v>
      </c>
      <c r="H18" s="75" t="s">
        <v>112</v>
      </c>
      <c r="I18" s="75" t="s">
        <v>113</v>
      </c>
      <c r="J18" s="289" t="s">
        <v>286</v>
      </c>
      <c r="N18" s="272"/>
    </row>
    <row r="19" spans="1:14" ht="8.25" customHeight="1">
      <c r="A19" s="283"/>
      <c r="B19" s="290"/>
      <c r="C19" s="38"/>
      <c r="D19" s="32" t="s">
        <v>534</v>
      </c>
      <c r="E19" s="291" t="s">
        <v>447</v>
      </c>
      <c r="F19" s="291" t="s">
        <v>449</v>
      </c>
      <c r="G19" s="292" t="s">
        <v>453</v>
      </c>
      <c r="H19" s="293" t="s">
        <v>448</v>
      </c>
      <c r="I19" s="294" t="s">
        <v>254</v>
      </c>
      <c r="J19" s="295"/>
      <c r="N19" s="272"/>
    </row>
    <row r="20" spans="1:14" ht="25">
      <c r="A20" s="283"/>
      <c r="B20" s="290" t="s">
        <v>287</v>
      </c>
      <c r="C20" s="296" t="s">
        <v>423</v>
      </c>
      <c r="D20" s="92" t="s">
        <v>426</v>
      </c>
      <c r="E20" s="92" t="s">
        <v>427</v>
      </c>
      <c r="F20" s="92"/>
      <c r="G20" s="92" t="s">
        <v>424</v>
      </c>
      <c r="H20" s="92"/>
      <c r="I20" s="92"/>
      <c r="J20" s="297" t="s">
        <v>43</v>
      </c>
      <c r="K20" s="290"/>
      <c r="N20" s="272"/>
    </row>
    <row r="21" spans="1:14" ht="7.5" customHeight="1">
      <c r="A21" s="283"/>
      <c r="B21" s="290"/>
      <c r="C21" s="38"/>
      <c r="D21" s="6"/>
      <c r="E21" s="6"/>
      <c r="F21" s="6"/>
      <c r="G21" s="298"/>
      <c r="H21" s="6"/>
      <c r="I21" s="299"/>
      <c r="J21" s="6"/>
      <c r="K21" s="290"/>
      <c r="N21" s="272"/>
    </row>
    <row r="22" spans="1:14" ht="25.5" customHeight="1">
      <c r="A22" s="283"/>
      <c r="B22" s="290" t="s">
        <v>288</v>
      </c>
      <c r="C22" s="296" t="s">
        <v>520</v>
      </c>
      <c r="D22" s="92" t="s">
        <v>428</v>
      </c>
      <c r="E22" s="92" t="s">
        <v>429</v>
      </c>
      <c r="F22" s="92"/>
      <c r="G22" s="92" t="s">
        <v>425</v>
      </c>
      <c r="H22" s="92"/>
      <c r="I22" s="92"/>
      <c r="J22" s="297" t="s">
        <v>43</v>
      </c>
      <c r="K22" s="290"/>
      <c r="N22" s="272"/>
    </row>
    <row r="23" spans="1:14" ht="9" customHeight="1">
      <c r="A23" s="283"/>
      <c r="B23" s="76"/>
      <c r="C23" s="89"/>
      <c r="D23" s="90"/>
      <c r="E23" s="6"/>
      <c r="F23" s="300"/>
      <c r="G23" s="301"/>
      <c r="H23" s="6"/>
      <c r="I23" s="299"/>
      <c r="J23" s="295"/>
      <c r="N23" s="272"/>
    </row>
    <row r="24" spans="1:14" ht="13">
      <c r="A24" s="283"/>
      <c r="B24" s="302" t="s">
        <v>289</v>
      </c>
      <c r="C24" s="303"/>
      <c r="D24" s="92" t="str">
        <f>VLOOKUP($C$14,rating_21,12,FALSE)</f>
        <v>AA(dcr)</v>
      </c>
      <c r="E24" s="92" t="str">
        <f>VLOOKUP($C$14,rating_21,10,FALSE)</f>
        <v>F1+</v>
      </c>
      <c r="F24" s="92" t="str">
        <f>VLOOKUP($C$14,rating_21,11,FALSE)</f>
        <v>STABLE</v>
      </c>
      <c r="G24" s="92" t="str">
        <f>VLOOKUP($C$14,rating_21,2,FALSE)</f>
        <v>Aa2(cr)</v>
      </c>
      <c r="H24" s="92" t="str">
        <f>VLOOKUP($C$14,rating_21,5,FALSE)</f>
        <v>P-1</v>
      </c>
      <c r="I24" s="92" t="str">
        <f>VLOOKUP($C$14,rating_21,6,FALSE)</f>
        <v>STABLE</v>
      </c>
      <c r="J24" s="304"/>
      <c r="N24" s="272"/>
    </row>
    <row r="25" spans="1:14" ht="13.5" thickBot="1">
      <c r="A25" s="283"/>
      <c r="B25" s="305"/>
      <c r="C25" s="306"/>
      <c r="D25" s="77"/>
      <c r="E25" s="77"/>
      <c r="F25" s="77"/>
      <c r="G25" s="77"/>
      <c r="H25" s="77"/>
      <c r="I25" s="77"/>
      <c r="J25" s="307"/>
      <c r="N25" s="272"/>
    </row>
    <row r="26" spans="1:14" ht="13">
      <c r="A26" s="283"/>
      <c r="D26" s="78"/>
      <c r="E26" s="78"/>
      <c r="F26" s="78"/>
      <c r="G26" s="78"/>
      <c r="H26" s="78"/>
      <c r="I26" s="78"/>
      <c r="J26" s="78"/>
      <c r="K26" s="78"/>
      <c r="L26" s="78"/>
      <c r="M26" s="25"/>
      <c r="N26" s="272"/>
    </row>
    <row r="27" spans="1:14" ht="18">
      <c r="A27" s="283"/>
      <c r="B27" s="239" t="s">
        <v>290</v>
      </c>
      <c r="C27" s="239"/>
      <c r="D27" s="72"/>
      <c r="E27" s="274" t="s">
        <v>291</v>
      </c>
      <c r="G27" s="285"/>
      <c r="H27" s="286"/>
      <c r="I27" s="274" t="s">
        <v>292</v>
      </c>
      <c r="J27" s="73"/>
      <c r="K27" s="25"/>
      <c r="L27" s="25"/>
      <c r="M27" s="25"/>
      <c r="N27" s="272"/>
    </row>
    <row r="28" spans="1:14">
      <c r="A28" s="283"/>
      <c r="B28" s="25" t="s">
        <v>293</v>
      </c>
      <c r="C28" s="79" t="s">
        <v>294</v>
      </c>
      <c r="E28" s="308" t="s">
        <v>280</v>
      </c>
      <c r="G28" s="285"/>
      <c r="H28" s="286"/>
      <c r="I28" s="79" t="s">
        <v>295</v>
      </c>
      <c r="K28" s="25"/>
      <c r="L28" s="80" t="str">
        <f>C14</f>
        <v>DZ Bank AG</v>
      </c>
      <c r="M28" s="25"/>
      <c r="N28" s="272"/>
    </row>
    <row r="29" spans="1:14" ht="13">
      <c r="A29" s="283"/>
      <c r="B29" s="45" t="s">
        <v>296</v>
      </c>
      <c r="C29" s="927">
        <f>VLOOKUP("Swap_Notional_amount",calcdata_21,2,0)</f>
        <v>496008513.00351501</v>
      </c>
      <c r="E29" s="79" t="s">
        <v>297</v>
      </c>
      <c r="G29" s="310"/>
      <c r="H29" s="311"/>
      <c r="I29" s="79" t="s">
        <v>298</v>
      </c>
      <c r="K29" s="25"/>
      <c r="L29" s="80" t="str">
        <f>C14</f>
        <v>DZ Bank AG</v>
      </c>
      <c r="M29" s="25"/>
      <c r="N29" s="272"/>
    </row>
    <row r="30" spans="1:14">
      <c r="A30" s="283"/>
      <c r="B30" s="45" t="s">
        <v>299</v>
      </c>
      <c r="C30" s="939">
        <f>VLOOKUP("Fixed_Rate",calcdata_21,2,0)</f>
        <v>-2.3999999999999998E-3</v>
      </c>
      <c r="E30" s="79" t="s">
        <v>275</v>
      </c>
      <c r="G30" s="25"/>
      <c r="H30" s="33"/>
      <c r="I30" s="33"/>
      <c r="J30" s="25"/>
      <c r="K30" s="25"/>
      <c r="L30" s="25"/>
      <c r="M30" s="25"/>
      <c r="N30" s="272"/>
    </row>
    <row r="31" spans="1:14">
      <c r="A31" s="283"/>
      <c r="B31" s="45" t="s">
        <v>300</v>
      </c>
      <c r="C31" s="939">
        <f>VLOOKUP("Floating_Rate",calcdata_21,2,0)</f>
        <v>2.1229999999999999E-2</v>
      </c>
      <c r="E31" s="79" t="s">
        <v>276</v>
      </c>
      <c r="G31" s="25"/>
      <c r="H31" s="33"/>
      <c r="I31" s="33"/>
      <c r="J31" s="25"/>
      <c r="K31" s="25"/>
      <c r="L31" s="25"/>
      <c r="M31" s="25"/>
      <c r="N31" s="272"/>
    </row>
    <row r="32" spans="1:14">
      <c r="A32" s="283"/>
      <c r="B32" s="45" t="s">
        <v>301</v>
      </c>
      <c r="C32" s="979">
        <f>VLOOKUP("Net_Swap_Payments",calcdata_21,2,0)</f>
        <v>-1074395.77</v>
      </c>
      <c r="E32" s="79" t="s">
        <v>205</v>
      </c>
      <c r="G32" s="25"/>
      <c r="H32" s="33"/>
      <c r="I32" s="33"/>
      <c r="J32" s="25"/>
      <c r="K32" s="25"/>
      <c r="L32" s="25"/>
      <c r="M32" s="25"/>
      <c r="N32" s="272"/>
    </row>
    <row r="33" spans="1:14">
      <c r="A33" s="283"/>
      <c r="B33" s="45" t="s">
        <v>302</v>
      </c>
      <c r="C33" s="979">
        <f>VLOOKUP("Swap_Notional_amount_next",calcdata_21,2,0)</f>
        <v>475903320.75351501</v>
      </c>
      <c r="D33" s="25"/>
      <c r="E33" s="25" t="s">
        <v>541</v>
      </c>
      <c r="G33" s="25"/>
      <c r="H33" s="25"/>
      <c r="I33" s="25"/>
      <c r="J33" s="25"/>
      <c r="K33" s="25"/>
      <c r="L33" s="25"/>
      <c r="M33" s="25"/>
      <c r="N33" s="272"/>
    </row>
    <row r="34" spans="1:14">
      <c r="A34" s="283"/>
      <c r="B34" s="14"/>
      <c r="F34" s="25"/>
      <c r="G34" s="25"/>
      <c r="H34" s="25"/>
      <c r="I34" s="25"/>
      <c r="J34" s="25"/>
      <c r="K34" s="25"/>
      <c r="L34" s="25"/>
      <c r="M34" s="25"/>
      <c r="N34" s="272"/>
    </row>
    <row r="35" spans="1:14" ht="18">
      <c r="A35" s="283"/>
      <c r="B35" s="274" t="s">
        <v>303</v>
      </c>
      <c r="C35" s="312"/>
      <c r="F35" s="25"/>
      <c r="G35" s="25"/>
      <c r="H35" s="25"/>
      <c r="I35" s="25"/>
      <c r="J35" s="25"/>
      <c r="K35" s="25"/>
      <c r="L35" s="25"/>
      <c r="M35" s="25"/>
      <c r="N35" s="272"/>
    </row>
    <row r="36" spans="1:14">
      <c r="A36" s="283"/>
      <c r="B36" s="237" t="s">
        <v>304</v>
      </c>
      <c r="C36" s="309">
        <v>0</v>
      </c>
      <c r="E36" s="61"/>
      <c r="F36" s="61"/>
      <c r="G36" s="61"/>
      <c r="H36" s="61"/>
      <c r="I36" s="61"/>
      <c r="J36" s="61"/>
      <c r="K36" s="61"/>
      <c r="L36" s="61"/>
      <c r="M36" s="25"/>
      <c r="N36" s="272"/>
    </row>
    <row r="37" spans="1:14">
      <c r="A37" s="283"/>
      <c r="B37" s="33" t="s">
        <v>84</v>
      </c>
      <c r="C37" s="309">
        <v>0</v>
      </c>
      <c r="F37" s="25"/>
      <c r="G37" s="25"/>
      <c r="H37" s="25"/>
      <c r="I37" s="25"/>
      <c r="J37" s="25"/>
      <c r="K37" s="25"/>
      <c r="L37" s="25"/>
      <c r="M37" s="25"/>
      <c r="N37" s="272"/>
    </row>
    <row r="38" spans="1:14">
      <c r="A38" s="283"/>
      <c r="B38" s="33" t="s">
        <v>85</v>
      </c>
      <c r="C38" s="309">
        <v>0</v>
      </c>
      <c r="D38" s="13"/>
      <c r="E38" s="196"/>
      <c r="F38" s="13"/>
      <c r="G38" s="197"/>
      <c r="H38" s="198"/>
      <c r="I38" s="197"/>
      <c r="J38" s="278"/>
      <c r="K38" s="25"/>
      <c r="L38" s="25"/>
      <c r="M38" s="25"/>
      <c r="N38" s="313"/>
    </row>
    <row r="39" spans="1:14" s="25" customFormat="1">
      <c r="A39" s="283"/>
      <c r="B39" s="237" t="s">
        <v>14</v>
      </c>
      <c r="C39" s="309">
        <v>0</v>
      </c>
      <c r="D39" s="6"/>
      <c r="E39" s="6"/>
      <c r="F39" s="6"/>
      <c r="G39" s="197"/>
      <c r="H39" s="198"/>
      <c r="I39" s="197"/>
      <c r="J39" s="278"/>
      <c r="N39" s="313"/>
    </row>
    <row r="40" spans="1:14" s="25" customFormat="1">
      <c r="A40" s="283"/>
      <c r="B40" s="14"/>
      <c r="C40" s="14"/>
      <c r="D40" s="13"/>
      <c r="E40" s="196"/>
      <c r="F40" s="13"/>
      <c r="G40" s="197"/>
      <c r="H40" s="198"/>
      <c r="I40" s="197"/>
      <c r="J40" s="278"/>
      <c r="N40" s="313"/>
    </row>
    <row r="41" spans="1:14" s="33" customFormat="1" ht="15" customHeight="1">
      <c r="A41" s="314"/>
      <c r="B41" s="40" t="str">
        <f>'24. Santander Consumer Bank'!B36</f>
        <v>Ratings as of 31.05.2025, data source: Bloomberg</v>
      </c>
      <c r="C41" s="29"/>
      <c r="D41" s="1041" t="s">
        <v>533</v>
      </c>
      <c r="E41" s="1042"/>
      <c r="F41" s="1042"/>
      <c r="G41" s="1042"/>
      <c r="H41" s="1042"/>
      <c r="I41" s="315"/>
      <c r="J41" s="316"/>
      <c r="K41" s="317"/>
      <c r="L41" s="317"/>
      <c r="M41" s="317"/>
      <c r="N41" s="318"/>
    </row>
    <row r="42" spans="1:14" s="33" customFormat="1">
      <c r="B42" s="14"/>
      <c r="C42" s="14"/>
      <c r="D42" s="13"/>
      <c r="E42" s="196"/>
      <c r="F42" s="13"/>
      <c r="G42" s="197"/>
      <c r="H42" s="198"/>
      <c r="I42" s="197"/>
      <c r="J42" s="269"/>
    </row>
    <row r="43" spans="1:14" s="25" customFormat="1">
      <c r="B43" s="14"/>
      <c r="C43" s="14"/>
      <c r="D43" s="13"/>
      <c r="E43" s="196"/>
      <c r="F43" s="13"/>
      <c r="G43" s="197"/>
      <c r="H43" s="198"/>
      <c r="I43" s="197"/>
      <c r="J43" s="278"/>
    </row>
    <row r="44" spans="1:14" s="25" customFormat="1">
      <c r="B44" s="14"/>
      <c r="C44" s="14"/>
      <c r="D44" s="13"/>
      <c r="E44" s="196"/>
      <c r="F44" s="13"/>
      <c r="G44" s="197"/>
      <c r="H44" s="198"/>
      <c r="I44" s="197"/>
      <c r="J44" s="278"/>
    </row>
    <row r="45" spans="1:14" s="25" customFormat="1">
      <c r="B45" s="14"/>
      <c r="C45" s="14"/>
      <c r="D45" s="13"/>
      <c r="E45" s="196"/>
      <c r="F45" s="13"/>
      <c r="G45" s="197"/>
      <c r="H45" s="198"/>
      <c r="I45" s="197"/>
      <c r="J45" s="278"/>
    </row>
    <row r="46" spans="1:14" s="25" customFormat="1">
      <c r="B46" s="14"/>
      <c r="C46" s="14"/>
      <c r="D46" s="13"/>
      <c r="E46" s="196"/>
      <c r="F46" s="13"/>
      <c r="G46" s="197"/>
      <c r="H46" s="198"/>
      <c r="I46" s="197"/>
      <c r="J46" s="278"/>
    </row>
    <row r="47" spans="1:14" s="25" customFormat="1">
      <c r="B47" s="14"/>
      <c r="C47" s="14"/>
      <c r="D47" s="13"/>
      <c r="E47" s="196"/>
      <c r="F47" s="13"/>
      <c r="G47" s="197"/>
      <c r="H47" s="198"/>
      <c r="I47" s="197"/>
      <c r="J47" s="278"/>
    </row>
    <row r="48" spans="1:14" s="25" customFormat="1">
      <c r="B48" s="14"/>
      <c r="C48" s="14"/>
      <c r="D48" s="13"/>
      <c r="E48" s="196"/>
      <c r="F48" s="13"/>
      <c r="G48" s="197"/>
      <c r="H48" s="198"/>
      <c r="I48" s="197"/>
      <c r="J48" s="278"/>
    </row>
    <row r="49" spans="2:10" s="25" customFormat="1">
      <c r="B49" s="14"/>
      <c r="C49" s="14"/>
      <c r="D49" s="13"/>
      <c r="E49" s="196"/>
      <c r="F49" s="13"/>
      <c r="G49" s="197"/>
      <c r="H49" s="198"/>
      <c r="I49" s="197"/>
      <c r="J49" s="278"/>
    </row>
    <row r="50" spans="2:10" s="25" customFormat="1">
      <c r="B50" s="14"/>
      <c r="C50" s="14"/>
      <c r="D50" s="13"/>
      <c r="E50" s="196"/>
      <c r="F50" s="13"/>
      <c r="G50" s="197"/>
      <c r="H50" s="198"/>
      <c r="I50" s="197"/>
      <c r="J50" s="278"/>
    </row>
    <row r="51" spans="2:10" s="25" customFormat="1" ht="18">
      <c r="B51" s="14"/>
      <c r="C51" s="14"/>
      <c r="D51" s="13"/>
      <c r="E51" s="239"/>
      <c r="F51" s="13"/>
      <c r="G51" s="197"/>
      <c r="H51" s="198"/>
      <c r="I51" s="197"/>
      <c r="J51" s="278"/>
    </row>
    <row r="52" spans="2:10" s="25" customFormat="1">
      <c r="B52" s="14"/>
      <c r="C52" s="14"/>
      <c r="D52" s="13"/>
      <c r="E52" s="196"/>
      <c r="F52" s="13"/>
      <c r="G52" s="197"/>
      <c r="H52" s="198"/>
      <c r="I52" s="197"/>
      <c r="J52" s="278"/>
    </row>
    <row r="53" spans="2:10" s="25" customFormat="1">
      <c r="B53" s="14"/>
      <c r="C53" s="14"/>
      <c r="D53" s="13"/>
      <c r="E53" s="196"/>
      <c r="F53" s="13"/>
      <c r="G53" s="197"/>
      <c r="H53" s="198"/>
      <c r="I53" s="197"/>
      <c r="J53" s="278"/>
    </row>
    <row r="54" spans="2:10" s="25" customFormat="1">
      <c r="B54" s="14"/>
      <c r="C54" s="14"/>
      <c r="D54" s="13"/>
      <c r="E54" s="196"/>
      <c r="F54" s="13"/>
      <c r="G54" s="197"/>
      <c r="H54" s="198"/>
      <c r="I54" s="197"/>
      <c r="J54" s="278"/>
    </row>
    <row r="55" spans="2:10" s="25" customFormat="1">
      <c r="B55" s="14"/>
      <c r="C55" s="14"/>
      <c r="D55" s="13"/>
      <c r="E55" s="196"/>
      <c r="F55" s="13"/>
      <c r="G55" s="197"/>
      <c r="H55" s="198"/>
      <c r="I55" s="197"/>
      <c r="J55" s="278"/>
    </row>
    <row r="56" spans="2:10" s="25" customFormat="1">
      <c r="B56" s="14"/>
      <c r="C56" s="14"/>
      <c r="D56" s="13"/>
      <c r="E56" s="196"/>
      <c r="F56" s="13"/>
      <c r="G56" s="197"/>
      <c r="H56" s="198"/>
      <c r="I56" s="197"/>
      <c r="J56" s="278"/>
    </row>
    <row r="57" spans="2:10" s="25" customFormat="1">
      <c r="B57" s="14"/>
      <c r="C57" s="14"/>
      <c r="D57" s="13"/>
      <c r="E57" s="196"/>
      <c r="F57" s="13"/>
      <c r="G57" s="197"/>
      <c r="H57" s="198"/>
      <c r="I57" s="197"/>
      <c r="J57" s="278"/>
    </row>
    <row r="58" spans="2:10" s="25" customFormat="1">
      <c r="B58" s="14"/>
      <c r="C58" s="14"/>
      <c r="D58" s="13"/>
      <c r="E58" s="196"/>
      <c r="F58" s="13"/>
      <c r="G58" s="197"/>
      <c r="H58" s="198"/>
      <c r="I58" s="197"/>
      <c r="J58" s="278"/>
    </row>
    <row r="59" spans="2:10" s="25" customFormat="1">
      <c r="B59" s="14"/>
      <c r="C59" s="14"/>
      <c r="D59" s="13"/>
      <c r="E59" s="196"/>
      <c r="F59" s="13"/>
      <c r="G59" s="197"/>
      <c r="H59" s="198"/>
      <c r="I59" s="197"/>
      <c r="J59" s="278"/>
    </row>
    <row r="60" spans="2:10" s="25" customFormat="1">
      <c r="B60" s="14"/>
      <c r="C60" s="14"/>
      <c r="D60" s="13"/>
      <c r="E60" s="196"/>
      <c r="F60" s="13"/>
      <c r="G60" s="197"/>
      <c r="H60" s="198"/>
      <c r="I60" s="197"/>
      <c r="J60" s="278"/>
    </row>
    <row r="61" spans="2:10" s="25" customFormat="1">
      <c r="B61" s="14"/>
      <c r="C61" s="14"/>
      <c r="D61" s="13"/>
      <c r="E61" s="196"/>
      <c r="F61" s="13"/>
      <c r="G61" s="197"/>
      <c r="H61" s="198"/>
      <c r="I61" s="197"/>
      <c r="J61" s="278"/>
    </row>
    <row r="62" spans="2:10" s="25" customFormat="1">
      <c r="B62" s="14"/>
      <c r="C62" s="14"/>
      <c r="D62" s="13"/>
      <c r="E62" s="196"/>
      <c r="F62" s="13"/>
      <c r="G62" s="197"/>
      <c r="H62" s="198"/>
      <c r="I62" s="197"/>
      <c r="J62" s="278"/>
    </row>
    <row r="63" spans="2:10" s="25" customFormat="1">
      <c r="B63" s="14"/>
      <c r="C63" s="14"/>
      <c r="D63" s="13"/>
      <c r="E63" s="196"/>
      <c r="F63" s="13"/>
      <c r="G63" s="197"/>
      <c r="H63" s="198"/>
      <c r="I63" s="197"/>
      <c r="J63" s="278"/>
    </row>
    <row r="64" spans="2:10" s="25" customFormat="1">
      <c r="B64" s="14"/>
      <c r="C64" s="14"/>
      <c r="D64" s="13"/>
      <c r="E64" s="196"/>
      <c r="F64" s="13"/>
      <c r="G64" s="197"/>
      <c r="H64" s="198"/>
      <c r="I64" s="197"/>
      <c r="J64" s="278"/>
    </row>
    <row r="65" spans="2:10" s="25" customFormat="1">
      <c r="B65" s="14"/>
      <c r="C65" s="14"/>
      <c r="D65" s="13"/>
      <c r="E65" s="196"/>
      <c r="F65" s="13"/>
      <c r="G65" s="197"/>
      <c r="H65" s="198"/>
      <c r="I65" s="197"/>
      <c r="J65" s="278"/>
    </row>
    <row r="66" spans="2:10" s="25" customFormat="1">
      <c r="B66" s="14"/>
      <c r="C66" s="14"/>
      <c r="D66" s="13"/>
      <c r="E66" s="196"/>
      <c r="F66" s="13"/>
      <c r="G66" s="197"/>
      <c r="H66" s="198"/>
      <c r="I66" s="197"/>
      <c r="J66" s="278"/>
    </row>
    <row r="67" spans="2:10" s="25" customFormat="1">
      <c r="B67" s="14"/>
      <c r="C67" s="14"/>
      <c r="D67" s="13"/>
      <c r="E67" s="196"/>
      <c r="F67" s="13"/>
      <c r="G67" s="197"/>
      <c r="H67" s="198"/>
      <c r="I67" s="197"/>
      <c r="J67" s="278"/>
    </row>
    <row r="68" spans="2:10" s="25" customFormat="1">
      <c r="B68" s="14"/>
      <c r="C68" s="14"/>
      <c r="D68" s="13"/>
      <c r="E68" s="196"/>
      <c r="F68" s="13"/>
      <c r="G68" s="197"/>
      <c r="H68" s="198"/>
      <c r="I68" s="197"/>
      <c r="J68" s="278"/>
    </row>
    <row r="69" spans="2:10" s="25" customFormat="1">
      <c r="B69" s="14"/>
      <c r="C69" s="14"/>
      <c r="D69" s="13"/>
      <c r="E69" s="196"/>
      <c r="F69" s="13"/>
      <c r="G69" s="197"/>
      <c r="H69" s="198"/>
      <c r="I69" s="197"/>
      <c r="J69" s="278"/>
    </row>
    <row r="70" spans="2:10" s="25" customFormat="1">
      <c r="B70" s="14"/>
      <c r="C70" s="14"/>
      <c r="D70" s="13"/>
      <c r="E70" s="196"/>
      <c r="F70" s="13"/>
      <c r="G70" s="197"/>
      <c r="H70" s="198"/>
      <c r="I70" s="197"/>
      <c r="J70" s="278"/>
    </row>
    <row r="71" spans="2:10" s="25" customFormat="1">
      <c r="B71" s="14"/>
      <c r="C71" s="14"/>
      <c r="D71" s="13"/>
      <c r="E71" s="319"/>
      <c r="F71" s="320"/>
      <c r="G71" s="231"/>
      <c r="H71" s="321"/>
      <c r="I71" s="231"/>
      <c r="J71" s="278"/>
    </row>
    <row r="72" spans="2:10" s="25" customFormat="1">
      <c r="B72" s="14"/>
      <c r="C72" s="14"/>
      <c r="D72" s="13"/>
      <c r="E72" s="319"/>
      <c r="F72" s="319"/>
      <c r="G72" s="319"/>
      <c r="H72" s="319"/>
      <c r="I72" s="319"/>
      <c r="J72" s="278"/>
    </row>
    <row r="73" spans="2:10" s="25" customFormat="1">
      <c r="B73" s="14"/>
      <c r="C73" s="14"/>
      <c r="D73" s="13"/>
      <c r="E73" s="319"/>
      <c r="F73" s="319"/>
      <c r="G73" s="319"/>
      <c r="H73" s="319"/>
      <c r="I73" s="319"/>
      <c r="J73" s="278"/>
    </row>
    <row r="74" spans="2:10" s="25" customFormat="1">
      <c r="B74" s="14"/>
      <c r="C74" s="14"/>
      <c r="D74" s="13"/>
      <c r="E74" s="203"/>
      <c r="F74" s="232"/>
      <c r="G74" s="319"/>
      <c r="H74" s="319"/>
      <c r="I74" s="319"/>
      <c r="J74" s="278"/>
    </row>
    <row r="75" spans="2:10" s="25" customFormat="1">
      <c r="B75" s="14"/>
      <c r="C75" s="14"/>
      <c r="D75" s="13"/>
      <c r="E75" s="320"/>
      <c r="F75" s="232"/>
      <c r="G75" s="319"/>
      <c r="H75" s="319"/>
      <c r="I75" s="319"/>
      <c r="J75" s="278"/>
    </row>
    <row r="76" spans="2:10" s="25" customFormat="1">
      <c r="B76" s="14"/>
      <c r="C76" s="14"/>
      <c r="D76" s="13"/>
      <c r="E76" s="319"/>
      <c r="F76" s="232"/>
      <c r="G76" s="319"/>
      <c r="H76" s="319"/>
      <c r="I76" s="319"/>
      <c r="J76" s="278"/>
    </row>
    <row r="77" spans="2:10" s="25" customFormat="1" ht="14">
      <c r="B77" s="14"/>
      <c r="C77" s="319"/>
      <c r="D77" s="320"/>
      <c r="E77" s="322"/>
      <c r="F77" s="322"/>
      <c r="G77" s="322"/>
      <c r="H77" s="322"/>
      <c r="I77" s="322"/>
      <c r="J77" s="278"/>
    </row>
    <row r="78" spans="2:10" s="25" customFormat="1" ht="14">
      <c r="B78" s="319"/>
      <c r="C78" s="33"/>
      <c r="D78" s="33"/>
      <c r="E78" s="322"/>
      <c r="F78" s="322"/>
      <c r="G78" s="322"/>
      <c r="H78" s="322"/>
      <c r="I78" s="322"/>
      <c r="J78" s="278"/>
    </row>
    <row r="79" spans="2:10" s="25" customFormat="1" ht="14">
      <c r="B79" s="33"/>
      <c r="C79" s="33"/>
      <c r="D79" s="33"/>
      <c r="E79" s="206"/>
      <c r="F79" s="233"/>
      <c r="G79" s="322"/>
      <c r="H79" s="322"/>
      <c r="I79" s="322"/>
      <c r="J79" s="278"/>
    </row>
    <row r="80" spans="2:10" s="25" customFormat="1" ht="14">
      <c r="B80" s="33"/>
      <c r="C80" s="203"/>
      <c r="D80" s="232"/>
      <c r="E80" s="323"/>
      <c r="F80" s="233"/>
      <c r="G80" s="322"/>
      <c r="H80" s="322"/>
      <c r="I80" s="322"/>
      <c r="J80" s="278"/>
    </row>
    <row r="81" spans="2:10" s="25" customFormat="1" ht="14">
      <c r="B81" s="203"/>
      <c r="C81" s="324"/>
      <c r="D81" s="232"/>
      <c r="E81" s="322"/>
      <c r="F81" s="233"/>
      <c r="G81" s="322"/>
      <c r="H81" s="322"/>
      <c r="I81" s="322"/>
      <c r="J81" s="278"/>
    </row>
    <row r="82" spans="2:10" s="25" customFormat="1">
      <c r="B82" s="324"/>
      <c r="D82" s="232"/>
      <c r="J82" s="278"/>
    </row>
    <row r="83" spans="2:10" s="25" customFormat="1">
      <c r="J83" s="278"/>
    </row>
    <row r="84" spans="2:10" s="25" customFormat="1">
      <c r="J84" s="278"/>
    </row>
    <row r="85" spans="2:10" s="25" customFormat="1">
      <c r="J85" s="278"/>
    </row>
    <row r="86" spans="2:10" s="25" customFormat="1">
      <c r="J86" s="278"/>
    </row>
    <row r="87" spans="2:10" s="25" customFormat="1">
      <c r="J87" s="278"/>
    </row>
    <row r="88" spans="2:10" s="25" customFormat="1">
      <c r="J88" s="278"/>
    </row>
    <row r="89" spans="2:10" s="25" customFormat="1">
      <c r="J89" s="278"/>
    </row>
    <row r="90" spans="2:10" s="25" customFormat="1">
      <c r="J90" s="278"/>
    </row>
    <row r="91" spans="2:10" s="25" customFormat="1">
      <c r="J91" s="278"/>
    </row>
    <row r="92" spans="2:10" s="25" customFormat="1">
      <c r="J92" s="278"/>
    </row>
    <row r="93" spans="2:10" s="25" customFormat="1">
      <c r="J93" s="278"/>
    </row>
    <row r="94" spans="2:10" s="25" customFormat="1">
      <c r="J94" s="278"/>
    </row>
    <row r="95" spans="2:10" s="25" customFormat="1">
      <c r="J95" s="278"/>
    </row>
    <row r="96" spans="2:10" s="25" customFormat="1">
      <c r="J96" s="278"/>
    </row>
    <row r="97" spans="10:10" s="25" customFormat="1">
      <c r="J97" s="278"/>
    </row>
    <row r="98" spans="10:10" s="25" customFormat="1">
      <c r="J98" s="278"/>
    </row>
    <row r="99" spans="10:10" s="25" customFormat="1">
      <c r="J99" s="278"/>
    </row>
    <row r="100" spans="10:10" s="25" customFormat="1">
      <c r="J100" s="278"/>
    </row>
    <row r="101" spans="10:10" s="25" customFormat="1">
      <c r="J101" s="278"/>
    </row>
    <row r="102" spans="10:10" s="25" customFormat="1">
      <c r="J102" s="278"/>
    </row>
    <row r="103" spans="10:10" s="25" customFormat="1">
      <c r="J103" s="278"/>
    </row>
    <row r="104" spans="10:10" s="25" customFormat="1">
      <c r="J104" s="278"/>
    </row>
    <row r="105" spans="10:10" s="25" customFormat="1">
      <c r="J105" s="278"/>
    </row>
    <row r="106" spans="10:10" s="25" customFormat="1">
      <c r="J106" s="278"/>
    </row>
    <row r="107" spans="10:10" s="25" customFormat="1">
      <c r="J107" s="278"/>
    </row>
    <row r="108" spans="10:10" s="25" customFormat="1">
      <c r="J108" s="278"/>
    </row>
    <row r="109" spans="10:10" s="25" customFormat="1">
      <c r="J109" s="278"/>
    </row>
    <row r="110" spans="10:10" s="25" customFormat="1">
      <c r="J110" s="278"/>
    </row>
    <row r="111" spans="10:10" s="25" customFormat="1">
      <c r="J111" s="278"/>
    </row>
    <row r="112" spans="10:10" s="25" customFormat="1">
      <c r="J112" s="278"/>
    </row>
    <row r="113" spans="10:10" s="25" customFormat="1">
      <c r="J113" s="278"/>
    </row>
    <row r="114" spans="10:10" s="25" customFormat="1">
      <c r="J114" s="278"/>
    </row>
    <row r="115" spans="10:10" s="25" customFormat="1">
      <c r="J115" s="278"/>
    </row>
    <row r="116" spans="10:10" s="25" customFormat="1">
      <c r="J116" s="278"/>
    </row>
    <row r="117" spans="10:10" s="25" customFormat="1">
      <c r="J117" s="278"/>
    </row>
    <row r="118" spans="10:10" s="25" customFormat="1">
      <c r="J118" s="278"/>
    </row>
    <row r="119" spans="10:10" s="25" customFormat="1">
      <c r="J119" s="278"/>
    </row>
    <row r="120" spans="10:10" s="25" customFormat="1">
      <c r="J120" s="278"/>
    </row>
    <row r="121" spans="10:10" s="25" customFormat="1">
      <c r="J121" s="278"/>
    </row>
    <row r="122" spans="10:10" s="25" customFormat="1">
      <c r="J122" s="278"/>
    </row>
    <row r="123" spans="10:10" s="25" customFormat="1">
      <c r="J123" s="278"/>
    </row>
    <row r="124" spans="10:10" s="25" customFormat="1">
      <c r="J124" s="278"/>
    </row>
    <row r="125" spans="10:10" s="25" customFormat="1">
      <c r="J125" s="278"/>
    </row>
    <row r="126" spans="10:10" s="25" customFormat="1">
      <c r="J126" s="278"/>
    </row>
    <row r="127" spans="10:10" s="25" customFormat="1">
      <c r="J127" s="278"/>
    </row>
    <row r="128" spans="10:10" s="25" customFormat="1">
      <c r="J128" s="278"/>
    </row>
    <row r="129" spans="10:10" s="25" customFormat="1">
      <c r="J129" s="278"/>
    </row>
    <row r="130" spans="10:10" s="25" customFormat="1">
      <c r="J130" s="278"/>
    </row>
    <row r="131" spans="10:10" s="25" customFormat="1">
      <c r="J131" s="278"/>
    </row>
    <row r="132" spans="10:10" s="25" customFormat="1">
      <c r="J132" s="278"/>
    </row>
    <row r="133" spans="10:10" s="25" customFormat="1">
      <c r="J133" s="278"/>
    </row>
    <row r="134" spans="10:10" s="25" customFormat="1">
      <c r="J134" s="278"/>
    </row>
    <row r="135" spans="10:10" s="25" customFormat="1">
      <c r="J135" s="278"/>
    </row>
    <row r="136" spans="10:10" s="25" customFormat="1">
      <c r="J136" s="278"/>
    </row>
    <row r="137" spans="10:10" s="25" customFormat="1">
      <c r="J137" s="278"/>
    </row>
    <row r="138" spans="10:10" s="25" customFormat="1">
      <c r="J138" s="278"/>
    </row>
    <row r="139" spans="10:10" s="25" customFormat="1">
      <c r="J139" s="278"/>
    </row>
    <row r="140" spans="10:10" s="25" customFormat="1">
      <c r="J140" s="278"/>
    </row>
    <row r="141" spans="10:10" s="25" customFormat="1">
      <c r="J141" s="278"/>
    </row>
    <row r="142" spans="10:10" s="25" customFormat="1">
      <c r="J142" s="278"/>
    </row>
    <row r="143" spans="10:10" s="25" customFormat="1">
      <c r="J143" s="278"/>
    </row>
    <row r="144" spans="10:10" s="25" customFormat="1">
      <c r="J144" s="278"/>
    </row>
    <row r="145" spans="10:10" s="25" customFormat="1">
      <c r="J145" s="278"/>
    </row>
    <row r="146" spans="10:10" s="25" customFormat="1">
      <c r="J146" s="278"/>
    </row>
    <row r="147" spans="10:10" s="25" customFormat="1">
      <c r="J147" s="278"/>
    </row>
    <row r="148" spans="10:10" s="25" customFormat="1">
      <c r="J148" s="278"/>
    </row>
    <row r="149" spans="10:10" s="25" customFormat="1">
      <c r="J149" s="278"/>
    </row>
    <row r="150" spans="10:10" s="25" customFormat="1">
      <c r="J150" s="278"/>
    </row>
    <row r="151" spans="10:10" s="25" customFormat="1">
      <c r="J151" s="278"/>
    </row>
    <row r="152" spans="10:10" s="25" customFormat="1">
      <c r="J152" s="278"/>
    </row>
    <row r="153" spans="10:10" s="25" customFormat="1">
      <c r="J153" s="278"/>
    </row>
    <row r="154" spans="10:10" s="25" customFormat="1">
      <c r="J154" s="278"/>
    </row>
    <row r="155" spans="10:10" s="25" customFormat="1">
      <c r="J155" s="278"/>
    </row>
    <row r="156" spans="10:10" s="25" customFormat="1">
      <c r="J156" s="278"/>
    </row>
    <row r="157" spans="10:10" s="25" customFormat="1">
      <c r="J157" s="278"/>
    </row>
    <row r="158" spans="10:10" s="25" customFormat="1">
      <c r="J158" s="278"/>
    </row>
    <row r="159" spans="10:10" s="25" customFormat="1">
      <c r="J159" s="278"/>
    </row>
    <row r="160" spans="10:10" s="25" customFormat="1">
      <c r="J160" s="278"/>
    </row>
    <row r="161" spans="10:10" s="25" customFormat="1">
      <c r="J161" s="278"/>
    </row>
    <row r="162" spans="10:10" s="25" customFormat="1">
      <c r="J162" s="278"/>
    </row>
    <row r="163" spans="10:10" s="25" customFormat="1">
      <c r="J163" s="278"/>
    </row>
    <row r="164" spans="10:10" s="25" customFormat="1">
      <c r="J164" s="278"/>
    </row>
    <row r="165" spans="10:10" s="25" customFormat="1">
      <c r="J165" s="278"/>
    </row>
    <row r="166" spans="10:10" s="25" customFormat="1">
      <c r="J166" s="278"/>
    </row>
    <row r="167" spans="10:10" s="25" customFormat="1">
      <c r="J167" s="278"/>
    </row>
    <row r="168" spans="10:10" s="25" customFormat="1">
      <c r="J168" s="278"/>
    </row>
    <row r="169" spans="10:10" s="25" customFormat="1">
      <c r="J169" s="278"/>
    </row>
    <row r="170" spans="10:10" s="25" customFormat="1">
      <c r="J170" s="278"/>
    </row>
    <row r="171" spans="10:10" s="25" customFormat="1">
      <c r="J171" s="278"/>
    </row>
    <row r="172" spans="10:10" s="25" customFormat="1">
      <c r="J172" s="278"/>
    </row>
    <row r="173" spans="10:10" s="25" customFormat="1">
      <c r="J173" s="278"/>
    </row>
    <row r="174" spans="10:10" s="25" customFormat="1">
      <c r="J174" s="278"/>
    </row>
    <row r="175" spans="10:10" s="25" customFormat="1">
      <c r="J175" s="278"/>
    </row>
    <row r="176" spans="10:10" s="25" customFormat="1">
      <c r="J176" s="278"/>
    </row>
    <row r="177" spans="10:10" s="25" customFormat="1">
      <c r="J177" s="278"/>
    </row>
    <row r="178" spans="10:10" s="25" customFormat="1">
      <c r="J178" s="278"/>
    </row>
    <row r="179" spans="10:10" s="25" customFormat="1">
      <c r="J179" s="278"/>
    </row>
    <row r="180" spans="10:10" s="25" customFormat="1">
      <c r="J180" s="278"/>
    </row>
    <row r="181" spans="10:10" s="25" customFormat="1">
      <c r="J181" s="278"/>
    </row>
    <row r="182" spans="10:10" s="25" customFormat="1">
      <c r="J182" s="278"/>
    </row>
    <row r="183" spans="10:10" s="25" customFormat="1">
      <c r="J183" s="278"/>
    </row>
    <row r="184" spans="10:10" s="25" customFormat="1">
      <c r="J184" s="278"/>
    </row>
    <row r="185" spans="10:10" s="25" customFormat="1">
      <c r="J185" s="278"/>
    </row>
    <row r="186" spans="10:10" s="25" customFormat="1">
      <c r="J186" s="278"/>
    </row>
    <row r="187" spans="10:10" s="25" customFormat="1">
      <c r="J187" s="278"/>
    </row>
    <row r="188" spans="10:10" s="25" customFormat="1">
      <c r="J188" s="278"/>
    </row>
    <row r="189" spans="10:10" s="25" customFormat="1">
      <c r="J189" s="278"/>
    </row>
    <row r="190" spans="10:10" s="25" customFormat="1">
      <c r="J190" s="278"/>
    </row>
    <row r="191" spans="10:10" s="25" customFormat="1">
      <c r="J191" s="278"/>
    </row>
    <row r="192" spans="10:10" s="25" customFormat="1">
      <c r="J192" s="278"/>
    </row>
    <row r="193" spans="10:10" s="25" customFormat="1">
      <c r="J193" s="278"/>
    </row>
    <row r="194" spans="10:10" s="25" customFormat="1">
      <c r="J194" s="278"/>
    </row>
    <row r="195" spans="10:10" s="25" customFormat="1">
      <c r="J195" s="278"/>
    </row>
    <row r="196" spans="10:10" s="25" customFormat="1">
      <c r="J196" s="278"/>
    </row>
    <row r="197" spans="10:10" s="25" customFormat="1">
      <c r="J197" s="278"/>
    </row>
    <row r="198" spans="10:10" s="25" customFormat="1">
      <c r="J198" s="278"/>
    </row>
    <row r="199" spans="10:10" s="25" customFormat="1">
      <c r="J199" s="278"/>
    </row>
    <row r="200" spans="10:10" s="25" customFormat="1">
      <c r="J200" s="278"/>
    </row>
    <row r="201" spans="10:10" s="25" customFormat="1">
      <c r="J201" s="278"/>
    </row>
    <row r="202" spans="10:10" s="25" customFormat="1">
      <c r="J202" s="278"/>
    </row>
    <row r="203" spans="10:10" s="25" customFormat="1">
      <c r="J203" s="278"/>
    </row>
    <row r="204" spans="10:10" s="25" customFormat="1">
      <c r="J204" s="278"/>
    </row>
    <row r="205" spans="10:10" s="25" customFormat="1">
      <c r="J205" s="278"/>
    </row>
    <row r="206" spans="10:10" s="25" customFormat="1">
      <c r="J206" s="278"/>
    </row>
    <row r="207" spans="10:10" s="25" customFormat="1">
      <c r="J207" s="278"/>
    </row>
    <row r="208" spans="10:10" s="25" customFormat="1">
      <c r="J208" s="278"/>
    </row>
    <row r="209" spans="10:10" s="25" customFormat="1">
      <c r="J209" s="278"/>
    </row>
    <row r="210" spans="10:10" s="25" customFormat="1">
      <c r="J210" s="278"/>
    </row>
    <row r="211" spans="10:10" s="25" customFormat="1">
      <c r="J211" s="278"/>
    </row>
    <row r="212" spans="10:10" s="25" customFormat="1">
      <c r="J212" s="278"/>
    </row>
    <row r="213" spans="10:10" s="25" customFormat="1">
      <c r="J213" s="278"/>
    </row>
    <row r="214" spans="10:10" s="25" customFormat="1">
      <c r="J214" s="278"/>
    </row>
    <row r="215" spans="10:10" s="25" customFormat="1">
      <c r="J215" s="278"/>
    </row>
    <row r="216" spans="10:10" s="25" customFormat="1">
      <c r="J216" s="278"/>
    </row>
    <row r="217" spans="10:10" s="25" customFormat="1">
      <c r="J217" s="278"/>
    </row>
    <row r="218" spans="10:10" s="25" customFormat="1">
      <c r="J218" s="278"/>
    </row>
    <row r="219" spans="10:10" s="25" customFormat="1">
      <c r="J219" s="278"/>
    </row>
    <row r="220" spans="10:10" s="25" customFormat="1">
      <c r="J220" s="278"/>
    </row>
    <row r="221" spans="10:10" s="25" customFormat="1">
      <c r="J221" s="278"/>
    </row>
    <row r="222" spans="10:10" s="25" customFormat="1">
      <c r="J222" s="278"/>
    </row>
    <row r="223" spans="10:10" s="25" customFormat="1">
      <c r="J223" s="278"/>
    </row>
    <row r="224" spans="10:10" s="25" customFormat="1">
      <c r="J224" s="278"/>
    </row>
    <row r="225" spans="10:10" s="25" customFormat="1">
      <c r="J225" s="278"/>
    </row>
    <row r="226" spans="10:10" s="25" customFormat="1">
      <c r="J226" s="278"/>
    </row>
    <row r="227" spans="10:10" s="25" customFormat="1">
      <c r="J227" s="278"/>
    </row>
    <row r="228" spans="10:10" s="25" customFormat="1">
      <c r="J228" s="278"/>
    </row>
    <row r="229" spans="10:10" s="25" customFormat="1">
      <c r="J229" s="278"/>
    </row>
    <row r="230" spans="10:10" s="25" customFormat="1">
      <c r="J230" s="278"/>
    </row>
    <row r="231" spans="10:10" s="25" customFormat="1">
      <c r="J231" s="278"/>
    </row>
    <row r="232" spans="10:10" s="25" customFormat="1">
      <c r="J232" s="278"/>
    </row>
    <row r="233" spans="10:10" s="25" customFormat="1">
      <c r="J233" s="278"/>
    </row>
    <row r="234" spans="10:10" s="25" customFormat="1">
      <c r="J234" s="278"/>
    </row>
    <row r="235" spans="10:10" s="25" customFormat="1">
      <c r="J235" s="278"/>
    </row>
    <row r="236" spans="10:10" s="25" customFormat="1">
      <c r="J236" s="278"/>
    </row>
    <row r="237" spans="10:10" s="25" customFormat="1">
      <c r="J237" s="278"/>
    </row>
    <row r="238" spans="10:10" s="25" customFormat="1">
      <c r="J238" s="278"/>
    </row>
    <row r="239" spans="10:10" s="25" customFormat="1">
      <c r="J239" s="278"/>
    </row>
    <row r="240" spans="10:10" s="25" customFormat="1">
      <c r="J240" s="278"/>
    </row>
    <row r="241" spans="10:10" s="25" customFormat="1">
      <c r="J241" s="278"/>
    </row>
    <row r="242" spans="10:10" s="25" customFormat="1">
      <c r="J242" s="278"/>
    </row>
    <row r="243" spans="10:10" s="25" customFormat="1">
      <c r="J243" s="278"/>
    </row>
    <row r="244" spans="10:10" s="25" customFormat="1">
      <c r="J244" s="278"/>
    </row>
    <row r="245" spans="10:10" s="25" customFormat="1">
      <c r="J245" s="278"/>
    </row>
    <row r="246" spans="10:10" s="25" customFormat="1">
      <c r="J246" s="278"/>
    </row>
    <row r="247" spans="10:10" s="25" customFormat="1">
      <c r="J247" s="278"/>
    </row>
    <row r="248" spans="10:10" s="25" customFormat="1">
      <c r="J248" s="278"/>
    </row>
    <row r="249" spans="10:10" s="25" customFormat="1">
      <c r="J249" s="278"/>
    </row>
    <row r="250" spans="10:10" s="25" customFormat="1">
      <c r="J250" s="278"/>
    </row>
    <row r="251" spans="10:10" s="25" customFormat="1">
      <c r="J251" s="278"/>
    </row>
    <row r="252" spans="10:10" s="25" customFormat="1">
      <c r="J252" s="278"/>
    </row>
    <row r="253" spans="10:10" s="25" customFormat="1">
      <c r="J253" s="278"/>
    </row>
    <row r="254" spans="10:10" s="25" customFormat="1">
      <c r="J254" s="278"/>
    </row>
    <row r="255" spans="10:10" s="25" customFormat="1">
      <c r="J255" s="278"/>
    </row>
    <row r="256" spans="10:10" s="25" customFormat="1">
      <c r="J256" s="278"/>
    </row>
    <row r="257" spans="10:10" s="25" customFormat="1">
      <c r="J257" s="278"/>
    </row>
    <row r="258" spans="10:10" s="25" customFormat="1">
      <c r="J258" s="278"/>
    </row>
    <row r="259" spans="10:10" s="25" customFormat="1">
      <c r="J259" s="278"/>
    </row>
    <row r="260" spans="10:10" s="25" customFormat="1">
      <c r="J260" s="278"/>
    </row>
    <row r="261" spans="10:10" s="25" customFormat="1">
      <c r="J261" s="278"/>
    </row>
    <row r="262" spans="10:10" s="25" customFormat="1">
      <c r="J262" s="278"/>
    </row>
    <row r="263" spans="10:10" s="25" customFormat="1">
      <c r="J263" s="278"/>
    </row>
    <row r="264" spans="10:10" s="25" customFormat="1">
      <c r="J264" s="278"/>
    </row>
    <row r="265" spans="10:10" s="25" customFormat="1">
      <c r="J265" s="278"/>
    </row>
    <row r="266" spans="10:10" s="25" customFormat="1">
      <c r="J266" s="278"/>
    </row>
    <row r="267" spans="10:10" s="25" customFormat="1">
      <c r="J267" s="278"/>
    </row>
    <row r="268" spans="10:10" s="25" customFormat="1">
      <c r="J268" s="278"/>
    </row>
    <row r="269" spans="10:10" s="25" customFormat="1">
      <c r="J269" s="278"/>
    </row>
    <row r="270" spans="10:10" s="25" customFormat="1">
      <c r="J270" s="278"/>
    </row>
    <row r="271" spans="10:10" s="25" customFormat="1">
      <c r="J271" s="278"/>
    </row>
    <row r="272" spans="10:10" s="25" customFormat="1">
      <c r="J272" s="278"/>
    </row>
    <row r="273" spans="10:10" s="25" customFormat="1">
      <c r="J273" s="278"/>
    </row>
    <row r="274" spans="10:10" s="25" customFormat="1">
      <c r="J274" s="278"/>
    </row>
    <row r="275" spans="10:10" s="25" customFormat="1">
      <c r="J275" s="278"/>
    </row>
    <row r="276" spans="10:10" s="25" customFormat="1">
      <c r="J276" s="278"/>
    </row>
    <row r="277" spans="10:10" s="25" customFormat="1">
      <c r="J277" s="278"/>
    </row>
    <row r="278" spans="10:10" s="25" customFormat="1">
      <c r="J278" s="278"/>
    </row>
    <row r="279" spans="10:10" s="25" customFormat="1">
      <c r="J279" s="278"/>
    </row>
    <row r="280" spans="10:10" s="25" customFormat="1">
      <c r="J280" s="278"/>
    </row>
    <row r="281" spans="10:10" s="25" customFormat="1">
      <c r="J281" s="278"/>
    </row>
    <row r="282" spans="10:10" s="25" customFormat="1">
      <c r="J282" s="278"/>
    </row>
    <row r="283" spans="10:10" s="25" customFormat="1">
      <c r="J283" s="278"/>
    </row>
    <row r="284" spans="10:10" s="25" customFormat="1">
      <c r="J284" s="278"/>
    </row>
    <row r="285" spans="10:10" s="25" customFormat="1">
      <c r="J285" s="278"/>
    </row>
    <row r="286" spans="10:10" s="25" customFormat="1">
      <c r="J286" s="278"/>
    </row>
    <row r="287" spans="10:10" s="25" customFormat="1">
      <c r="J287" s="278"/>
    </row>
    <row r="288" spans="10:10" s="25" customFormat="1">
      <c r="J288" s="278"/>
    </row>
    <row r="289" spans="10:10" s="25" customFormat="1">
      <c r="J289" s="278"/>
    </row>
    <row r="290" spans="10:10" s="25" customFormat="1">
      <c r="J290" s="278"/>
    </row>
    <row r="291" spans="10:10" s="25" customFormat="1">
      <c r="J291" s="278"/>
    </row>
    <row r="292" spans="10:10" s="25" customFormat="1">
      <c r="J292" s="278"/>
    </row>
    <row r="293" spans="10:10" s="25" customFormat="1">
      <c r="J293" s="278"/>
    </row>
    <row r="294" spans="10:10" s="25" customFormat="1">
      <c r="J294" s="278"/>
    </row>
    <row r="295" spans="10:10" s="25" customFormat="1">
      <c r="J295" s="278"/>
    </row>
    <row r="296" spans="10:10" s="25" customFormat="1">
      <c r="J296" s="278"/>
    </row>
    <row r="297" spans="10:10" s="25" customFormat="1">
      <c r="J297" s="278"/>
    </row>
    <row r="298" spans="10:10" s="25" customFormat="1">
      <c r="J298" s="278"/>
    </row>
    <row r="299" spans="10:10" s="25" customFormat="1">
      <c r="J299" s="278"/>
    </row>
    <row r="300" spans="10:10" s="25" customFormat="1">
      <c r="J300" s="278"/>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3" customWidth="1"/>
    <col min="2" max="2" width="27.81640625" style="143" customWidth="1"/>
    <col min="3" max="3" width="20.81640625" style="143" customWidth="1"/>
    <col min="4" max="4" width="10.81640625" style="143" customWidth="1"/>
    <col min="5" max="5" width="12.1796875" style="143" customWidth="1"/>
    <col min="6" max="6" width="10.1796875" style="143" customWidth="1"/>
    <col min="7" max="7" width="10.81640625" style="143" customWidth="1"/>
    <col min="8" max="8" width="13.1796875" style="143" customWidth="1"/>
    <col min="9" max="9" width="10.81640625" style="143" customWidth="1"/>
    <col min="10" max="10" width="12.81640625" style="143" customWidth="1"/>
    <col min="11" max="12" width="10.81640625" style="143" customWidth="1"/>
    <col min="13" max="16384" width="9.1796875" style="143"/>
  </cols>
  <sheetData>
    <row r="1" spans="1:15" ht="6" customHeight="1">
      <c r="A1" s="152"/>
      <c r="B1" s="49"/>
      <c r="C1" s="49"/>
      <c r="D1" s="49"/>
      <c r="E1" s="49"/>
      <c r="F1" s="49"/>
      <c r="G1" s="49"/>
      <c r="H1" s="49"/>
      <c r="I1" s="49"/>
      <c r="J1" s="49"/>
      <c r="K1" s="49"/>
      <c r="L1" s="49"/>
      <c r="M1" s="153"/>
      <c r="N1" s="21"/>
      <c r="O1" s="21"/>
    </row>
    <row r="2" spans="1:15" s="101" customFormat="1" ht="18">
      <c r="A2" s="102"/>
      <c r="B2" s="103" t="str">
        <f>'Cover Sheet'!B2</f>
        <v>SC Germany Consumer 2021-1</v>
      </c>
      <c r="C2" s="103"/>
      <c r="D2" s="104"/>
      <c r="E2" s="1057" t="str">
        <f>'Cover Sheet'!D2</f>
        <v>Calculation Date</v>
      </c>
      <c r="F2" s="1058"/>
      <c r="G2" s="106"/>
      <c r="H2" s="107">
        <f>'Cover Sheet'!F2</f>
        <v>45820</v>
      </c>
      <c r="I2" s="154"/>
      <c r="J2" s="106"/>
      <c r="K2" s="106"/>
      <c r="L2" s="108"/>
      <c r="M2" s="109"/>
      <c r="N2" s="104"/>
      <c r="O2" s="104"/>
    </row>
    <row r="3" spans="1:15" s="101" customFormat="1" ht="18">
      <c r="A3" s="102"/>
      <c r="B3" s="103" t="str">
        <f>'Cover Sheet'!B3</f>
        <v>Monthly Investor Report</v>
      </c>
      <c r="C3" s="103"/>
      <c r="D3" s="104"/>
      <c r="E3" s="1059" t="str">
        <f>'Cover Sheet'!D3</f>
        <v>Payment Date</v>
      </c>
      <c r="F3" s="1060"/>
      <c r="G3" s="113"/>
      <c r="H3" s="113">
        <f>'Cover Sheet'!F3</f>
        <v>45824</v>
      </c>
      <c r="I3" s="155"/>
      <c r="J3" s="112"/>
      <c r="K3" s="112"/>
      <c r="L3" s="114"/>
      <c r="M3" s="109"/>
      <c r="N3" s="104"/>
      <c r="O3" s="104"/>
    </row>
    <row r="4" spans="1:15" s="101" customFormat="1">
      <c r="A4" s="102"/>
      <c r="B4" s="156"/>
      <c r="C4" s="157"/>
      <c r="D4" s="104"/>
      <c r="E4" s="1059" t="str">
        <f>'Cover Sheet'!D4</f>
        <v>Period  No</v>
      </c>
      <c r="F4" s="1060"/>
      <c r="G4" s="116"/>
      <c r="H4" s="116">
        <f>'Cover Sheet'!F4</f>
        <v>43</v>
      </c>
      <c r="I4" s="158"/>
      <c r="J4" s="117"/>
      <c r="K4" s="112"/>
      <c r="L4" s="118"/>
      <c r="M4" s="109"/>
      <c r="N4" s="104"/>
      <c r="O4" s="104"/>
    </row>
    <row r="5" spans="1:15" s="101" customFormat="1" ht="18">
      <c r="A5" s="102"/>
      <c r="B5" s="159" t="s">
        <v>401</v>
      </c>
      <c r="C5" s="119"/>
      <c r="D5" s="104"/>
      <c r="E5" s="1059" t="str">
        <f>'Cover Sheet'!D5</f>
        <v>Monthly Period</v>
      </c>
      <c r="F5" s="1060"/>
      <c r="G5" s="160"/>
      <c r="H5" s="120">
        <f>'Cover Sheet'!F5</f>
        <v>45824</v>
      </c>
      <c r="I5" s="112"/>
      <c r="J5" s="117"/>
      <c r="K5" s="112"/>
      <c r="L5" s="118"/>
      <c r="M5" s="109"/>
      <c r="N5" s="104"/>
      <c r="O5" s="104"/>
    </row>
    <row r="6" spans="1:15" s="101" customFormat="1" ht="15" customHeight="1">
      <c r="A6" s="102"/>
      <c r="B6" s="121"/>
      <c r="C6" s="110"/>
      <c r="D6" s="104"/>
      <c r="E6" s="1053" t="str">
        <f>'Cover Sheet'!D6</f>
        <v>Interest Period</v>
      </c>
      <c r="F6" s="1054"/>
      <c r="G6" s="113" t="s">
        <v>34</v>
      </c>
      <c r="H6" s="113">
        <f>'Cover Sheet'!F6</f>
        <v>45791</v>
      </c>
      <c r="I6" s="113" t="s">
        <v>4</v>
      </c>
      <c r="J6" s="113">
        <f>'Cover Sheet'!$H$6</f>
        <v>45824</v>
      </c>
      <c r="K6" s="113" t="s">
        <v>15</v>
      </c>
      <c r="L6" s="161" t="str">
        <f>'Cover Sheet'!$J$6</f>
        <v>33 days</v>
      </c>
      <c r="M6" s="162"/>
      <c r="N6" s="104"/>
      <c r="O6" s="104"/>
    </row>
    <row r="7" spans="1:15" s="101" customFormat="1" ht="13">
      <c r="A7" s="102"/>
      <c r="B7" s="104"/>
      <c r="C7" s="104"/>
      <c r="D7" s="163"/>
      <c r="E7" s="1055" t="str">
        <f>'Cover Sheet'!D7</f>
        <v>Collection Period</v>
      </c>
      <c r="F7" s="1056"/>
      <c r="G7" s="128" t="s">
        <v>34</v>
      </c>
      <c r="H7" s="128" t="str">
        <f>'Cover Sheet'!F7</f>
        <v>01.05.2025</v>
      </c>
      <c r="I7" s="128" t="s">
        <v>4</v>
      </c>
      <c r="J7" s="128">
        <f>'Cover Sheet'!H7</f>
        <v>45808</v>
      </c>
      <c r="K7" s="164"/>
      <c r="L7" s="165"/>
      <c r="M7" s="109"/>
      <c r="N7" s="104"/>
      <c r="O7" s="104"/>
    </row>
    <row r="8" spans="1:15" s="101" customFormat="1" ht="13">
      <c r="A8" s="102"/>
      <c r="B8" s="104"/>
      <c r="C8" s="104"/>
      <c r="D8" s="21"/>
      <c r="E8" s="133"/>
      <c r="F8" s="132"/>
      <c r="G8" s="133"/>
      <c r="H8" s="104"/>
      <c r="I8" s="166"/>
      <c r="J8" s="104"/>
      <c r="K8" s="134"/>
      <c r="L8" s="104"/>
      <c r="M8" s="109"/>
      <c r="N8" s="104"/>
      <c r="O8" s="104"/>
    </row>
    <row r="9" spans="1:15" s="101" customFormat="1" ht="13">
      <c r="A9" s="102"/>
      <c r="B9" s="104"/>
      <c r="C9" s="104"/>
      <c r="D9" s="21"/>
      <c r="E9" s="104"/>
      <c r="F9" s="104"/>
      <c r="G9" s="104"/>
      <c r="H9" s="104"/>
      <c r="I9" s="104"/>
      <c r="J9" s="104"/>
      <c r="K9" s="104"/>
      <c r="L9" s="104"/>
      <c r="M9" s="167"/>
      <c r="N9" s="104"/>
      <c r="O9" s="104"/>
    </row>
    <row r="10" spans="1:15" s="101" customFormat="1">
      <c r="A10" s="102"/>
      <c r="B10" s="104"/>
      <c r="C10" s="104"/>
      <c r="D10" s="21"/>
      <c r="E10" s="104"/>
      <c r="F10" s="144"/>
      <c r="G10" s="104"/>
      <c r="H10" s="104"/>
      <c r="I10" s="21"/>
      <c r="J10" s="21"/>
      <c r="K10" s="104"/>
      <c r="L10" s="104"/>
      <c r="M10" s="109"/>
      <c r="N10" s="104"/>
      <c r="O10" s="104"/>
    </row>
    <row r="11" spans="1:15" s="101" customFormat="1" ht="12.75" customHeight="1">
      <c r="A11" s="102"/>
      <c r="B11" s="168"/>
      <c r="C11" s="104"/>
      <c r="D11" s="10"/>
      <c r="E11" s="10"/>
      <c r="F11" s="10"/>
      <c r="G11" s="10"/>
      <c r="H11" s="10"/>
      <c r="I11" s="10"/>
      <c r="J11" s="10"/>
      <c r="K11" s="10"/>
      <c r="L11" s="10"/>
      <c r="M11" s="169"/>
      <c r="N11" s="104"/>
      <c r="O11" s="104"/>
    </row>
    <row r="12" spans="1:15" s="101" customFormat="1" ht="12.75" customHeight="1">
      <c r="A12" s="102"/>
      <c r="B12" s="168"/>
      <c r="C12" s="104"/>
      <c r="D12" s="10"/>
      <c r="E12" s="10"/>
      <c r="F12" s="10"/>
      <c r="G12" s="10"/>
      <c r="H12" s="10"/>
      <c r="I12" s="10"/>
      <c r="J12" s="10"/>
      <c r="K12" s="10"/>
      <c r="L12" s="10"/>
      <c r="M12" s="169"/>
      <c r="N12" s="104"/>
      <c r="O12" s="104"/>
    </row>
    <row r="13" spans="1:15" s="101" customFormat="1">
      <c r="A13" s="102"/>
      <c r="D13" s="211"/>
      <c r="E13" s="211"/>
      <c r="F13" s="170"/>
      <c r="G13" s="170"/>
      <c r="J13" s="171"/>
      <c r="K13" s="171"/>
      <c r="L13" s="172"/>
      <c r="M13" s="173"/>
      <c r="O13" s="174"/>
    </row>
    <row r="14" spans="1:15" s="101" customFormat="1" ht="18">
      <c r="A14" s="102"/>
      <c r="B14" s="972" t="s">
        <v>543</v>
      </c>
      <c r="C14"/>
      <c r="D14" s="213"/>
      <c r="E14" s="214"/>
      <c r="F14" s="215"/>
      <c r="G14" s="215"/>
      <c r="J14" s="215"/>
      <c r="K14" s="216"/>
      <c r="L14" s="171"/>
      <c r="M14" s="173"/>
      <c r="O14" s="174"/>
    </row>
    <row r="15" spans="1:15" ht="14.5">
      <c r="A15" s="179"/>
      <c r="B15" s="973" t="s">
        <v>544</v>
      </c>
      <c r="C15" s="974" t="s">
        <v>545</v>
      </c>
      <c r="D15" s="217"/>
      <c r="E15" s="217"/>
      <c r="F15" s="217"/>
      <c r="G15" s="217"/>
      <c r="H15" s="217"/>
      <c r="I15" s="217"/>
      <c r="J15" s="215"/>
      <c r="K15" s="218"/>
      <c r="L15" s="218"/>
      <c r="M15" s="173"/>
      <c r="O15" s="174"/>
    </row>
    <row r="16" spans="1:15">
      <c r="A16" s="179"/>
      <c r="B16" s="45"/>
      <c r="C16" s="192"/>
      <c r="D16" s="217"/>
      <c r="E16" s="217"/>
      <c r="F16" s="217"/>
      <c r="G16" s="217"/>
      <c r="H16" s="217"/>
      <c r="I16" s="217"/>
      <c r="J16" s="217"/>
      <c r="K16" s="218"/>
      <c r="L16" s="218"/>
      <c r="M16" s="173"/>
      <c r="O16" s="174"/>
    </row>
    <row r="17" spans="1:15">
      <c r="A17" s="179"/>
      <c r="C17" s="219"/>
      <c r="D17" s="220"/>
      <c r="F17" s="217"/>
      <c r="G17" s="217"/>
      <c r="H17" s="217"/>
      <c r="I17" s="217"/>
      <c r="J17" s="217"/>
      <c r="K17" s="218"/>
      <c r="L17" s="218"/>
      <c r="M17" s="173"/>
      <c r="O17" s="174"/>
    </row>
    <row r="18" spans="1:15">
      <c r="A18" s="179"/>
      <c r="B18" s="45"/>
      <c r="C18" s="192"/>
      <c r="D18" s="217"/>
      <c r="E18" s="217"/>
      <c r="G18" s="217"/>
      <c r="H18" s="217"/>
      <c r="I18" s="217"/>
      <c r="J18" s="217"/>
      <c r="K18" s="218"/>
      <c r="L18" s="218"/>
      <c r="M18" s="173"/>
      <c r="O18" s="174"/>
    </row>
    <row r="19" spans="1:15">
      <c r="A19" s="179"/>
      <c r="C19" s="192"/>
      <c r="D19" s="220"/>
      <c r="E19" s="217"/>
      <c r="F19" s="217"/>
      <c r="G19" s="217"/>
      <c r="H19" s="217"/>
      <c r="I19" s="217"/>
      <c r="J19" s="217"/>
      <c r="K19" s="218"/>
      <c r="L19" s="218"/>
      <c r="M19" s="173"/>
      <c r="O19" s="174"/>
    </row>
    <row r="20" spans="1:15" ht="12.75" customHeight="1">
      <c r="A20" s="179"/>
      <c r="B20" s="45"/>
      <c r="C20" s="192"/>
      <c r="D20" s="217"/>
      <c r="F20" s="217"/>
      <c r="G20" s="221"/>
      <c r="H20" s="221"/>
      <c r="I20" s="221"/>
      <c r="J20" s="217"/>
      <c r="K20" s="218"/>
      <c r="L20" s="218"/>
      <c r="M20" s="173"/>
      <c r="O20" s="174"/>
    </row>
    <row r="21" spans="1:15">
      <c r="A21" s="179"/>
      <c r="B21" s="45"/>
      <c r="C21" s="192"/>
      <c r="D21" s="217"/>
      <c r="E21" s="217"/>
      <c r="F21" s="217"/>
      <c r="G21" s="21"/>
      <c r="H21" s="21"/>
      <c r="I21" s="21"/>
      <c r="J21" s="21"/>
      <c r="K21" s="21"/>
      <c r="L21" s="21"/>
      <c r="M21" s="173"/>
    </row>
    <row r="22" spans="1:15">
      <c r="A22" s="179"/>
      <c r="B22" s="45"/>
      <c r="C22" s="192"/>
      <c r="D22" s="217"/>
      <c r="E22" s="217"/>
      <c r="F22" s="217"/>
      <c r="G22" s="217"/>
      <c r="H22" s="217"/>
      <c r="I22" s="217"/>
      <c r="J22" s="222"/>
      <c r="K22" s="218"/>
      <c r="L22" s="218"/>
      <c r="M22" s="173"/>
      <c r="O22" s="174"/>
    </row>
    <row r="23" spans="1:15">
      <c r="A23" s="179"/>
      <c r="B23" s="45"/>
      <c r="C23" s="192"/>
      <c r="D23" s="217"/>
      <c r="E23" s="217"/>
      <c r="F23" s="217"/>
      <c r="G23" s="217"/>
      <c r="H23" s="217"/>
      <c r="I23" s="217"/>
      <c r="J23" s="217"/>
      <c r="K23" s="218"/>
      <c r="L23" s="223"/>
      <c r="M23" s="173"/>
      <c r="O23" s="174"/>
    </row>
    <row r="24" spans="1:15" ht="13">
      <c r="A24" s="179"/>
      <c r="B24" s="14"/>
      <c r="C24" s="224"/>
      <c r="D24" s="225"/>
      <c r="E24" s="104"/>
      <c r="F24" s="104"/>
      <c r="G24" s="104"/>
      <c r="H24" s="104"/>
      <c r="I24" s="104"/>
      <c r="J24" s="217"/>
      <c r="K24" s="226"/>
      <c r="L24" s="21"/>
      <c r="M24" s="173"/>
      <c r="O24" s="174"/>
    </row>
    <row r="25" spans="1:15" ht="18" customHeight="1">
      <c r="A25" s="179"/>
      <c r="B25" s="210" t="s">
        <v>110</v>
      </c>
      <c r="C25" s="212"/>
      <c r="D25" s="1045" t="s">
        <v>252</v>
      </c>
      <c r="E25" s="1046"/>
      <c r="F25" s="1047"/>
      <c r="G25" s="1048" t="s">
        <v>253</v>
      </c>
      <c r="H25" s="1049"/>
      <c r="I25" s="1050"/>
      <c r="J25" s="1051"/>
      <c r="K25" s="1051"/>
      <c r="L25" s="1051"/>
      <c r="M25" s="173"/>
      <c r="O25" s="174"/>
    </row>
    <row r="26" spans="1:15" s="101" customFormat="1" ht="36" customHeight="1">
      <c r="A26" s="102"/>
      <c r="B26" s="16"/>
      <c r="C26" s="10"/>
      <c r="D26" s="2" t="s">
        <v>111</v>
      </c>
      <c r="E26" s="2" t="s">
        <v>112</v>
      </c>
      <c r="F26" s="2" t="s">
        <v>113</v>
      </c>
      <c r="G26" s="2" t="s">
        <v>111</v>
      </c>
      <c r="H26" s="2" t="s">
        <v>112</v>
      </c>
      <c r="I26" s="2" t="s">
        <v>113</v>
      </c>
      <c r="J26" s="227"/>
      <c r="K26" s="227"/>
      <c r="L26" s="227"/>
      <c r="M26" s="169"/>
      <c r="N26" s="104"/>
      <c r="O26" s="104"/>
    </row>
    <row r="27" spans="1:15" s="101" customFormat="1" ht="15" customHeight="1">
      <c r="A27" s="102"/>
      <c r="B27" s="1026"/>
      <c r="C27" s="1052"/>
      <c r="D27" s="17"/>
      <c r="E27" s="17"/>
      <c r="F27" s="17"/>
      <c r="G27" s="17"/>
      <c r="H27" s="17"/>
      <c r="I27" s="17"/>
      <c r="J27" s="21"/>
      <c r="K27" s="21"/>
      <c r="L27" s="21"/>
      <c r="M27" s="169"/>
      <c r="N27" s="104"/>
      <c r="O27" s="104"/>
    </row>
    <row r="28" spans="1:15" ht="13">
      <c r="A28" s="179"/>
      <c r="B28" s="1043" t="s">
        <v>108</v>
      </c>
      <c r="C28" s="1044"/>
      <c r="D28" s="1" t="str">
        <f>IF(VLOOKUP(B28,rating_21,7,FALSE)="-",VLOOKUP(B28,rating_21,8,FALSE),VLOOKUP(B28,rating_21,7,FALSE))</f>
        <v>A</v>
      </c>
      <c r="E28" s="1" t="str">
        <f>IF(VLOOKUP(B28,rating_21,9,FALSE)="-",VLOOKUP(B28,rating_21,10,FALSE),VLOOKUP(B28,rating_21,9,FALSE))</f>
        <v>F1</v>
      </c>
      <c r="F28" s="1" t="str">
        <f>VLOOKUP($B$28,rating_21,11,FALSE)</f>
        <v>STABLE</v>
      </c>
      <c r="G28" s="1" t="str">
        <f>IF(VLOOKUP(B28,rating_21,2,FALSE)="-",VLOOKUP(B28,rating_21,3,FALSE),VLOOKUP(B28,rating_21,2,FALSE))</f>
        <v>A3(cr)</v>
      </c>
      <c r="H28" s="1" t="str">
        <f>IF(VLOOKUP(B28,rating_21,4,FALSE)="-",VLOOKUP(B28,rating_21,5,FALSE),VLOOKUP(B28,rating_21,4,FALSE))</f>
        <v>P-2(cr)</v>
      </c>
      <c r="I28" s="1" t="str">
        <f>VLOOKUP($B$28,rating_21,6,FALSE)</f>
        <v>POS</v>
      </c>
      <c r="J28" s="228"/>
      <c r="K28" s="228"/>
      <c r="L28" s="228"/>
      <c r="M28" s="169"/>
      <c r="N28" s="21"/>
      <c r="O28" s="21"/>
    </row>
    <row r="29" spans="1:15" s="21" customFormat="1" ht="12.75" customHeight="1">
      <c r="A29" s="179"/>
      <c r="B29" s="18"/>
      <c r="C29" s="19"/>
      <c r="D29" s="20"/>
      <c r="E29" s="20"/>
      <c r="F29" s="20"/>
      <c r="G29" s="20"/>
      <c r="H29" s="20"/>
      <c r="I29" s="20"/>
      <c r="M29" s="173"/>
    </row>
    <row r="30" spans="1:15" s="21" customFormat="1" ht="13">
      <c r="A30" s="179"/>
      <c r="B30" s="1043" t="s">
        <v>114</v>
      </c>
      <c r="C30" s="1044"/>
      <c r="D30" s="1" t="str">
        <f>IF(VLOOKUP(B30,rating_21,7,FALSE)="-",VLOOKUP(B30,rating_21,8,FALSE),VLOOKUP(B30,rating_21,7,FALSE))</f>
        <v>A+</v>
      </c>
      <c r="E30" s="1" t="str">
        <f>IF(VLOOKUP(B30,rating_21,9,FALSE)="-",VLOOKUP(B30,rating_21,10,FALSE),VLOOKUP(B30,rating_21,9,FALSE))</f>
        <v>F1</v>
      </c>
      <c r="F30" s="1" t="str">
        <f>VLOOKUP($B$30,rating_21,11,FALSE)</f>
        <v>STABLE</v>
      </c>
      <c r="G30" s="1" t="str">
        <f>IF(VLOOKUP(B30,rating_21,2,FALSE)="-",VLOOKUP(B30,rating_21,3,FALSE),VLOOKUP(B30,rating_21,2,FALSE))</f>
        <v>A3(cr)</v>
      </c>
      <c r="H30" s="1" t="str">
        <f>IF(VLOOKUP(B30,rating_21,4,FALSE)="-",VLOOKUP(B30,rating_21,5,FALSE),VLOOKUP(B30,rating_21,4,FALSE))</f>
        <v>P-2(cr)</v>
      </c>
      <c r="I30" s="1" t="str">
        <f>VLOOKUP($B$30,rating_21,6,FALSE)</f>
        <v>POS</v>
      </c>
      <c r="J30" s="228"/>
      <c r="K30" s="228"/>
      <c r="L30" s="228"/>
      <c r="M30" s="173"/>
    </row>
    <row r="31" spans="1:15" s="21" customFormat="1" ht="13">
      <c r="A31" s="179"/>
      <c r="B31" s="229"/>
      <c r="C31" s="229"/>
      <c r="D31" s="1"/>
      <c r="E31" s="1"/>
      <c r="F31" s="1"/>
      <c r="G31" s="1"/>
      <c r="H31" s="1"/>
      <c r="I31" s="1"/>
      <c r="J31" s="228"/>
      <c r="K31" s="228"/>
      <c r="L31" s="228"/>
      <c r="M31" s="173"/>
    </row>
    <row r="32" spans="1:15" s="21" customFormat="1" ht="13">
      <c r="A32" s="179"/>
      <c r="B32" s="1043" t="s">
        <v>206</v>
      </c>
      <c r="C32" s="1044"/>
      <c r="D32" s="1" t="str">
        <f>IF(VLOOKUP(B32,rating_21,7,FALSE)="-",VLOOKUP(B32,rating_21,8,FALSE),VLOOKUP(B32,rating_21,7,FALSE))</f>
        <v>A</v>
      </c>
      <c r="E32" s="1" t="str">
        <f>IF(VLOOKUP(B32,rating_21,9,FALSE)="-",VLOOKUP(B32,rating_21,10,FALSE),VLOOKUP(B32,rating_21,9,FALSE))</f>
        <v>F1</v>
      </c>
      <c r="F32" s="1" t="str">
        <f>VLOOKUP($B$32,rating_21,11,FALSE)</f>
        <v>STABLE</v>
      </c>
      <c r="G32" s="1" t="str">
        <f>IF(VLOOKUP(B32,rating_21,2,FALSE)="-",VLOOKUP(B32,rating_21,3,FALSE),VLOOKUP(B32,rating_21,2,FALSE))</f>
        <v>A1(cr)</v>
      </c>
      <c r="H32" s="1" t="str">
        <f>IF(VLOOKUP(B32,rating_21,4,FALSE)="-",VLOOKUP(B32,rating_21,5,FALSE),VLOOKUP(B32,rating_21,4,FALSE))</f>
        <v>P-1(cr)</v>
      </c>
      <c r="I32" s="1" t="str">
        <f>VLOOKUP($B$32,rating_21,6,FALSE)</f>
        <v>STABLE</v>
      </c>
      <c r="J32" s="228"/>
      <c r="K32" s="228"/>
      <c r="L32" s="228"/>
      <c r="M32" s="173"/>
    </row>
    <row r="33" spans="1:13" s="21" customFormat="1" ht="15.5">
      <c r="A33" s="179"/>
      <c r="B33" s="230"/>
      <c r="D33" s="22"/>
      <c r="E33" s="22"/>
      <c r="F33" s="22"/>
      <c r="G33" s="22"/>
      <c r="H33" s="22"/>
      <c r="I33" s="22"/>
      <c r="J33" s="10"/>
      <c r="K33" s="10"/>
      <c r="L33" s="10"/>
      <c r="M33" s="173"/>
    </row>
    <row r="34" spans="1:13" s="21" customFormat="1" ht="15.5">
      <c r="A34" s="179"/>
      <c r="B34" s="15"/>
      <c r="D34" s="10"/>
      <c r="E34" s="10"/>
      <c r="F34" s="10"/>
      <c r="G34" s="10"/>
      <c r="H34" s="10"/>
      <c r="I34" s="10"/>
      <c r="J34" s="10"/>
      <c r="K34" s="10"/>
      <c r="L34" s="10"/>
      <c r="M34" s="173"/>
    </row>
    <row r="35" spans="1:13" s="21" customFormat="1" ht="15.5">
      <c r="A35" s="179"/>
      <c r="C35" s="13"/>
      <c r="D35" s="10"/>
      <c r="E35" s="10"/>
      <c r="F35" s="10"/>
      <c r="G35" s="10"/>
      <c r="H35" s="10"/>
      <c r="I35" s="10"/>
      <c r="J35" s="10"/>
      <c r="K35" s="10"/>
      <c r="L35" s="10"/>
      <c r="M35" s="173"/>
    </row>
    <row r="36" spans="1:13" s="21" customFormat="1" ht="15.5">
      <c r="A36" s="194"/>
      <c r="B36" s="50" t="str">
        <f>VLOOKUP("RatingDate",rating_21,17,0)</f>
        <v>Ratings as of 31.05.2025, data source: Bloomberg</v>
      </c>
      <c r="C36" s="11"/>
      <c r="D36" s="12"/>
      <c r="E36" s="12"/>
      <c r="F36" s="12"/>
      <c r="G36" s="12"/>
      <c r="H36" s="12"/>
      <c r="I36" s="12"/>
      <c r="J36" s="12"/>
      <c r="K36" s="12"/>
      <c r="L36" s="12"/>
      <c r="M36" s="195"/>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6"/>
      <c r="E40" s="13"/>
      <c r="F40" s="197"/>
      <c r="G40" s="198"/>
      <c r="H40" s="197"/>
      <c r="I40" s="172"/>
    </row>
    <row r="41" spans="1:13" s="21" customFormat="1">
      <c r="B41" s="14"/>
      <c r="C41" s="13"/>
      <c r="D41" s="196"/>
      <c r="E41" s="13"/>
      <c r="F41" s="197"/>
      <c r="G41" s="198"/>
      <c r="H41" s="197"/>
      <c r="I41" s="172"/>
    </row>
    <row r="42" spans="1:13" s="21" customFormat="1">
      <c r="B42" s="14"/>
      <c r="C42" s="13"/>
      <c r="D42" s="196"/>
      <c r="E42" s="13"/>
      <c r="F42" s="197"/>
      <c r="G42" s="198"/>
      <c r="H42" s="197"/>
      <c r="I42" s="172"/>
    </row>
    <row r="43" spans="1:13" s="21" customFormat="1">
      <c r="B43" s="14"/>
      <c r="C43" s="13"/>
      <c r="D43" s="196"/>
      <c r="E43" s="13"/>
      <c r="F43" s="197"/>
      <c r="G43" s="198"/>
      <c r="H43" s="197"/>
      <c r="I43" s="172"/>
    </row>
    <row r="44" spans="1:13" s="21" customFormat="1">
      <c r="B44" s="14"/>
      <c r="C44" s="13"/>
      <c r="D44" s="196"/>
      <c r="E44" s="13"/>
      <c r="F44" s="197"/>
      <c r="G44" s="198"/>
      <c r="H44" s="197"/>
      <c r="I44" s="172"/>
    </row>
    <row r="45" spans="1:13" s="21" customFormat="1">
      <c r="B45" s="14"/>
      <c r="C45" s="13"/>
      <c r="D45" s="196"/>
      <c r="E45" s="13"/>
      <c r="F45" s="197"/>
      <c r="G45" s="198"/>
      <c r="H45" s="197"/>
      <c r="I45" s="172"/>
    </row>
    <row r="46" spans="1:13" s="21" customFormat="1">
      <c r="B46" s="14"/>
      <c r="C46" s="13"/>
      <c r="D46" s="196"/>
      <c r="E46" s="13"/>
      <c r="F46" s="197"/>
      <c r="G46" s="198"/>
      <c r="H46" s="197"/>
      <c r="I46" s="172"/>
    </row>
    <row r="47" spans="1:13" s="21" customFormat="1">
      <c r="B47" s="14"/>
      <c r="C47" s="13"/>
      <c r="D47" s="196"/>
      <c r="E47" s="13"/>
      <c r="F47" s="197"/>
      <c r="G47" s="198"/>
      <c r="H47" s="197"/>
      <c r="I47" s="172"/>
    </row>
    <row r="48" spans="1:13" s="21" customFormat="1">
      <c r="B48" s="14"/>
      <c r="C48" s="13"/>
      <c r="D48" s="196"/>
      <c r="E48" s="13"/>
      <c r="F48" s="197"/>
      <c r="G48" s="198"/>
      <c r="H48" s="197"/>
      <c r="I48" s="172"/>
    </row>
    <row r="49" spans="2:9" s="21" customFormat="1">
      <c r="B49" s="14"/>
      <c r="C49" s="13"/>
      <c r="D49" s="196"/>
      <c r="E49" s="13"/>
      <c r="F49" s="197"/>
      <c r="G49" s="198"/>
      <c r="H49" s="197"/>
      <c r="I49" s="172"/>
    </row>
    <row r="50" spans="2:9" s="21" customFormat="1">
      <c r="B50" s="14"/>
      <c r="C50" s="13"/>
      <c r="D50" s="196"/>
      <c r="E50" s="13"/>
      <c r="F50" s="197"/>
      <c r="G50" s="198"/>
      <c r="H50" s="197"/>
      <c r="I50" s="172"/>
    </row>
    <row r="51" spans="2:9" s="21" customFormat="1">
      <c r="B51" s="14"/>
      <c r="C51" s="13"/>
      <c r="D51" s="196"/>
      <c r="E51" s="13"/>
      <c r="F51" s="197"/>
      <c r="G51" s="198"/>
      <c r="H51" s="197"/>
      <c r="I51" s="172"/>
    </row>
    <row r="52" spans="2:9" s="21" customFormat="1">
      <c r="B52" s="14"/>
      <c r="C52" s="13"/>
      <c r="D52" s="196"/>
      <c r="E52" s="13"/>
      <c r="F52" s="197"/>
      <c r="G52" s="198"/>
      <c r="H52" s="197"/>
      <c r="I52" s="172"/>
    </row>
    <row r="53" spans="2:9" s="21" customFormat="1">
      <c r="B53" s="14"/>
      <c r="C53" s="13"/>
      <c r="D53" s="196"/>
      <c r="E53" s="13"/>
      <c r="F53" s="197"/>
      <c r="G53" s="198"/>
      <c r="H53" s="197"/>
      <c r="I53" s="172"/>
    </row>
    <row r="54" spans="2:9" s="21" customFormat="1">
      <c r="B54" s="14"/>
      <c r="C54" s="13"/>
      <c r="D54" s="196"/>
      <c r="E54" s="13"/>
      <c r="F54" s="197"/>
      <c r="G54" s="198"/>
      <c r="H54" s="197"/>
      <c r="I54" s="172"/>
    </row>
    <row r="55" spans="2:9" s="21" customFormat="1" ht="15.5">
      <c r="B55" s="15"/>
      <c r="C55" s="13"/>
      <c r="D55" s="196"/>
      <c r="E55" s="13"/>
      <c r="F55" s="197"/>
      <c r="G55" s="198"/>
      <c r="H55" s="197"/>
      <c r="I55" s="172"/>
    </row>
    <row r="56" spans="2:9" s="21" customFormat="1" ht="15.5">
      <c r="B56" s="15"/>
      <c r="C56" s="13"/>
      <c r="D56" s="199"/>
      <c r="E56" s="200"/>
      <c r="F56" s="231"/>
      <c r="G56" s="202"/>
      <c r="H56" s="231"/>
      <c r="I56" s="172"/>
    </row>
    <row r="57" spans="2:9" s="21" customFormat="1" ht="15.5">
      <c r="B57" s="15"/>
      <c r="C57" s="13"/>
      <c r="D57" s="199"/>
      <c r="E57" s="199"/>
      <c r="F57" s="199"/>
      <c r="G57" s="199"/>
      <c r="H57" s="199"/>
      <c r="I57" s="172"/>
    </row>
    <row r="58" spans="2:9" s="21" customFormat="1" ht="15.5">
      <c r="B58" s="15"/>
      <c r="C58" s="13"/>
      <c r="D58" s="199"/>
      <c r="E58" s="199"/>
      <c r="F58" s="199"/>
      <c r="G58" s="199"/>
      <c r="H58" s="199"/>
      <c r="I58" s="172"/>
    </row>
    <row r="59" spans="2:9" s="21" customFormat="1" ht="15.5">
      <c r="B59" s="15"/>
      <c r="C59" s="13"/>
      <c r="D59" s="203"/>
      <c r="E59" s="232"/>
      <c r="F59" s="199"/>
      <c r="G59" s="199"/>
      <c r="H59" s="199"/>
      <c r="I59" s="172"/>
    </row>
    <row r="60" spans="2:9" s="21" customFormat="1">
      <c r="B60" s="14"/>
      <c r="C60" s="13"/>
      <c r="D60" s="200"/>
      <c r="E60" s="232"/>
      <c r="F60" s="199"/>
      <c r="G60" s="199"/>
      <c r="H60" s="199"/>
      <c r="I60" s="172"/>
    </row>
    <row r="61" spans="2:9" s="21" customFormat="1">
      <c r="B61" s="14"/>
      <c r="C61" s="13"/>
      <c r="D61" s="199"/>
      <c r="E61" s="232"/>
      <c r="F61" s="199"/>
      <c r="G61" s="199"/>
      <c r="H61" s="199"/>
      <c r="I61" s="172"/>
    </row>
    <row r="62" spans="2:9" s="21" customFormat="1" ht="14">
      <c r="B62" s="199"/>
      <c r="C62" s="200"/>
      <c r="D62" s="205"/>
      <c r="E62" s="205"/>
      <c r="F62" s="205"/>
      <c r="G62" s="205"/>
      <c r="H62" s="205"/>
      <c r="I62" s="172"/>
    </row>
    <row r="63" spans="2:9" s="21" customFormat="1" ht="14">
      <c r="B63" s="104"/>
      <c r="C63" s="104"/>
      <c r="D63" s="205"/>
      <c r="E63" s="205"/>
      <c r="F63" s="205"/>
      <c r="G63" s="205"/>
      <c r="H63" s="205"/>
      <c r="I63" s="172"/>
    </row>
    <row r="64" spans="2:9" s="21" customFormat="1" ht="14">
      <c r="B64" s="104"/>
      <c r="C64" s="104"/>
      <c r="D64" s="206"/>
      <c r="E64" s="233"/>
      <c r="F64" s="205"/>
      <c r="G64" s="205"/>
      <c r="H64" s="205"/>
      <c r="I64" s="172"/>
    </row>
    <row r="65" spans="2:9" s="21" customFormat="1" ht="14">
      <c r="B65" s="203"/>
      <c r="C65" s="232"/>
      <c r="D65" s="208"/>
      <c r="E65" s="233"/>
      <c r="F65" s="205"/>
      <c r="G65" s="205"/>
      <c r="H65" s="205"/>
      <c r="I65" s="172"/>
    </row>
    <row r="66" spans="2:9" s="21" customFormat="1" ht="14">
      <c r="B66" s="209"/>
      <c r="C66" s="232"/>
      <c r="D66" s="205"/>
      <c r="E66" s="233"/>
      <c r="F66" s="205"/>
      <c r="G66" s="205"/>
      <c r="H66" s="205"/>
      <c r="I66" s="172"/>
    </row>
    <row r="67" spans="2:9" s="21" customFormat="1">
      <c r="C67" s="232"/>
      <c r="I67" s="172"/>
    </row>
    <row r="68" spans="2:9" s="21" customFormat="1">
      <c r="I68" s="172"/>
    </row>
    <row r="69" spans="2:9" s="21" customFormat="1">
      <c r="I69" s="172"/>
    </row>
    <row r="70" spans="2:9" s="21" customFormat="1">
      <c r="I70" s="172"/>
    </row>
    <row r="71" spans="2:9" s="21" customFormat="1">
      <c r="I71" s="172"/>
    </row>
    <row r="72" spans="2:9" s="21" customFormat="1">
      <c r="I72" s="172"/>
    </row>
    <row r="73" spans="2:9" s="21" customFormat="1">
      <c r="I73" s="172"/>
    </row>
    <row r="74" spans="2:9" s="21" customFormat="1">
      <c r="I74" s="172"/>
    </row>
    <row r="75" spans="2:9" s="21" customFormat="1">
      <c r="I75" s="172"/>
    </row>
    <row r="76" spans="2:9" s="21" customFormat="1">
      <c r="I76" s="172"/>
    </row>
    <row r="77" spans="2:9" s="21" customFormat="1">
      <c r="I77" s="172"/>
    </row>
    <row r="78" spans="2:9" s="21" customFormat="1">
      <c r="I78" s="172"/>
    </row>
    <row r="79" spans="2:9" s="21" customFormat="1">
      <c r="I79" s="172"/>
    </row>
    <row r="80" spans="2:9" s="21" customFormat="1">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J25:L25"/>
    <mergeCell ref="B27:C27"/>
    <mergeCell ref="E6:F6"/>
    <mergeCell ref="E7:F7"/>
    <mergeCell ref="E2:F2"/>
    <mergeCell ref="E3:F3"/>
    <mergeCell ref="E4:F4"/>
    <mergeCell ref="E5:F5"/>
    <mergeCell ref="B32:C32"/>
    <mergeCell ref="B30:C30"/>
    <mergeCell ref="D25:F25"/>
    <mergeCell ref="B28:C28"/>
    <mergeCell ref="G25:I2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40.54296875" style="143" customWidth="1"/>
    <col min="3" max="3" width="8.81640625" style="143" customWidth="1"/>
    <col min="4" max="4" width="7.1796875" style="143" customWidth="1"/>
    <col min="5" max="5" width="12.1796875" style="143" customWidth="1"/>
    <col min="6" max="6" width="10.1796875" style="143" customWidth="1"/>
    <col min="7" max="7" width="10.81640625" style="143" customWidth="1"/>
    <col min="8" max="8" width="14.81640625" style="143" customWidth="1"/>
    <col min="9" max="9" width="13" style="143" customWidth="1"/>
    <col min="10" max="10" width="16.1796875" style="143" customWidth="1"/>
    <col min="11" max="11" width="13" style="143" customWidth="1"/>
    <col min="12" max="12" width="15.1796875" style="143" customWidth="1"/>
    <col min="13" max="13" width="8" style="143" customWidth="1"/>
    <col min="14" max="14" width="22.81640625" style="143" customWidth="1"/>
    <col min="15" max="16384" width="9.1796875" style="143"/>
  </cols>
  <sheetData>
    <row r="1" spans="1:16" ht="6" customHeight="1">
      <c r="A1" s="152"/>
      <c r="B1" s="49"/>
      <c r="C1" s="49"/>
      <c r="D1" s="49"/>
      <c r="E1" s="49"/>
      <c r="F1" s="49"/>
      <c r="G1" s="49"/>
      <c r="H1" s="49"/>
      <c r="I1" s="49"/>
      <c r="J1" s="49"/>
      <c r="K1" s="49"/>
      <c r="L1" s="49"/>
      <c r="M1" s="49"/>
      <c r="N1" s="153"/>
      <c r="O1" s="21"/>
      <c r="P1" s="21"/>
    </row>
    <row r="2" spans="1:16" s="101" customFormat="1" ht="18">
      <c r="A2" s="102"/>
      <c r="B2" s="103" t="str">
        <f>'Cover Sheet'!B2</f>
        <v>SC Germany Consumer 2021-1</v>
      </c>
      <c r="C2" s="103"/>
      <c r="D2" s="104"/>
      <c r="E2" s="1061" t="str">
        <f>'Cover Sheet'!D2</f>
        <v>Calculation Date</v>
      </c>
      <c r="F2" s="1058"/>
      <c r="G2" s="106"/>
      <c r="H2" s="107">
        <f>'Cover Sheet'!F2</f>
        <v>45820</v>
      </c>
      <c r="I2" s="154"/>
      <c r="J2" s="106"/>
      <c r="K2" s="106"/>
      <c r="L2" s="108"/>
      <c r="M2" s="10"/>
      <c r="N2" s="109"/>
      <c r="O2" s="104"/>
      <c r="P2" s="104"/>
    </row>
    <row r="3" spans="1:16" s="101" customFormat="1" ht="18">
      <c r="A3" s="102"/>
      <c r="B3" s="103" t="str">
        <f>'Cover Sheet'!B3</f>
        <v>Monthly Investor Report</v>
      </c>
      <c r="C3" s="103"/>
      <c r="D3" s="104"/>
      <c r="E3" s="1062" t="str">
        <f>'Cover Sheet'!D3</f>
        <v>Payment Date</v>
      </c>
      <c r="F3" s="1063"/>
      <c r="G3" s="113"/>
      <c r="H3" s="113">
        <f>'Cover Sheet'!F3</f>
        <v>45824</v>
      </c>
      <c r="I3" s="155"/>
      <c r="J3" s="112"/>
      <c r="K3" s="112"/>
      <c r="L3" s="114"/>
      <c r="M3" s="10"/>
      <c r="N3" s="109"/>
      <c r="O3" s="104"/>
      <c r="P3" s="104"/>
    </row>
    <row r="4" spans="1:16" s="101" customFormat="1" ht="15.5">
      <c r="A4" s="102"/>
      <c r="B4" s="156"/>
      <c r="C4" s="157"/>
      <c r="D4" s="104"/>
      <c r="E4" s="1062" t="str">
        <f>'Cover Sheet'!D4</f>
        <v>Period  No</v>
      </c>
      <c r="F4" s="1063"/>
      <c r="G4" s="116"/>
      <c r="H4" s="116">
        <f>'Cover Sheet'!F4</f>
        <v>43</v>
      </c>
      <c r="I4" s="158"/>
      <c r="J4" s="117"/>
      <c r="K4" s="112"/>
      <c r="L4" s="118"/>
      <c r="M4" s="10"/>
      <c r="N4" s="109"/>
      <c r="O4" s="104"/>
      <c r="P4" s="104"/>
    </row>
    <row r="5" spans="1:16" s="101" customFormat="1" ht="18">
      <c r="A5" s="102"/>
      <c r="B5" s="159" t="s">
        <v>402</v>
      </c>
      <c r="C5" s="119"/>
      <c r="D5" s="104"/>
      <c r="E5" s="1062" t="str">
        <f>'Cover Sheet'!D5</f>
        <v>Monthly Period</v>
      </c>
      <c r="F5" s="1063"/>
      <c r="G5" s="160"/>
      <c r="H5" s="120">
        <f>'Cover Sheet'!F5</f>
        <v>45824</v>
      </c>
      <c r="I5" s="112"/>
      <c r="J5" s="117"/>
      <c r="K5" s="112"/>
      <c r="L5" s="118"/>
      <c r="M5" s="10"/>
      <c r="N5" s="109"/>
      <c r="O5" s="104"/>
      <c r="P5" s="104"/>
    </row>
    <row r="6" spans="1:16" s="101" customFormat="1" ht="15" customHeight="1">
      <c r="A6" s="102"/>
      <c r="B6" s="121"/>
      <c r="C6" s="110"/>
      <c r="D6" s="104"/>
      <c r="E6" s="1053" t="str">
        <f>'Cover Sheet'!D6</f>
        <v>Interest Period</v>
      </c>
      <c r="F6" s="1054"/>
      <c r="G6" s="113" t="s">
        <v>34</v>
      </c>
      <c r="H6" s="113">
        <f>'Cover Sheet'!F6</f>
        <v>45791</v>
      </c>
      <c r="I6" s="113" t="s">
        <v>4</v>
      </c>
      <c r="J6" s="113">
        <f>'Cover Sheet'!$H$6</f>
        <v>45824</v>
      </c>
      <c r="K6" s="113" t="s">
        <v>15</v>
      </c>
      <c r="L6" s="161" t="str">
        <f>'Cover Sheet'!$J$6</f>
        <v>33 days</v>
      </c>
      <c r="M6" s="10"/>
      <c r="N6" s="162"/>
      <c r="O6" s="104"/>
      <c r="P6" s="104"/>
    </row>
    <row r="7" spans="1:16" s="101" customFormat="1" ht="15.5">
      <c r="A7" s="102"/>
      <c r="B7" s="104"/>
      <c r="C7" s="104"/>
      <c r="D7" s="163"/>
      <c r="E7" s="1055" t="str">
        <f>'Cover Sheet'!D7</f>
        <v>Collection Period</v>
      </c>
      <c r="F7" s="1056"/>
      <c r="G7" s="128" t="s">
        <v>34</v>
      </c>
      <c r="H7" s="128" t="str">
        <f>'Cover Sheet'!F7</f>
        <v>01.05.2025</v>
      </c>
      <c r="I7" s="128" t="s">
        <v>4</v>
      </c>
      <c r="J7" s="128">
        <f>'Cover Sheet'!H7</f>
        <v>45808</v>
      </c>
      <c r="K7" s="164"/>
      <c r="L7" s="165"/>
      <c r="M7" s="10"/>
      <c r="N7" s="109"/>
      <c r="O7" s="104"/>
      <c r="P7" s="104"/>
    </row>
    <row r="8" spans="1:16" s="101" customFormat="1" ht="13">
      <c r="A8" s="102"/>
      <c r="B8" s="104"/>
      <c r="C8" s="104"/>
      <c r="D8" s="21"/>
      <c r="E8" s="133"/>
      <c r="F8" s="132"/>
      <c r="G8" s="133"/>
      <c r="H8" s="104"/>
      <c r="I8" s="166"/>
      <c r="J8" s="104"/>
      <c r="K8" s="134"/>
      <c r="L8" s="104"/>
      <c r="M8" s="104"/>
      <c r="N8" s="109"/>
      <c r="O8" s="104"/>
      <c r="P8" s="104"/>
    </row>
    <row r="9" spans="1:16" s="101" customFormat="1" ht="13">
      <c r="A9" s="102"/>
      <c r="B9" s="104"/>
      <c r="C9" s="104"/>
      <c r="D9" s="21"/>
      <c r="E9" s="104"/>
      <c r="F9" s="104"/>
      <c r="G9" s="104"/>
      <c r="H9" s="104"/>
      <c r="I9" s="104"/>
      <c r="J9" s="104"/>
      <c r="K9" s="104"/>
      <c r="L9" s="104"/>
      <c r="M9" s="104"/>
      <c r="N9" s="167"/>
      <c r="O9" s="104"/>
      <c r="P9" s="104"/>
    </row>
    <row r="10" spans="1:16" s="101" customFormat="1">
      <c r="A10" s="102"/>
      <c r="B10" s="104"/>
      <c r="C10" s="104"/>
      <c r="D10" s="21"/>
      <c r="E10" s="104"/>
      <c r="F10" s="144"/>
      <c r="G10" s="104"/>
      <c r="H10" s="104"/>
      <c r="I10" s="21"/>
      <c r="J10" s="21"/>
      <c r="K10" s="104"/>
      <c r="L10" s="104"/>
      <c r="M10" s="104"/>
      <c r="N10" s="109"/>
      <c r="O10" s="104"/>
      <c r="P10" s="104"/>
    </row>
    <row r="11" spans="1:16" s="101" customFormat="1" ht="12.75" customHeight="1">
      <c r="A11" s="102"/>
      <c r="B11" s="168"/>
      <c r="C11" s="104"/>
      <c r="D11" s="10"/>
      <c r="E11" s="10"/>
      <c r="F11" s="10"/>
      <c r="G11" s="10"/>
      <c r="H11" s="10"/>
      <c r="I11" s="10"/>
      <c r="J11" s="10"/>
      <c r="K11" s="10"/>
      <c r="L11" s="10"/>
      <c r="M11" s="10"/>
      <c r="N11" s="169"/>
      <c r="O11" s="104"/>
      <c r="P11" s="104"/>
    </row>
    <row r="12" spans="1:16" s="101" customFormat="1" ht="12.75" customHeight="1">
      <c r="A12" s="102"/>
      <c r="B12" s="168"/>
      <c r="C12" s="104"/>
      <c r="D12" s="10"/>
      <c r="E12" s="10"/>
      <c r="F12" s="10"/>
      <c r="G12" s="10"/>
      <c r="H12" s="10"/>
      <c r="I12" s="10"/>
      <c r="J12" s="10"/>
      <c r="K12" s="10"/>
      <c r="L12" s="10"/>
      <c r="M12" s="10"/>
      <c r="N12" s="169"/>
      <c r="O12" s="104"/>
      <c r="P12" s="104"/>
    </row>
    <row r="13" spans="1:16" s="101" customFormat="1" ht="12.75" customHeight="1">
      <c r="A13" s="102"/>
      <c r="B13" s="168"/>
      <c r="C13" s="168"/>
      <c r="D13" s="168"/>
      <c r="E13" s="168"/>
      <c r="F13" s="10"/>
      <c r="G13" s="10"/>
      <c r="H13" s="10"/>
      <c r="I13" s="10"/>
      <c r="J13" s="10"/>
      <c r="K13" s="10"/>
      <c r="L13" s="10"/>
      <c r="M13" s="10"/>
      <c r="N13" s="169"/>
      <c r="O13" s="104"/>
      <c r="P13" s="104"/>
    </row>
    <row r="14" spans="1:16" s="101" customFormat="1" ht="12.75" customHeight="1">
      <c r="A14" s="102"/>
      <c r="B14" s="168"/>
      <c r="C14" s="168"/>
      <c r="D14" s="168"/>
      <c r="E14" s="168"/>
      <c r="F14" s="170"/>
      <c r="G14" s="170"/>
      <c r="H14" s="170"/>
      <c r="I14" s="170"/>
      <c r="J14" s="171"/>
      <c r="K14" s="171"/>
      <c r="L14" s="172"/>
      <c r="M14" s="172"/>
      <c r="N14" s="173"/>
      <c r="P14" s="174"/>
    </row>
    <row r="15" spans="1:16" s="101" customFormat="1" ht="13.5" customHeight="1">
      <c r="A15" s="102"/>
      <c r="B15" s="24" t="s">
        <v>216</v>
      </c>
      <c r="C15" s="25"/>
      <c r="D15" s="64" t="s">
        <v>217</v>
      </c>
      <c r="E15" s="64"/>
      <c r="F15" s="70"/>
      <c r="G15" s="175"/>
      <c r="H15" s="175"/>
      <c r="I15" s="175"/>
      <c r="J15" s="175"/>
      <c r="K15" s="176"/>
      <c r="L15" s="177"/>
      <c r="M15" s="177"/>
      <c r="N15" s="178"/>
      <c r="P15" s="174"/>
    </row>
    <row r="16" spans="1:16">
      <c r="A16" s="179"/>
      <c r="B16" s="25"/>
      <c r="C16" s="25"/>
      <c r="D16" s="64" t="s">
        <v>218</v>
      </c>
      <c r="E16" s="64"/>
      <c r="F16" s="180"/>
      <c r="G16" s="71"/>
      <c r="H16" s="71"/>
      <c r="I16" s="71"/>
      <c r="J16" s="71"/>
      <c r="K16" s="181"/>
      <c r="L16" s="181"/>
      <c r="M16" s="181"/>
      <c r="N16" s="178"/>
      <c r="P16" s="174"/>
    </row>
    <row r="17" spans="1:16">
      <c r="A17" s="179"/>
      <c r="B17" s="25"/>
      <c r="C17" s="25"/>
      <c r="D17" s="64"/>
      <c r="E17" s="64"/>
      <c r="F17" s="71"/>
      <c r="G17" s="71"/>
      <c r="H17" s="71"/>
      <c r="I17" s="71"/>
      <c r="J17" s="71"/>
      <c r="K17" s="181"/>
      <c r="L17" s="181"/>
      <c r="M17" s="181"/>
      <c r="N17" s="178"/>
      <c r="P17" s="174"/>
    </row>
    <row r="18" spans="1:16" ht="13">
      <c r="A18" s="179"/>
      <c r="B18" s="24" t="s">
        <v>219</v>
      </c>
      <c r="C18" s="25"/>
      <c r="D18" s="64" t="s">
        <v>220</v>
      </c>
      <c r="E18" s="64"/>
      <c r="F18" s="71"/>
      <c r="G18" s="71"/>
      <c r="H18" s="71"/>
      <c r="I18" s="71"/>
      <c r="J18" s="71"/>
      <c r="K18" s="181"/>
      <c r="L18" s="181"/>
      <c r="M18" s="181"/>
      <c r="N18" s="178"/>
      <c r="P18" s="174"/>
    </row>
    <row r="19" spans="1:16" ht="13">
      <c r="A19" s="179"/>
      <c r="B19" s="24"/>
      <c r="C19" s="25"/>
      <c r="D19" s="64" t="s">
        <v>221</v>
      </c>
      <c r="E19" s="64"/>
      <c r="F19" s="71"/>
      <c r="G19" s="71"/>
      <c r="H19" s="71"/>
      <c r="I19" s="71"/>
      <c r="J19" s="71"/>
      <c r="K19" s="181"/>
      <c r="L19" s="181"/>
      <c r="M19" s="181"/>
      <c r="N19" s="178"/>
      <c r="P19" s="174"/>
    </row>
    <row r="20" spans="1:16" ht="13">
      <c r="A20" s="179"/>
      <c r="B20" s="24"/>
      <c r="C20" s="25"/>
      <c r="D20" s="64"/>
      <c r="E20" s="64"/>
      <c r="F20" s="71"/>
      <c r="G20" s="71"/>
      <c r="H20" s="71"/>
      <c r="I20" s="71"/>
      <c r="J20" s="71"/>
      <c r="K20" s="181"/>
      <c r="L20" s="181"/>
      <c r="M20" s="181"/>
      <c r="N20" s="178"/>
      <c r="P20" s="174"/>
    </row>
    <row r="21" spans="1:16" ht="15.75" customHeight="1">
      <c r="A21" s="179"/>
      <c r="B21" s="24" t="s">
        <v>222</v>
      </c>
      <c r="C21" s="25"/>
      <c r="D21" s="64" t="s">
        <v>223</v>
      </c>
      <c r="E21" s="64"/>
      <c r="F21" s="182"/>
      <c r="G21" s="182"/>
      <c r="H21" s="182"/>
      <c r="I21" s="182"/>
      <c r="J21" s="71"/>
      <c r="K21" s="181"/>
      <c r="L21" s="181"/>
      <c r="M21" s="181"/>
      <c r="N21" s="178"/>
      <c r="P21" s="174"/>
    </row>
    <row r="22" spans="1:16" ht="13">
      <c r="A22" s="179"/>
      <c r="B22" s="24"/>
      <c r="C22" s="25"/>
      <c r="D22" s="64"/>
      <c r="E22" s="64"/>
      <c r="F22" s="71"/>
      <c r="G22" s="71"/>
      <c r="H22" s="71"/>
      <c r="I22" s="71"/>
      <c r="J22" s="183"/>
      <c r="K22" s="181"/>
      <c r="L22" s="181"/>
      <c r="M22" s="181"/>
      <c r="N22" s="178"/>
      <c r="P22" s="174"/>
    </row>
    <row r="23" spans="1:16" ht="13">
      <c r="A23" s="179"/>
      <c r="B23" s="24" t="s">
        <v>224</v>
      </c>
      <c r="C23" s="25"/>
      <c r="D23" s="64" t="s">
        <v>901</v>
      </c>
      <c r="E23" s="64"/>
      <c r="F23" s="184"/>
      <c r="G23" s="184"/>
      <c r="H23" s="184"/>
      <c r="I23" s="184"/>
      <c r="J23" s="184"/>
      <c r="K23" s="184"/>
      <c r="L23" s="184"/>
      <c r="M23" s="184"/>
      <c r="N23" s="178"/>
      <c r="P23" s="174"/>
    </row>
    <row r="24" spans="1:16" ht="12.75" customHeight="1">
      <c r="A24" s="179"/>
      <c r="B24" s="24"/>
      <c r="C24" s="25"/>
      <c r="D24" s="64"/>
      <c r="E24" s="64"/>
      <c r="F24" s="184"/>
      <c r="G24" s="184"/>
      <c r="H24" s="184"/>
      <c r="I24" s="184"/>
      <c r="J24" s="184"/>
      <c r="K24" s="184"/>
      <c r="L24" s="184"/>
      <c r="M24" s="184"/>
      <c r="N24" s="178"/>
      <c r="P24" s="174"/>
    </row>
    <row r="25" spans="1:16" s="101" customFormat="1" ht="12.75" customHeight="1">
      <c r="A25" s="102"/>
      <c r="B25" s="24" t="s">
        <v>225</v>
      </c>
      <c r="C25" s="25"/>
      <c r="D25" s="64" t="s">
        <v>226</v>
      </c>
      <c r="E25" s="64"/>
      <c r="F25" s="184"/>
      <c r="G25" s="184"/>
      <c r="H25" s="184"/>
      <c r="I25" s="184"/>
      <c r="J25" s="184"/>
      <c r="K25" s="184"/>
      <c r="L25" s="184"/>
      <c r="M25" s="184"/>
      <c r="N25" s="185"/>
      <c r="O25" s="104"/>
      <c r="P25" s="104"/>
    </row>
    <row r="26" spans="1:16" s="101" customFormat="1" ht="12.75" customHeight="1">
      <c r="A26" s="102"/>
      <c r="B26" s="24"/>
      <c r="C26" s="25"/>
      <c r="D26" s="64"/>
      <c r="E26" s="64"/>
      <c r="F26" s="184"/>
      <c r="G26" s="184"/>
      <c r="H26" s="184"/>
      <c r="I26" s="184"/>
      <c r="J26" s="184"/>
      <c r="K26" s="184"/>
      <c r="L26" s="184"/>
      <c r="M26" s="184"/>
      <c r="N26" s="185"/>
      <c r="O26" s="104"/>
      <c r="P26" s="104"/>
    </row>
    <row r="27" spans="1:16" s="101" customFormat="1" ht="12.75" customHeight="1">
      <c r="A27" s="102"/>
      <c r="B27" s="24" t="s">
        <v>227</v>
      </c>
      <c r="C27" s="25"/>
      <c r="D27" s="25" t="s">
        <v>897</v>
      </c>
      <c r="E27" s="64"/>
      <c r="F27" s="184"/>
      <c r="G27" s="184"/>
      <c r="H27" s="184"/>
      <c r="I27" s="186"/>
      <c r="J27" s="184"/>
      <c r="K27" s="184"/>
      <c r="L27" s="184"/>
      <c r="M27" s="184"/>
      <c r="N27" s="187"/>
      <c r="O27" s="104"/>
      <c r="P27" s="104"/>
    </row>
    <row r="28" spans="1:16" s="101" customFormat="1" ht="12.75" customHeight="1">
      <c r="A28" s="102"/>
      <c r="B28" s="24"/>
      <c r="C28" s="25"/>
      <c r="D28" s="64"/>
      <c r="E28" s="64"/>
      <c r="F28" s="184"/>
      <c r="G28" s="184"/>
      <c r="H28" s="184"/>
      <c r="I28" s="184"/>
      <c r="J28" s="184"/>
      <c r="K28" s="184"/>
      <c r="L28" s="184"/>
      <c r="M28" s="184"/>
      <c r="N28" s="185"/>
      <c r="O28" s="104"/>
      <c r="P28" s="104"/>
    </row>
    <row r="29" spans="1:16" s="101" customFormat="1" ht="12.75" customHeight="1">
      <c r="A29" s="102"/>
      <c r="B29" s="24" t="s">
        <v>228</v>
      </c>
      <c r="C29" s="25"/>
      <c r="D29" s="64" t="s">
        <v>229</v>
      </c>
      <c r="E29" s="64"/>
      <c r="F29" s="184"/>
      <c r="G29" s="184"/>
      <c r="H29" s="184"/>
      <c r="I29" s="184"/>
      <c r="J29" s="184"/>
      <c r="K29" s="184"/>
      <c r="L29" s="184"/>
      <c r="M29" s="184"/>
      <c r="N29" s="185"/>
      <c r="O29" s="104"/>
      <c r="P29" s="104"/>
    </row>
    <row r="30" spans="1:16" s="101" customFormat="1" ht="12.75" customHeight="1">
      <c r="A30" s="102"/>
      <c r="B30" s="25"/>
      <c r="C30" s="25"/>
      <c r="D30" s="64" t="s">
        <v>898</v>
      </c>
      <c r="E30" s="64"/>
      <c r="F30" s="184"/>
      <c r="G30" s="184"/>
      <c r="H30" s="184"/>
      <c r="I30" s="184"/>
      <c r="J30" s="184"/>
      <c r="K30" s="184"/>
      <c r="L30" s="184"/>
      <c r="M30" s="184"/>
      <c r="N30" s="185"/>
      <c r="O30" s="104"/>
      <c r="P30" s="104"/>
    </row>
    <row r="31" spans="1:16" s="101" customFormat="1" ht="12.75" customHeight="1">
      <c r="A31" s="102"/>
      <c r="B31" s="25"/>
      <c r="C31" s="25"/>
      <c r="D31" s="64"/>
      <c r="E31" s="64"/>
      <c r="F31" s="184"/>
      <c r="G31" s="184"/>
      <c r="H31" s="184"/>
      <c r="I31" s="184"/>
      <c r="J31" s="184"/>
      <c r="K31" s="184"/>
      <c r="L31" s="184"/>
      <c r="M31" s="184"/>
      <c r="N31" s="185"/>
      <c r="O31" s="104"/>
      <c r="P31" s="104"/>
    </row>
    <row r="32" spans="1:16" s="101" customFormat="1" ht="12.75" customHeight="1">
      <c r="A32" s="102"/>
      <c r="B32" s="24" t="s">
        <v>230</v>
      </c>
      <c r="C32" s="25"/>
      <c r="D32" s="64" t="s">
        <v>899</v>
      </c>
      <c r="E32" s="188"/>
      <c r="F32" s="184"/>
      <c r="G32" s="184"/>
      <c r="H32" s="189"/>
      <c r="I32" s="189"/>
      <c r="J32" s="189"/>
      <c r="K32" s="189"/>
      <c r="L32" s="189"/>
      <c r="M32" s="189"/>
      <c r="N32" s="190"/>
      <c r="O32" s="104"/>
      <c r="P32" s="104"/>
    </row>
    <row r="33" spans="1:16" s="101" customFormat="1" ht="12.75" customHeight="1">
      <c r="A33" s="102"/>
      <c r="B33" s="24"/>
      <c r="C33" s="104"/>
      <c r="D33" s="189"/>
      <c r="E33" s="189"/>
      <c r="F33" s="189"/>
      <c r="G33" s="189"/>
      <c r="H33" s="189"/>
      <c r="I33" s="189"/>
      <c r="J33" s="189"/>
      <c r="K33" s="189"/>
      <c r="L33" s="189"/>
      <c r="M33" s="189"/>
      <c r="N33" s="190"/>
      <c r="O33" s="104"/>
      <c r="P33" s="104"/>
    </row>
    <row r="34" spans="1:16" s="101" customFormat="1" ht="12.75" customHeight="1">
      <c r="A34" s="102"/>
      <c r="B34" s="24" t="s">
        <v>231</v>
      </c>
      <c r="C34" s="191"/>
      <c r="D34" s="64" t="s">
        <v>900</v>
      </c>
      <c r="E34" s="184"/>
      <c r="F34" s="184"/>
      <c r="G34" s="184"/>
      <c r="H34" s="184"/>
      <c r="I34" s="184"/>
      <c r="J34" s="189"/>
      <c r="K34" s="189"/>
      <c r="L34" s="189"/>
      <c r="M34" s="189"/>
      <c r="N34" s="190"/>
      <c r="O34" s="104"/>
      <c r="P34" s="104"/>
    </row>
    <row r="35" spans="1:16" s="101" customFormat="1" ht="12.75" customHeight="1">
      <c r="A35" s="102"/>
      <c r="B35" s="104"/>
      <c r="C35" s="104"/>
      <c r="D35" s="104"/>
      <c r="E35" s="104"/>
      <c r="F35" s="104"/>
      <c r="G35" s="104"/>
      <c r="H35" s="104"/>
      <c r="I35" s="104"/>
      <c r="J35" s="104"/>
      <c r="K35" s="104"/>
      <c r="L35" s="104"/>
      <c r="M35" s="104"/>
      <c r="N35" s="109"/>
      <c r="O35" s="104"/>
      <c r="P35" s="104"/>
    </row>
    <row r="36" spans="1:16" s="101" customFormat="1" ht="12.75" customHeight="1">
      <c r="A36" s="102"/>
      <c r="B36" s="25"/>
      <c r="C36" s="25"/>
      <c r="D36" s="25"/>
      <c r="E36" s="25"/>
      <c r="F36" s="192"/>
      <c r="G36" s="192"/>
      <c r="H36" s="192"/>
      <c r="I36" s="192"/>
      <c r="J36" s="192"/>
      <c r="K36" s="192"/>
      <c r="L36" s="192"/>
      <c r="M36" s="192"/>
      <c r="N36" s="169"/>
      <c r="O36" s="104"/>
      <c r="P36" s="104"/>
    </row>
    <row r="37" spans="1:16" s="101" customFormat="1" ht="12.75" customHeight="1">
      <c r="A37" s="102"/>
      <c r="B37" s="192"/>
      <c r="C37" s="192"/>
      <c r="D37" s="192"/>
      <c r="E37" s="192"/>
      <c r="F37" s="192"/>
      <c r="G37" s="192"/>
      <c r="H37" s="192"/>
      <c r="I37" s="192"/>
      <c r="J37" s="192"/>
      <c r="K37" s="192"/>
      <c r="L37" s="192"/>
      <c r="M37" s="192"/>
      <c r="N37" s="193"/>
      <c r="O37" s="104"/>
      <c r="P37" s="104"/>
    </row>
    <row r="38" spans="1:16" s="101" customFormat="1" ht="12.75" customHeight="1">
      <c r="A38" s="102"/>
      <c r="B38" s="192"/>
      <c r="C38" s="192"/>
      <c r="D38" s="192"/>
      <c r="E38" s="192"/>
      <c r="F38" s="192"/>
      <c r="G38" s="192"/>
      <c r="H38" s="192"/>
      <c r="I38" s="192"/>
      <c r="J38" s="192"/>
      <c r="K38" s="192"/>
      <c r="L38" s="192"/>
      <c r="M38" s="192"/>
      <c r="N38" s="193"/>
      <c r="O38" s="104"/>
      <c r="P38" s="104"/>
    </row>
    <row r="39" spans="1:16" s="101" customFormat="1" ht="12.75" customHeight="1">
      <c r="A39" s="102"/>
      <c r="B39" s="192"/>
      <c r="C39" s="192"/>
      <c r="D39" s="192"/>
      <c r="E39" s="192"/>
      <c r="F39" s="192"/>
      <c r="G39" s="192"/>
      <c r="H39" s="192"/>
      <c r="I39" s="192"/>
      <c r="J39" s="192"/>
      <c r="K39" s="192"/>
      <c r="L39" s="192"/>
      <c r="M39" s="192"/>
      <c r="N39" s="193"/>
      <c r="O39" s="104"/>
      <c r="P39" s="104"/>
    </row>
    <row r="40" spans="1:16" s="101" customFormat="1" ht="12.75" customHeight="1">
      <c r="A40" s="102"/>
      <c r="B40" s="192"/>
      <c r="C40" s="192"/>
      <c r="D40" s="192"/>
      <c r="E40" s="192"/>
      <c r="F40" s="192"/>
      <c r="G40" s="192"/>
      <c r="H40" s="192"/>
      <c r="I40" s="192"/>
      <c r="J40" s="192"/>
      <c r="K40" s="192"/>
      <c r="L40" s="192"/>
      <c r="M40" s="192"/>
      <c r="N40" s="193"/>
      <c r="O40" s="104"/>
      <c r="P40" s="104"/>
    </row>
    <row r="41" spans="1:16" s="101" customFormat="1" ht="12.75" customHeight="1">
      <c r="A41" s="102"/>
      <c r="B41" s="192"/>
      <c r="C41" s="192"/>
      <c r="D41" s="192"/>
      <c r="E41" s="192"/>
      <c r="F41" s="192"/>
      <c r="G41" s="192"/>
      <c r="H41" s="192"/>
      <c r="I41" s="192"/>
      <c r="J41" s="192"/>
      <c r="K41" s="192"/>
      <c r="L41" s="192"/>
      <c r="M41" s="192"/>
      <c r="N41" s="193"/>
      <c r="O41" s="104"/>
      <c r="P41" s="104"/>
    </row>
    <row r="42" spans="1:16" s="101" customFormat="1" ht="12.75" customHeight="1">
      <c r="A42" s="102"/>
      <c r="B42" s="192"/>
      <c r="C42" s="192"/>
      <c r="D42" s="192"/>
      <c r="E42" s="192"/>
      <c r="F42" s="192"/>
      <c r="G42" s="192"/>
      <c r="H42" s="192"/>
      <c r="I42" s="192"/>
      <c r="J42" s="192"/>
      <c r="K42" s="192"/>
      <c r="L42" s="192"/>
      <c r="M42" s="192"/>
      <c r="N42" s="193"/>
      <c r="O42" s="104"/>
      <c r="P42" s="104"/>
    </row>
    <row r="43" spans="1:16">
      <c r="A43" s="179"/>
      <c r="B43" s="192"/>
      <c r="C43" s="192"/>
      <c r="D43" s="192"/>
      <c r="E43" s="192"/>
      <c r="F43" s="192"/>
      <c r="G43" s="192"/>
      <c r="H43" s="192"/>
      <c r="I43" s="192"/>
      <c r="J43" s="192"/>
      <c r="K43" s="192"/>
      <c r="L43" s="192"/>
      <c r="M43" s="192"/>
      <c r="N43" s="193"/>
      <c r="O43" s="21"/>
      <c r="P43" s="21"/>
    </row>
    <row r="44" spans="1:16">
      <c r="A44" s="179"/>
      <c r="B44" s="192"/>
      <c r="C44" s="192"/>
      <c r="D44" s="192"/>
      <c r="E44" s="192"/>
      <c r="F44" s="192"/>
      <c r="G44" s="192"/>
      <c r="H44" s="192"/>
      <c r="I44" s="192"/>
      <c r="J44" s="192"/>
      <c r="K44" s="192"/>
      <c r="L44" s="192"/>
      <c r="M44" s="192"/>
      <c r="N44" s="193"/>
      <c r="O44" s="21"/>
      <c r="P44" s="21"/>
    </row>
    <row r="45" spans="1:16">
      <c r="A45" s="179"/>
      <c r="B45" s="192"/>
      <c r="C45" s="192"/>
      <c r="D45" s="192"/>
      <c r="E45" s="192"/>
      <c r="F45" s="192"/>
      <c r="G45" s="192"/>
      <c r="H45" s="192"/>
      <c r="I45" s="192"/>
      <c r="J45" s="192"/>
      <c r="K45" s="192"/>
      <c r="L45" s="192"/>
      <c r="M45" s="192"/>
      <c r="N45" s="193"/>
      <c r="O45" s="21"/>
      <c r="P45" s="21"/>
    </row>
    <row r="46" spans="1:16" s="21" customFormat="1">
      <c r="A46" s="179"/>
      <c r="B46" s="104"/>
      <c r="C46" s="104"/>
      <c r="D46" s="104"/>
      <c r="E46" s="104"/>
      <c r="F46" s="104"/>
      <c r="G46" s="104"/>
      <c r="H46" s="192"/>
      <c r="I46" s="192"/>
      <c r="J46" s="192"/>
      <c r="K46" s="192"/>
      <c r="L46" s="192"/>
      <c r="M46" s="192"/>
      <c r="N46" s="173"/>
    </row>
    <row r="47" spans="1:16" s="21" customFormat="1">
      <c r="A47" s="179"/>
      <c r="B47" s="104"/>
      <c r="C47" s="104"/>
      <c r="D47" s="104"/>
      <c r="E47" s="104"/>
      <c r="F47" s="104"/>
      <c r="G47" s="104"/>
      <c r="H47" s="192"/>
      <c r="I47" s="192"/>
      <c r="J47" s="192"/>
      <c r="K47" s="192"/>
      <c r="L47" s="192"/>
      <c r="M47" s="192"/>
      <c r="N47" s="173"/>
    </row>
    <row r="48" spans="1:16" s="21" customFormat="1">
      <c r="A48" s="179"/>
      <c r="B48" s="192"/>
      <c r="C48" s="192"/>
      <c r="D48" s="192"/>
      <c r="E48" s="192"/>
      <c r="F48" s="192"/>
      <c r="G48" s="192"/>
      <c r="H48" s="192"/>
      <c r="I48" s="192"/>
      <c r="J48" s="192"/>
      <c r="K48" s="192"/>
      <c r="L48" s="192"/>
      <c r="M48" s="192"/>
      <c r="N48" s="173"/>
    </row>
    <row r="49" spans="1:14" s="21" customFormat="1" ht="12.75" customHeight="1">
      <c r="A49" s="194"/>
      <c r="B49" s="50"/>
      <c r="C49" s="11"/>
      <c r="D49" s="12"/>
      <c r="E49" s="12"/>
      <c r="F49" s="12"/>
      <c r="G49" s="12"/>
      <c r="H49" s="12"/>
      <c r="I49" s="12"/>
      <c r="J49" s="12"/>
      <c r="K49" s="12"/>
      <c r="L49" s="12"/>
      <c r="M49" s="12"/>
      <c r="N49" s="195"/>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6"/>
      <c r="E53" s="13"/>
      <c r="F53" s="197"/>
      <c r="G53" s="198"/>
      <c r="H53" s="197"/>
      <c r="I53" s="172"/>
    </row>
    <row r="54" spans="1:14" s="21" customFormat="1">
      <c r="B54" s="14"/>
      <c r="C54" s="13"/>
      <c r="D54" s="196"/>
      <c r="E54" s="13"/>
      <c r="F54" s="197"/>
      <c r="G54" s="198"/>
      <c r="H54" s="197"/>
      <c r="I54" s="172"/>
    </row>
    <row r="55" spans="1:14" s="21" customFormat="1">
      <c r="B55" s="14"/>
      <c r="C55" s="13"/>
      <c r="D55" s="196"/>
      <c r="E55" s="13"/>
      <c r="F55" s="197"/>
      <c r="G55" s="198"/>
      <c r="H55" s="197"/>
      <c r="I55" s="172"/>
    </row>
    <row r="56" spans="1:14" s="21" customFormat="1">
      <c r="B56" s="14"/>
      <c r="C56" s="13"/>
      <c r="D56" s="196"/>
      <c r="E56" s="13"/>
      <c r="F56" s="197"/>
      <c r="G56" s="198"/>
      <c r="H56" s="197"/>
      <c r="I56" s="172"/>
    </row>
    <row r="57" spans="1:14" s="21" customFormat="1">
      <c r="B57" s="14"/>
      <c r="C57" s="13"/>
      <c r="D57" s="196"/>
      <c r="E57" s="13"/>
      <c r="F57" s="197"/>
      <c r="G57" s="198"/>
      <c r="H57" s="197"/>
      <c r="I57" s="172"/>
    </row>
    <row r="58" spans="1:14" s="21" customFormat="1">
      <c r="B58" s="14"/>
      <c r="C58" s="13"/>
      <c r="D58" s="196"/>
      <c r="E58" s="13"/>
      <c r="F58" s="197"/>
      <c r="G58" s="198"/>
      <c r="H58" s="197"/>
      <c r="I58" s="172"/>
    </row>
    <row r="59" spans="1:14" s="21" customFormat="1">
      <c r="B59" s="14"/>
      <c r="C59" s="13"/>
      <c r="D59" s="196"/>
      <c r="E59" s="13"/>
      <c r="F59" s="197"/>
      <c r="G59" s="198"/>
      <c r="H59" s="197"/>
      <c r="I59" s="172"/>
    </row>
    <row r="60" spans="1:14" s="21" customFormat="1">
      <c r="B60" s="14"/>
      <c r="C60" s="13"/>
      <c r="D60" s="196"/>
      <c r="E60" s="13"/>
      <c r="F60" s="197"/>
      <c r="G60" s="198"/>
      <c r="H60" s="197"/>
      <c r="I60" s="172"/>
    </row>
    <row r="61" spans="1:14" s="21" customFormat="1">
      <c r="B61" s="14"/>
      <c r="C61" s="13"/>
      <c r="D61" s="196"/>
      <c r="E61" s="13"/>
      <c r="F61" s="197"/>
      <c r="G61" s="198"/>
      <c r="H61" s="197"/>
      <c r="I61" s="172"/>
    </row>
    <row r="62" spans="1:14" s="21" customFormat="1">
      <c r="B62" s="14"/>
      <c r="C62" s="13"/>
      <c r="D62" s="196"/>
      <c r="E62" s="13"/>
      <c r="F62" s="197"/>
      <c r="G62" s="198"/>
      <c r="H62" s="197"/>
      <c r="I62" s="172"/>
    </row>
    <row r="63" spans="1:14" s="21" customFormat="1">
      <c r="B63" s="14"/>
      <c r="C63" s="13"/>
      <c r="D63" s="196"/>
      <c r="E63" s="13"/>
      <c r="F63" s="197"/>
      <c r="G63" s="198"/>
      <c r="H63" s="197"/>
      <c r="I63" s="172"/>
    </row>
    <row r="64" spans="1:14" s="21" customFormat="1">
      <c r="B64" s="14"/>
      <c r="C64" s="13"/>
      <c r="D64" s="196"/>
      <c r="E64" s="13"/>
      <c r="F64" s="197"/>
      <c r="G64" s="198"/>
      <c r="H64" s="197"/>
      <c r="I64" s="172"/>
    </row>
    <row r="65" spans="2:9" s="21" customFormat="1">
      <c r="B65" s="14"/>
      <c r="C65" s="13"/>
      <c r="D65" s="196"/>
      <c r="E65" s="13"/>
      <c r="F65" s="197"/>
      <c r="G65" s="198"/>
      <c r="H65" s="197"/>
      <c r="I65" s="172"/>
    </row>
    <row r="66" spans="2:9" s="21" customFormat="1">
      <c r="B66" s="14"/>
      <c r="C66" s="13"/>
      <c r="D66" s="196"/>
      <c r="E66" s="13"/>
      <c r="F66" s="197"/>
      <c r="G66" s="198"/>
      <c r="H66" s="197"/>
      <c r="I66" s="172"/>
    </row>
    <row r="67" spans="2:9" s="21" customFormat="1">
      <c r="B67" s="14"/>
      <c r="C67" s="13"/>
      <c r="D67" s="196"/>
      <c r="E67" s="13"/>
      <c r="F67" s="197"/>
      <c r="G67" s="198"/>
      <c r="H67" s="197"/>
      <c r="I67" s="172"/>
    </row>
    <row r="68" spans="2:9" s="21" customFormat="1" ht="15.5">
      <c r="B68" s="15"/>
      <c r="C68" s="13"/>
      <c r="D68" s="196"/>
      <c r="E68" s="13"/>
      <c r="F68" s="197"/>
      <c r="G68" s="198"/>
      <c r="H68" s="197"/>
      <c r="I68" s="172"/>
    </row>
    <row r="69" spans="2:9" s="21" customFormat="1" ht="15.5">
      <c r="B69" s="15"/>
      <c r="C69" s="13"/>
      <c r="D69" s="199"/>
      <c r="E69" s="200"/>
      <c r="F69" s="201"/>
      <c r="G69" s="202"/>
      <c r="H69" s="201"/>
      <c r="I69" s="172"/>
    </row>
    <row r="70" spans="2:9" s="21" customFormat="1" ht="15.5">
      <c r="B70" s="15"/>
      <c r="C70" s="13"/>
      <c r="D70" s="199"/>
      <c r="E70" s="199"/>
      <c r="F70" s="199"/>
      <c r="G70" s="199"/>
      <c r="H70" s="199"/>
      <c r="I70" s="172"/>
    </row>
    <row r="71" spans="2:9" s="21" customFormat="1" ht="15.5">
      <c r="B71" s="15"/>
      <c r="C71" s="13"/>
      <c r="D71" s="199"/>
      <c r="E71" s="199"/>
      <c r="F71" s="199"/>
      <c r="G71" s="199"/>
      <c r="H71" s="199"/>
      <c r="I71" s="172"/>
    </row>
    <row r="72" spans="2:9" s="21" customFormat="1" ht="15.5">
      <c r="B72" s="15"/>
      <c r="C72" s="13"/>
      <c r="D72" s="203"/>
      <c r="E72" s="204"/>
      <c r="F72" s="199"/>
      <c r="G72" s="199"/>
      <c r="H72" s="199"/>
      <c r="I72" s="172"/>
    </row>
    <row r="73" spans="2:9" s="21" customFormat="1">
      <c r="B73" s="14"/>
      <c r="C73" s="13"/>
      <c r="D73" s="200"/>
      <c r="E73" s="204"/>
      <c r="F73" s="199"/>
      <c r="G73" s="199"/>
      <c r="H73" s="199"/>
      <c r="I73" s="172"/>
    </row>
    <row r="74" spans="2:9" s="21" customFormat="1">
      <c r="B74" s="14"/>
      <c r="C74" s="13"/>
      <c r="D74" s="199"/>
      <c r="E74" s="204"/>
      <c r="F74" s="199"/>
      <c r="G74" s="199"/>
      <c r="H74" s="199"/>
      <c r="I74" s="172"/>
    </row>
    <row r="75" spans="2:9" s="21" customFormat="1" ht="14">
      <c r="B75" s="199"/>
      <c r="C75" s="200"/>
      <c r="D75" s="205"/>
      <c r="E75" s="205"/>
      <c r="F75" s="205"/>
      <c r="G75" s="205"/>
      <c r="H75" s="205"/>
      <c r="I75" s="172"/>
    </row>
    <row r="76" spans="2:9" s="21" customFormat="1" ht="14">
      <c r="B76" s="104"/>
      <c r="C76" s="104"/>
      <c r="D76" s="205"/>
      <c r="E76" s="205"/>
      <c r="F76" s="205"/>
      <c r="G76" s="205"/>
      <c r="H76" s="205"/>
      <c r="I76" s="172"/>
    </row>
    <row r="77" spans="2:9" s="21" customFormat="1" ht="14">
      <c r="B77" s="104"/>
      <c r="C77" s="104"/>
      <c r="D77" s="206"/>
      <c r="E77" s="207"/>
      <c r="F77" s="205"/>
      <c r="G77" s="205"/>
      <c r="H77" s="205"/>
      <c r="I77" s="172"/>
    </row>
    <row r="78" spans="2:9" s="21" customFormat="1" ht="14">
      <c r="B78" s="203"/>
      <c r="C78" s="204"/>
      <c r="D78" s="208"/>
      <c r="E78" s="207"/>
      <c r="F78" s="205"/>
      <c r="G78" s="205"/>
      <c r="H78" s="205"/>
      <c r="I78" s="172"/>
    </row>
    <row r="79" spans="2:9" s="21" customFormat="1" ht="14">
      <c r="B79" s="209"/>
      <c r="C79" s="204"/>
      <c r="D79" s="205"/>
      <c r="E79" s="207"/>
      <c r="F79" s="205"/>
      <c r="G79" s="205"/>
      <c r="H79" s="205"/>
      <c r="I79" s="172"/>
    </row>
    <row r="80" spans="2:9" s="21" customFormat="1">
      <c r="C80" s="204"/>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245"/>
  <sheetViews>
    <sheetView workbookViewId="0"/>
  </sheetViews>
  <sheetFormatPr baseColWidth="10" defaultColWidth="8.7265625" defaultRowHeight="12.5"/>
  <cols>
    <col min="1" max="1" width="13" customWidth="1"/>
    <col min="2" max="2" width="41" customWidth="1"/>
    <col min="3" max="3" width="13" customWidth="1"/>
    <col min="4" max="4" width="11" customWidth="1"/>
    <col min="5" max="5" width="5" customWidth="1"/>
  </cols>
  <sheetData>
    <row r="1" spans="1:5">
      <c r="A1" t="s">
        <v>547</v>
      </c>
      <c r="B1" t="s">
        <v>548</v>
      </c>
      <c r="C1" t="s">
        <v>549</v>
      </c>
      <c r="D1" t="s">
        <v>550</v>
      </c>
      <c r="E1" t="s">
        <v>551</v>
      </c>
    </row>
    <row r="2" spans="1:5">
      <c r="A2">
        <v>30</v>
      </c>
      <c r="B2" t="s">
        <v>1263</v>
      </c>
      <c r="D2" s="991">
        <v>45814</v>
      </c>
      <c r="E2" t="s">
        <v>1264</v>
      </c>
    </row>
    <row r="3" spans="1:5">
      <c r="A3">
        <v>30</v>
      </c>
      <c r="B3" t="s">
        <v>1265</v>
      </c>
      <c r="D3" s="991">
        <v>45820</v>
      </c>
      <c r="E3" t="s">
        <v>1264</v>
      </c>
    </row>
    <row r="4" spans="1:5">
      <c r="A4">
        <v>30</v>
      </c>
      <c r="B4" t="s">
        <v>1266</v>
      </c>
      <c r="D4" s="991">
        <v>45824</v>
      </c>
      <c r="E4" t="s">
        <v>1264</v>
      </c>
    </row>
    <row r="5" spans="1:5">
      <c r="A5">
        <v>30</v>
      </c>
      <c r="B5" t="s">
        <v>1267</v>
      </c>
      <c r="C5">
        <v>43</v>
      </c>
      <c r="E5" t="s">
        <v>1264</v>
      </c>
    </row>
    <row r="6" spans="1:5">
      <c r="A6">
        <v>30</v>
      </c>
      <c r="B6" t="s">
        <v>1268</v>
      </c>
      <c r="D6" s="991">
        <v>45824</v>
      </c>
      <c r="E6" t="s">
        <v>1264</v>
      </c>
    </row>
    <row r="7" spans="1:5">
      <c r="A7">
        <v>30</v>
      </c>
      <c r="B7" t="s">
        <v>1269</v>
      </c>
      <c r="D7" s="991">
        <v>45791</v>
      </c>
      <c r="E7" t="s">
        <v>1264</v>
      </c>
    </row>
    <row r="8" spans="1:5">
      <c r="A8">
        <v>30</v>
      </c>
      <c r="B8" t="s">
        <v>1270</v>
      </c>
      <c r="C8">
        <v>533508450.68999988</v>
      </c>
      <c r="E8" t="s">
        <v>1264</v>
      </c>
    </row>
    <row r="9" spans="1:5">
      <c r="A9">
        <v>30</v>
      </c>
      <c r="B9" t="s">
        <v>1271</v>
      </c>
      <c r="C9">
        <v>553545473.4799999</v>
      </c>
      <c r="E9" t="s">
        <v>1264</v>
      </c>
    </row>
    <row r="10" spans="1:5">
      <c r="A10">
        <v>30</v>
      </c>
      <c r="B10" t="s">
        <v>1272</v>
      </c>
      <c r="C10">
        <v>18695095.300000001</v>
      </c>
      <c r="E10" t="s">
        <v>1264</v>
      </c>
    </row>
    <row r="11" spans="1:5">
      <c r="A11">
        <v>30</v>
      </c>
      <c r="B11" t="s">
        <v>1273</v>
      </c>
      <c r="C11">
        <v>18711250.850000001</v>
      </c>
      <c r="E11" t="s">
        <v>1264</v>
      </c>
    </row>
    <row r="12" spans="1:5">
      <c r="A12">
        <v>30</v>
      </c>
      <c r="B12" t="s">
        <v>1274</v>
      </c>
      <c r="C12">
        <v>2224531.1800000002</v>
      </c>
      <c r="E12" t="s">
        <v>1264</v>
      </c>
    </row>
    <row r="13" spans="1:5">
      <c r="A13">
        <v>30</v>
      </c>
      <c r="B13" t="s">
        <v>1275</v>
      </c>
      <c r="C13">
        <v>2310325.35</v>
      </c>
      <c r="E13" t="s">
        <v>1264</v>
      </c>
    </row>
    <row r="14" spans="1:5">
      <c r="A14">
        <v>30</v>
      </c>
      <c r="B14" t="s">
        <v>1276</v>
      </c>
      <c r="C14">
        <v>1410119.14</v>
      </c>
      <c r="E14" t="s">
        <v>1264</v>
      </c>
    </row>
    <row r="15" spans="1:5">
      <c r="A15">
        <v>30</v>
      </c>
      <c r="B15" t="s">
        <v>1277</v>
      </c>
      <c r="C15">
        <v>1325771.94</v>
      </c>
      <c r="E15" t="s">
        <v>1264</v>
      </c>
    </row>
    <row r="16" spans="1:5">
      <c r="A16">
        <v>30</v>
      </c>
      <c r="B16" t="s">
        <v>1278</v>
      </c>
      <c r="C16">
        <v>0</v>
      </c>
      <c r="E16" t="s">
        <v>1264</v>
      </c>
    </row>
    <row r="17" spans="1:5">
      <c r="A17">
        <v>30</v>
      </c>
      <c r="B17" t="s">
        <v>1279</v>
      </c>
      <c r="C17">
        <v>0</v>
      </c>
      <c r="E17" t="s">
        <v>1264</v>
      </c>
    </row>
    <row r="18" spans="1:5">
      <c r="A18">
        <v>30</v>
      </c>
      <c r="B18" t="s">
        <v>1280</v>
      </c>
      <c r="C18">
        <v>513403236.24999988</v>
      </c>
      <c r="E18" t="s">
        <v>1264</v>
      </c>
    </row>
    <row r="19" spans="1:5">
      <c r="A19">
        <v>30</v>
      </c>
      <c r="B19" t="s">
        <v>1281</v>
      </c>
      <c r="C19">
        <v>533508450.68999988</v>
      </c>
      <c r="E19" t="s">
        <v>1264</v>
      </c>
    </row>
    <row r="20" spans="1:5">
      <c r="A20">
        <v>30</v>
      </c>
      <c r="B20" t="s">
        <v>1282</v>
      </c>
      <c r="C20">
        <v>84.499999884516001</v>
      </c>
      <c r="E20" t="s">
        <v>1264</v>
      </c>
    </row>
    <row r="21" spans="1:5">
      <c r="A21">
        <v>30</v>
      </c>
      <c r="B21" t="s">
        <v>1283</v>
      </c>
      <c r="C21">
        <v>62.309999883174896</v>
      </c>
      <c r="E21" t="s">
        <v>1264</v>
      </c>
    </row>
    <row r="22" spans="1:5">
      <c r="A22">
        <v>30</v>
      </c>
      <c r="B22" t="s">
        <v>1284</v>
      </c>
      <c r="C22">
        <v>513403320.74999976</v>
      </c>
      <c r="E22" t="s">
        <v>1264</v>
      </c>
    </row>
    <row r="23" spans="1:5">
      <c r="A23">
        <v>30</v>
      </c>
      <c r="B23" t="s">
        <v>1285</v>
      </c>
      <c r="C23">
        <v>533508512.99999976</v>
      </c>
      <c r="E23" t="s">
        <v>1264</v>
      </c>
    </row>
    <row r="24" spans="1:5">
      <c r="A24">
        <v>30</v>
      </c>
      <c r="B24" t="s">
        <v>1286</v>
      </c>
      <c r="C24">
        <v>4993955.25</v>
      </c>
      <c r="E24" t="s">
        <v>1264</v>
      </c>
    </row>
    <row r="25" spans="1:5">
      <c r="A25">
        <v>30</v>
      </c>
      <c r="B25" t="s">
        <v>1287</v>
      </c>
      <c r="C25">
        <v>4993955.25</v>
      </c>
      <c r="E25" t="s">
        <v>1264</v>
      </c>
    </row>
    <row r="26" spans="1:5">
      <c r="A26">
        <v>30</v>
      </c>
      <c r="B26" t="s">
        <v>1288</v>
      </c>
      <c r="C26">
        <v>0</v>
      </c>
      <c r="E26" t="s">
        <v>1264</v>
      </c>
    </row>
    <row r="27" spans="1:5">
      <c r="A27">
        <v>30</v>
      </c>
      <c r="B27" t="s">
        <v>1289</v>
      </c>
      <c r="C27">
        <v>4993955.25</v>
      </c>
      <c r="E27" t="s">
        <v>1264</v>
      </c>
    </row>
    <row r="28" spans="1:5">
      <c r="A28">
        <v>30</v>
      </c>
      <c r="B28" t="s">
        <v>1290</v>
      </c>
      <c r="C28">
        <v>4985000</v>
      </c>
      <c r="E28" t="s">
        <v>1264</v>
      </c>
    </row>
    <row r="29" spans="1:5">
      <c r="A29">
        <v>30</v>
      </c>
      <c r="B29" t="s">
        <v>1291</v>
      </c>
      <c r="C29">
        <v>4985000</v>
      </c>
      <c r="E29" t="s">
        <v>1264</v>
      </c>
    </row>
    <row r="30" spans="1:5">
      <c r="A30">
        <v>30</v>
      </c>
      <c r="B30" t="s">
        <v>1292</v>
      </c>
      <c r="C30">
        <v>4985000</v>
      </c>
      <c r="E30" t="s">
        <v>1264</v>
      </c>
    </row>
    <row r="31" spans="1:5">
      <c r="A31">
        <v>30</v>
      </c>
      <c r="B31" t="s">
        <v>1293</v>
      </c>
      <c r="E31" t="s">
        <v>242</v>
      </c>
    </row>
    <row r="32" spans="1:5">
      <c r="A32">
        <v>30</v>
      </c>
      <c r="B32" t="s">
        <v>1294</v>
      </c>
      <c r="E32" t="s">
        <v>242</v>
      </c>
    </row>
    <row r="33" spans="1:5">
      <c r="A33">
        <v>30</v>
      </c>
      <c r="B33" t="s">
        <v>1295</v>
      </c>
      <c r="E33" t="s">
        <v>1264</v>
      </c>
    </row>
    <row r="34" spans="1:5">
      <c r="A34">
        <v>30</v>
      </c>
      <c r="B34" t="s">
        <v>1296</v>
      </c>
      <c r="E34" t="s">
        <v>1264</v>
      </c>
    </row>
    <row r="35" spans="1:5">
      <c r="A35">
        <v>30</v>
      </c>
      <c r="B35" t="s">
        <v>1297</v>
      </c>
      <c r="E35" t="s">
        <v>242</v>
      </c>
    </row>
    <row r="36" spans="1:5">
      <c r="A36">
        <v>30</v>
      </c>
      <c r="B36" t="s">
        <v>1298</v>
      </c>
      <c r="C36">
        <v>0</v>
      </c>
      <c r="E36" t="s">
        <v>242</v>
      </c>
    </row>
    <row r="37" spans="1:5">
      <c r="A37">
        <v>30</v>
      </c>
      <c r="B37" t="s">
        <v>1299</v>
      </c>
      <c r="C37">
        <v>0</v>
      </c>
      <c r="E37" t="s">
        <v>1264</v>
      </c>
    </row>
    <row r="38" spans="1:5">
      <c r="A38">
        <v>30</v>
      </c>
      <c r="B38" t="s">
        <v>1300</v>
      </c>
      <c r="E38" t="s">
        <v>43</v>
      </c>
    </row>
    <row r="39" spans="1:5">
      <c r="A39">
        <v>30</v>
      </c>
      <c r="B39" t="s">
        <v>1301</v>
      </c>
      <c r="E39" t="s">
        <v>242</v>
      </c>
    </row>
    <row r="40" spans="1:5">
      <c r="A40">
        <v>30</v>
      </c>
      <c r="B40" t="s">
        <v>1302</v>
      </c>
      <c r="E40" t="s">
        <v>242</v>
      </c>
    </row>
    <row r="41" spans="1:5">
      <c r="A41">
        <v>30</v>
      </c>
      <c r="B41" t="s">
        <v>1303</v>
      </c>
      <c r="E41" t="s">
        <v>1264</v>
      </c>
    </row>
    <row r="42" spans="1:5">
      <c r="A42">
        <v>30</v>
      </c>
      <c r="B42" t="s">
        <v>1304</v>
      </c>
      <c r="E42" t="s">
        <v>1264</v>
      </c>
    </row>
    <row r="43" spans="1:5">
      <c r="A43">
        <v>30</v>
      </c>
      <c r="B43" t="s">
        <v>1305</v>
      </c>
      <c r="E43" t="s">
        <v>242</v>
      </c>
    </row>
    <row r="44" spans="1:5">
      <c r="A44">
        <v>30</v>
      </c>
      <c r="B44" t="s">
        <v>1306</v>
      </c>
      <c r="C44">
        <v>0</v>
      </c>
      <c r="E44" t="s">
        <v>242</v>
      </c>
    </row>
    <row r="45" spans="1:5">
      <c r="A45">
        <v>30</v>
      </c>
      <c r="B45" t="s">
        <v>1307</v>
      </c>
      <c r="C45">
        <v>0</v>
      </c>
      <c r="E45" t="s">
        <v>1264</v>
      </c>
    </row>
    <row r="46" spans="1:5">
      <c r="A46">
        <v>30</v>
      </c>
      <c r="B46" t="s">
        <v>1308</v>
      </c>
      <c r="E46" t="s">
        <v>43</v>
      </c>
    </row>
    <row r="47" spans="1:5">
      <c r="A47">
        <v>30</v>
      </c>
      <c r="B47" t="s">
        <v>1309</v>
      </c>
      <c r="C47">
        <v>0</v>
      </c>
      <c r="E47" t="s">
        <v>1264</v>
      </c>
    </row>
    <row r="48" spans="1:5">
      <c r="A48">
        <v>30</v>
      </c>
      <c r="B48" t="s">
        <v>1310</v>
      </c>
      <c r="C48">
        <v>1410119.14</v>
      </c>
      <c r="E48" t="s">
        <v>1264</v>
      </c>
    </row>
    <row r="49" spans="1:5">
      <c r="A49">
        <v>30</v>
      </c>
      <c r="B49" t="s">
        <v>1311</v>
      </c>
      <c r="C49">
        <v>291125.95000000007</v>
      </c>
      <c r="E49" t="s">
        <v>1264</v>
      </c>
    </row>
    <row r="50" spans="1:5">
      <c r="A50">
        <v>30</v>
      </c>
      <c r="B50" t="s">
        <v>1312</v>
      </c>
      <c r="C50">
        <v>0</v>
      </c>
      <c r="E50" t="s">
        <v>1264</v>
      </c>
    </row>
    <row r="51" spans="1:5">
      <c r="A51">
        <v>30</v>
      </c>
      <c r="B51" t="s">
        <v>1313</v>
      </c>
      <c r="C51">
        <v>106758105.34999998</v>
      </c>
      <c r="E51" t="s">
        <v>1264</v>
      </c>
    </row>
    <row r="52" spans="1:5">
      <c r="A52">
        <v>30</v>
      </c>
      <c r="B52" t="s">
        <v>1314</v>
      </c>
      <c r="C52">
        <v>9403973.3399999999</v>
      </c>
      <c r="E52" t="s">
        <v>1264</v>
      </c>
    </row>
    <row r="53" spans="1:5">
      <c r="A53">
        <v>30</v>
      </c>
      <c r="B53" t="s">
        <v>1315</v>
      </c>
      <c r="C53">
        <v>5438</v>
      </c>
      <c r="E53" t="s">
        <v>1264</v>
      </c>
    </row>
    <row r="54" spans="1:5">
      <c r="A54">
        <v>30</v>
      </c>
      <c r="B54" t="s">
        <v>1316</v>
      </c>
      <c r="C54">
        <v>4.3319995245041099E-2</v>
      </c>
      <c r="E54" t="s">
        <v>1264</v>
      </c>
    </row>
    <row r="55" spans="1:5">
      <c r="A55">
        <v>30</v>
      </c>
      <c r="B55" t="s">
        <v>1317</v>
      </c>
      <c r="C55">
        <v>4.3746183826779403E-2</v>
      </c>
      <c r="E55" t="s">
        <v>1264</v>
      </c>
    </row>
    <row r="56" spans="1:5">
      <c r="A56">
        <v>30</v>
      </c>
      <c r="B56" t="s">
        <v>1318</v>
      </c>
      <c r="C56">
        <v>4.4254851267704634E-2</v>
      </c>
      <c r="E56" t="s">
        <v>1264</v>
      </c>
    </row>
    <row r="57" spans="1:5">
      <c r="A57">
        <v>30</v>
      </c>
      <c r="B57" t="s">
        <v>1319</v>
      </c>
      <c r="C57">
        <v>0</v>
      </c>
      <c r="E57" t="s">
        <v>1264</v>
      </c>
    </row>
    <row r="58" spans="1:5">
      <c r="A58">
        <v>30</v>
      </c>
      <c r="B58" t="s">
        <v>1320</v>
      </c>
      <c r="C58">
        <v>0</v>
      </c>
      <c r="E58" t="s">
        <v>1264</v>
      </c>
    </row>
    <row r="59" spans="1:5">
      <c r="A59">
        <v>30</v>
      </c>
      <c r="B59" t="s">
        <v>1321</v>
      </c>
      <c r="C59">
        <v>0</v>
      </c>
      <c r="E59" t="s">
        <v>1264</v>
      </c>
    </row>
    <row r="60" spans="1:5">
      <c r="A60">
        <v>30</v>
      </c>
      <c r="B60" t="s">
        <v>1322</v>
      </c>
      <c r="C60">
        <v>0</v>
      </c>
      <c r="E60" t="s">
        <v>1264</v>
      </c>
    </row>
    <row r="61" spans="1:5">
      <c r="A61">
        <v>30</v>
      </c>
      <c r="B61" t="s">
        <v>1323</v>
      </c>
      <c r="C61">
        <v>0</v>
      </c>
      <c r="E61" t="s">
        <v>1264</v>
      </c>
    </row>
    <row r="62" spans="1:5">
      <c r="A62">
        <v>30</v>
      </c>
      <c r="B62" t="s">
        <v>1324</v>
      </c>
      <c r="C62">
        <v>0</v>
      </c>
      <c r="E62" t="s">
        <v>1264</v>
      </c>
    </row>
    <row r="63" spans="1:5">
      <c r="A63">
        <v>30</v>
      </c>
      <c r="B63" t="s">
        <v>1325</v>
      </c>
      <c r="C63">
        <v>0</v>
      </c>
      <c r="E63" t="s">
        <v>1264</v>
      </c>
    </row>
    <row r="64" spans="1:5">
      <c r="A64">
        <v>30</v>
      </c>
      <c r="B64" t="s">
        <v>1326</v>
      </c>
      <c r="C64">
        <v>0</v>
      </c>
      <c r="E64" t="s">
        <v>1264</v>
      </c>
    </row>
    <row r="65" spans="1:5">
      <c r="A65">
        <v>30</v>
      </c>
      <c r="B65" t="s">
        <v>1327</v>
      </c>
      <c r="C65">
        <v>0</v>
      </c>
      <c r="E65" t="s">
        <v>1264</v>
      </c>
    </row>
    <row r="66" spans="1:5">
      <c r="A66">
        <v>30</v>
      </c>
      <c r="B66" t="s">
        <v>1328</v>
      </c>
      <c r="C66">
        <v>0</v>
      </c>
      <c r="E66" t="s">
        <v>1264</v>
      </c>
    </row>
    <row r="67" spans="1:5">
      <c r="A67">
        <v>30</v>
      </c>
      <c r="B67" t="s">
        <v>1329</v>
      </c>
      <c r="C67">
        <v>0</v>
      </c>
      <c r="E67" t="s">
        <v>1264</v>
      </c>
    </row>
    <row r="68" spans="1:5">
      <c r="A68">
        <v>30</v>
      </c>
      <c r="B68" t="s">
        <v>1330</v>
      </c>
      <c r="C68">
        <v>0</v>
      </c>
      <c r="E68" t="s">
        <v>1264</v>
      </c>
    </row>
    <row r="69" spans="1:5">
      <c r="A69">
        <v>30</v>
      </c>
      <c r="B69" t="s">
        <v>1331</v>
      </c>
      <c r="C69">
        <v>0</v>
      </c>
      <c r="E69" t="s">
        <v>1264</v>
      </c>
    </row>
    <row r="70" spans="1:5">
      <c r="A70">
        <v>30</v>
      </c>
      <c r="B70" t="s">
        <v>1332</v>
      </c>
      <c r="C70">
        <v>0</v>
      </c>
      <c r="E70" t="s">
        <v>1264</v>
      </c>
    </row>
    <row r="71" spans="1:5">
      <c r="A71">
        <v>30</v>
      </c>
      <c r="B71" t="s">
        <v>1333</v>
      </c>
      <c r="C71">
        <v>0</v>
      </c>
      <c r="E71" t="s">
        <v>1264</v>
      </c>
    </row>
    <row r="72" spans="1:5">
      <c r="A72">
        <v>30</v>
      </c>
      <c r="B72" t="s">
        <v>1334</v>
      </c>
      <c r="C72">
        <v>0</v>
      </c>
      <c r="E72" t="s">
        <v>1264</v>
      </c>
    </row>
    <row r="73" spans="1:5">
      <c r="A73">
        <v>30</v>
      </c>
      <c r="B73" t="s">
        <v>1335</v>
      </c>
      <c r="C73">
        <v>0</v>
      </c>
      <c r="E73" t="s">
        <v>1264</v>
      </c>
    </row>
    <row r="74" spans="1:5">
      <c r="A74">
        <v>30</v>
      </c>
      <c r="B74" t="s">
        <v>1336</v>
      </c>
      <c r="C74">
        <v>0</v>
      </c>
      <c r="E74" t="s">
        <v>1264</v>
      </c>
    </row>
    <row r="75" spans="1:5">
      <c r="A75">
        <v>30</v>
      </c>
      <c r="B75" t="s">
        <v>1337</v>
      </c>
      <c r="C75">
        <v>0</v>
      </c>
      <c r="E75" t="s">
        <v>1264</v>
      </c>
    </row>
    <row r="76" spans="1:5">
      <c r="A76">
        <v>30</v>
      </c>
      <c r="B76" t="s">
        <v>1338</v>
      </c>
      <c r="C76">
        <v>0</v>
      </c>
      <c r="E76" t="s">
        <v>1264</v>
      </c>
    </row>
    <row r="77" spans="1:5">
      <c r="A77">
        <v>30</v>
      </c>
      <c r="B77" t="s">
        <v>1339</v>
      </c>
      <c r="C77">
        <v>0</v>
      </c>
      <c r="E77" t="s">
        <v>1264</v>
      </c>
    </row>
    <row r="78" spans="1:5">
      <c r="A78">
        <v>30</v>
      </c>
      <c r="B78" t="s">
        <v>1340</v>
      </c>
      <c r="C78">
        <v>0</v>
      </c>
      <c r="E78" t="s">
        <v>1264</v>
      </c>
    </row>
    <row r="79" spans="1:5">
      <c r="A79">
        <v>30</v>
      </c>
      <c r="B79" t="s">
        <v>1341</v>
      </c>
      <c r="C79">
        <v>0</v>
      </c>
      <c r="E79" t="s">
        <v>1264</v>
      </c>
    </row>
    <row r="80" spans="1:5">
      <c r="A80">
        <v>30</v>
      </c>
      <c r="B80" t="s">
        <v>1342</v>
      </c>
      <c r="C80">
        <v>0</v>
      </c>
      <c r="E80" t="s">
        <v>1264</v>
      </c>
    </row>
    <row r="81" spans="1:5">
      <c r="A81">
        <v>30</v>
      </c>
      <c r="B81" t="s">
        <v>1343</v>
      </c>
      <c r="C81">
        <v>0</v>
      </c>
      <c r="E81" t="s">
        <v>1264</v>
      </c>
    </row>
    <row r="82" spans="1:5">
      <c r="A82">
        <v>30</v>
      </c>
      <c r="B82" t="s">
        <v>1344</v>
      </c>
      <c r="C82">
        <v>1410119.14</v>
      </c>
      <c r="E82" t="s">
        <v>1264</v>
      </c>
    </row>
    <row r="83" spans="1:5">
      <c r="A83">
        <v>30</v>
      </c>
      <c r="B83" t="s">
        <v>1345</v>
      </c>
      <c r="C83">
        <v>1410119.14</v>
      </c>
      <c r="E83" t="s">
        <v>1264</v>
      </c>
    </row>
    <row r="84" spans="1:5">
      <c r="A84">
        <v>30</v>
      </c>
      <c r="B84" t="s">
        <v>1346</v>
      </c>
      <c r="C84">
        <v>0</v>
      </c>
      <c r="E84" t="s">
        <v>1264</v>
      </c>
    </row>
    <row r="85" spans="1:5">
      <c r="A85">
        <v>30</v>
      </c>
      <c r="B85" t="s">
        <v>1347</v>
      </c>
      <c r="C85">
        <v>4.4254851267704634E-2</v>
      </c>
      <c r="E85" t="s">
        <v>1264</v>
      </c>
    </row>
    <row r="86" spans="1:5">
      <c r="A86">
        <v>30</v>
      </c>
      <c r="B86" t="s">
        <v>1348</v>
      </c>
      <c r="C86">
        <v>20.769999880343676</v>
      </c>
      <c r="E86" t="s">
        <v>1264</v>
      </c>
    </row>
    <row r="87" spans="1:5">
      <c r="A87">
        <v>30</v>
      </c>
      <c r="B87" t="s">
        <v>1283</v>
      </c>
      <c r="C87">
        <v>62.309999883174896</v>
      </c>
      <c r="E87" t="s">
        <v>1264</v>
      </c>
    </row>
    <row r="88" spans="1:5">
      <c r="A88">
        <v>30</v>
      </c>
      <c r="B88" t="s">
        <v>1282</v>
      </c>
      <c r="C88">
        <v>84.499999884516001</v>
      </c>
      <c r="E88" t="s">
        <v>1264</v>
      </c>
    </row>
    <row r="89" spans="1:5">
      <c r="A89">
        <v>30</v>
      </c>
      <c r="B89" t="s">
        <v>1349</v>
      </c>
      <c r="C89">
        <v>1.5743521717672831E-2</v>
      </c>
      <c r="E89" t="s">
        <v>1264</v>
      </c>
    </row>
    <row r="90" spans="1:5">
      <c r="A90">
        <v>30</v>
      </c>
      <c r="B90" t="s">
        <v>1350</v>
      </c>
      <c r="E90" t="s">
        <v>1264</v>
      </c>
    </row>
    <row r="91" spans="1:5">
      <c r="A91">
        <v>30</v>
      </c>
      <c r="B91" t="s">
        <v>1351</v>
      </c>
      <c r="E91" t="s">
        <v>1264</v>
      </c>
    </row>
    <row r="92" spans="1:5">
      <c r="A92">
        <v>30</v>
      </c>
      <c r="B92" t="s">
        <v>1352</v>
      </c>
      <c r="C92">
        <v>500508513.00351501</v>
      </c>
      <c r="E92" t="s">
        <v>1264</v>
      </c>
    </row>
    <row r="93" spans="1:5">
      <c r="A93">
        <v>30</v>
      </c>
      <c r="B93" t="s">
        <v>1353</v>
      </c>
      <c r="C93">
        <v>313054623</v>
      </c>
      <c r="E93" t="s">
        <v>1264</v>
      </c>
    </row>
    <row r="94" spans="1:5">
      <c r="A94">
        <v>30</v>
      </c>
      <c r="B94" t="s">
        <v>1354</v>
      </c>
      <c r="C94">
        <v>40656420</v>
      </c>
      <c r="E94" t="s">
        <v>1264</v>
      </c>
    </row>
    <row r="95" spans="1:5">
      <c r="A95">
        <v>30</v>
      </c>
      <c r="B95" t="s">
        <v>1355</v>
      </c>
      <c r="C95">
        <v>66066682.5</v>
      </c>
      <c r="E95" t="s">
        <v>1264</v>
      </c>
    </row>
    <row r="96" spans="1:5">
      <c r="A96">
        <v>30</v>
      </c>
      <c r="B96" t="s">
        <v>1356</v>
      </c>
      <c r="C96">
        <v>50820525</v>
      </c>
      <c r="E96" t="s">
        <v>1264</v>
      </c>
    </row>
    <row r="97" spans="1:5">
      <c r="A97">
        <v>30</v>
      </c>
      <c r="B97" t="s">
        <v>1357</v>
      </c>
      <c r="C97">
        <v>25410262.5</v>
      </c>
      <c r="E97" t="s">
        <v>1264</v>
      </c>
    </row>
    <row r="98" spans="1:5">
      <c r="A98">
        <v>30</v>
      </c>
      <c r="B98" t="s">
        <v>1358</v>
      </c>
      <c r="C98">
        <v>3.5149800824001431E-3</v>
      </c>
      <c r="E98" t="s">
        <v>1264</v>
      </c>
    </row>
    <row r="99" spans="1:5">
      <c r="A99">
        <v>30</v>
      </c>
      <c r="B99" t="s">
        <v>1359</v>
      </c>
      <c r="C99">
        <v>4500000</v>
      </c>
      <c r="E99" t="s">
        <v>1264</v>
      </c>
    </row>
    <row r="100" spans="1:5">
      <c r="A100">
        <v>30</v>
      </c>
      <c r="B100" t="s">
        <v>239</v>
      </c>
      <c r="C100">
        <v>0</v>
      </c>
      <c r="E100" t="s">
        <v>1264</v>
      </c>
    </row>
    <row r="101" spans="1:5">
      <c r="A101">
        <v>30</v>
      </c>
      <c r="B101" t="s">
        <v>1360</v>
      </c>
      <c r="C101">
        <v>20105192.25</v>
      </c>
      <c r="E101" t="s">
        <v>1264</v>
      </c>
    </row>
    <row r="102" spans="1:5">
      <c r="A102">
        <v>30</v>
      </c>
      <c r="B102" t="s">
        <v>1361</v>
      </c>
      <c r="C102">
        <v>20105192.25</v>
      </c>
      <c r="E102" t="s">
        <v>1264</v>
      </c>
    </row>
    <row r="103" spans="1:5">
      <c r="A103">
        <v>30</v>
      </c>
      <c r="B103" t="s">
        <v>1362</v>
      </c>
      <c r="C103">
        <v>20105192.25</v>
      </c>
      <c r="E103" t="s">
        <v>1264</v>
      </c>
    </row>
    <row r="104" spans="1:5">
      <c r="A104">
        <v>30</v>
      </c>
      <c r="B104" t="s">
        <v>1363</v>
      </c>
      <c r="C104">
        <v>0</v>
      </c>
      <c r="E104" t="s">
        <v>1264</v>
      </c>
    </row>
    <row r="105" spans="1:5">
      <c r="A105">
        <v>30</v>
      </c>
      <c r="B105" t="s">
        <v>1364</v>
      </c>
      <c r="C105">
        <v>0</v>
      </c>
      <c r="E105" t="s">
        <v>1264</v>
      </c>
    </row>
    <row r="106" spans="1:5">
      <c r="A106">
        <v>30</v>
      </c>
      <c r="B106" t="s">
        <v>1365</v>
      </c>
      <c r="C106">
        <v>0</v>
      </c>
      <c r="E106" t="s">
        <v>1264</v>
      </c>
    </row>
    <row r="107" spans="1:5">
      <c r="A107">
        <v>30</v>
      </c>
      <c r="B107" t="s">
        <v>1366</v>
      </c>
      <c r="C107">
        <v>0</v>
      </c>
      <c r="E107" t="s">
        <v>1264</v>
      </c>
    </row>
    <row r="108" spans="1:5">
      <c r="A108">
        <v>30</v>
      </c>
      <c r="B108" t="s">
        <v>1367</v>
      </c>
      <c r="C108">
        <v>0</v>
      </c>
      <c r="E108" t="s">
        <v>1264</v>
      </c>
    </row>
    <row r="109" spans="1:5">
      <c r="A109">
        <v>30</v>
      </c>
      <c r="B109" t="s">
        <v>1368</v>
      </c>
      <c r="C109">
        <v>0</v>
      </c>
      <c r="E109" t="s">
        <v>1264</v>
      </c>
    </row>
    <row r="110" spans="1:5">
      <c r="A110">
        <v>30</v>
      </c>
      <c r="B110" t="s">
        <v>1369</v>
      </c>
      <c r="C110">
        <v>31</v>
      </c>
      <c r="E110" t="s">
        <v>1264</v>
      </c>
    </row>
    <row r="111" spans="1:5">
      <c r="A111">
        <v>30</v>
      </c>
      <c r="B111" t="s">
        <v>1370</v>
      </c>
      <c r="C111">
        <v>810065.25000000012</v>
      </c>
      <c r="E111" t="s">
        <v>1264</v>
      </c>
    </row>
    <row r="112" spans="1:5">
      <c r="A112">
        <v>30</v>
      </c>
      <c r="B112" t="s">
        <v>1371</v>
      </c>
      <c r="C112">
        <v>114528</v>
      </c>
      <c r="E112" t="s">
        <v>1264</v>
      </c>
    </row>
    <row r="113" spans="1:5">
      <c r="A113">
        <v>30</v>
      </c>
      <c r="B113" t="s">
        <v>1372</v>
      </c>
      <c r="C113">
        <v>210327</v>
      </c>
      <c r="E113" t="s">
        <v>1264</v>
      </c>
    </row>
    <row r="114" spans="1:5">
      <c r="A114">
        <v>30</v>
      </c>
      <c r="B114" t="s">
        <v>1373</v>
      </c>
      <c r="C114">
        <v>185085</v>
      </c>
      <c r="E114" t="s">
        <v>1264</v>
      </c>
    </row>
    <row r="115" spans="1:5">
      <c r="A115">
        <v>30</v>
      </c>
      <c r="B115" t="s">
        <v>1374</v>
      </c>
      <c r="C115">
        <v>114671.25000000001</v>
      </c>
      <c r="E115" t="s">
        <v>1264</v>
      </c>
    </row>
    <row r="116" spans="1:5">
      <c r="A116">
        <v>30</v>
      </c>
      <c r="B116" t="s">
        <v>1375</v>
      </c>
      <c r="C116">
        <v>0</v>
      </c>
      <c r="E116" t="s">
        <v>1264</v>
      </c>
    </row>
    <row r="117" spans="1:5">
      <c r="A117">
        <v>30</v>
      </c>
      <c r="B117" t="s">
        <v>1376</v>
      </c>
      <c r="C117">
        <v>24131.25</v>
      </c>
      <c r="E117" t="s">
        <v>1264</v>
      </c>
    </row>
    <row r="118" spans="1:5">
      <c r="A118">
        <v>30</v>
      </c>
      <c r="B118" t="s">
        <v>1377</v>
      </c>
      <c r="C118">
        <v>2.1229999999999999E-2</v>
      </c>
      <c r="E118" t="s">
        <v>1264</v>
      </c>
    </row>
    <row r="119" spans="1:5">
      <c r="A119">
        <v>30</v>
      </c>
      <c r="B119" t="s">
        <v>1378</v>
      </c>
      <c r="C119">
        <v>0</v>
      </c>
      <c r="E119" t="s">
        <v>1264</v>
      </c>
    </row>
    <row r="120" spans="1:5">
      <c r="A120">
        <v>30</v>
      </c>
      <c r="B120" t="s">
        <v>1379</v>
      </c>
      <c r="C120">
        <v>2224531.1800000002</v>
      </c>
      <c r="E120" t="s">
        <v>1264</v>
      </c>
    </row>
    <row r="121" spans="1:5">
      <c r="A121">
        <v>30</v>
      </c>
      <c r="B121" t="s">
        <v>1380</v>
      </c>
      <c r="C121">
        <v>0</v>
      </c>
      <c r="E121" t="s">
        <v>1264</v>
      </c>
    </row>
    <row r="122" spans="1:5">
      <c r="A122">
        <v>30</v>
      </c>
      <c r="B122" t="s">
        <v>1381</v>
      </c>
      <c r="C122">
        <v>291125.95000000007</v>
      </c>
      <c r="E122" t="s">
        <v>1264</v>
      </c>
    </row>
    <row r="123" spans="1:5">
      <c r="A123">
        <v>30</v>
      </c>
      <c r="B123" t="s">
        <v>1382</v>
      </c>
      <c r="C123">
        <v>0</v>
      </c>
      <c r="E123" t="s">
        <v>1264</v>
      </c>
    </row>
    <row r="124" spans="1:5">
      <c r="A124">
        <v>30</v>
      </c>
      <c r="B124" t="s">
        <v>1383</v>
      </c>
      <c r="C124">
        <v>0</v>
      </c>
      <c r="E124" t="s">
        <v>1264</v>
      </c>
    </row>
    <row r="125" spans="1:5">
      <c r="A125">
        <v>30</v>
      </c>
      <c r="B125" t="s">
        <v>1384</v>
      </c>
      <c r="C125">
        <v>4993955.25</v>
      </c>
      <c r="E125" t="s">
        <v>1264</v>
      </c>
    </row>
    <row r="126" spans="1:5">
      <c r="A126">
        <v>30</v>
      </c>
      <c r="B126" t="s">
        <v>1385</v>
      </c>
      <c r="C126">
        <v>1074395.77</v>
      </c>
      <c r="E126" t="s">
        <v>1264</v>
      </c>
    </row>
    <row r="127" spans="1:5">
      <c r="A127">
        <v>30</v>
      </c>
      <c r="B127" t="s">
        <v>1386</v>
      </c>
      <c r="C127">
        <v>0</v>
      </c>
      <c r="E127" t="s">
        <v>1264</v>
      </c>
    </row>
    <row r="128" spans="1:5">
      <c r="A128">
        <v>30</v>
      </c>
      <c r="B128" t="s">
        <v>1387</v>
      </c>
      <c r="C128">
        <v>0</v>
      </c>
      <c r="E128" t="s">
        <v>1264</v>
      </c>
    </row>
    <row r="129" spans="1:5">
      <c r="A129">
        <v>30</v>
      </c>
      <c r="B129" t="s">
        <v>1388</v>
      </c>
      <c r="C129">
        <v>8584008.1500000004</v>
      </c>
      <c r="E129" t="s">
        <v>1264</v>
      </c>
    </row>
    <row r="130" spans="1:5">
      <c r="A130">
        <v>30</v>
      </c>
      <c r="B130" t="s">
        <v>1388</v>
      </c>
      <c r="C130">
        <v>8584008.1500000004</v>
      </c>
      <c r="E130" t="s">
        <v>1264</v>
      </c>
    </row>
    <row r="131" spans="1:5">
      <c r="A131">
        <v>30</v>
      </c>
      <c r="B131" t="s">
        <v>1389</v>
      </c>
      <c r="C131">
        <v>8290.2199999999993</v>
      </c>
      <c r="E131" t="s">
        <v>1264</v>
      </c>
    </row>
    <row r="132" spans="1:5">
      <c r="A132">
        <v>30</v>
      </c>
      <c r="B132" t="s">
        <v>1390</v>
      </c>
      <c r="C132">
        <v>0</v>
      </c>
      <c r="E132" t="s">
        <v>1264</v>
      </c>
    </row>
    <row r="133" spans="1:5">
      <c r="A133">
        <v>30</v>
      </c>
      <c r="B133" t="s">
        <v>1391</v>
      </c>
      <c r="C133">
        <v>810065.25000000012</v>
      </c>
      <c r="E133" t="s">
        <v>1264</v>
      </c>
    </row>
    <row r="134" spans="1:5">
      <c r="A134">
        <v>30</v>
      </c>
      <c r="B134" t="s">
        <v>1392</v>
      </c>
      <c r="C134">
        <v>114528</v>
      </c>
      <c r="E134" t="s">
        <v>1264</v>
      </c>
    </row>
    <row r="135" spans="1:5">
      <c r="A135">
        <v>30</v>
      </c>
      <c r="B135" t="s">
        <v>1393</v>
      </c>
      <c r="C135">
        <v>210327</v>
      </c>
      <c r="E135" t="s">
        <v>1264</v>
      </c>
    </row>
    <row r="136" spans="1:5">
      <c r="A136">
        <v>30</v>
      </c>
      <c r="B136" t="s">
        <v>1394</v>
      </c>
      <c r="C136">
        <v>185085</v>
      </c>
      <c r="E136" t="s">
        <v>1264</v>
      </c>
    </row>
    <row r="137" spans="1:5">
      <c r="A137">
        <v>30</v>
      </c>
      <c r="B137" t="s">
        <v>1395</v>
      </c>
      <c r="C137">
        <v>114671.25000000001</v>
      </c>
      <c r="E137" t="s">
        <v>1264</v>
      </c>
    </row>
    <row r="138" spans="1:5">
      <c r="A138">
        <v>30</v>
      </c>
      <c r="B138" t="s">
        <v>1396</v>
      </c>
      <c r="C138">
        <v>0</v>
      </c>
      <c r="E138" t="s">
        <v>1264</v>
      </c>
    </row>
    <row r="139" spans="1:5">
      <c r="A139">
        <v>30</v>
      </c>
      <c r="B139" t="s">
        <v>1397</v>
      </c>
      <c r="C139">
        <v>4985000</v>
      </c>
      <c r="E139" t="s">
        <v>1264</v>
      </c>
    </row>
    <row r="140" spans="1:5">
      <c r="A140">
        <v>30</v>
      </c>
      <c r="B140" t="s">
        <v>1398</v>
      </c>
      <c r="C140">
        <v>1410119.14</v>
      </c>
      <c r="E140" t="s">
        <v>1264</v>
      </c>
    </row>
    <row r="141" spans="1:5">
      <c r="A141">
        <v>30</v>
      </c>
      <c r="B141" t="s">
        <v>1399</v>
      </c>
      <c r="C141">
        <v>0</v>
      </c>
      <c r="E141" t="s">
        <v>1264</v>
      </c>
    </row>
    <row r="142" spans="1:5">
      <c r="A142">
        <v>30</v>
      </c>
      <c r="B142" t="s">
        <v>1400</v>
      </c>
      <c r="C142">
        <v>0</v>
      </c>
      <c r="E142" t="s">
        <v>1264</v>
      </c>
    </row>
    <row r="143" spans="1:5">
      <c r="A143">
        <v>30</v>
      </c>
      <c r="B143" t="s">
        <v>1401</v>
      </c>
      <c r="C143">
        <v>0</v>
      </c>
      <c r="E143" t="s">
        <v>1264</v>
      </c>
    </row>
    <row r="144" spans="1:5">
      <c r="A144">
        <v>30</v>
      </c>
      <c r="B144" t="s">
        <v>1402</v>
      </c>
      <c r="C144">
        <v>0</v>
      </c>
      <c r="E144" t="s">
        <v>1264</v>
      </c>
    </row>
    <row r="145" spans="1:5">
      <c r="A145">
        <v>30</v>
      </c>
      <c r="B145" t="s">
        <v>1403</v>
      </c>
      <c r="C145">
        <v>0</v>
      </c>
      <c r="E145" t="s">
        <v>1264</v>
      </c>
    </row>
    <row r="146" spans="1:5">
      <c r="A146">
        <v>30</v>
      </c>
      <c r="B146" t="s">
        <v>1404</v>
      </c>
      <c r="C146">
        <v>0</v>
      </c>
      <c r="E146" t="s">
        <v>1264</v>
      </c>
    </row>
    <row r="147" spans="1:5">
      <c r="A147">
        <v>30</v>
      </c>
      <c r="B147" t="s">
        <v>1405</v>
      </c>
      <c r="C147">
        <v>0</v>
      </c>
      <c r="E147" t="s">
        <v>1264</v>
      </c>
    </row>
    <row r="148" spans="1:5">
      <c r="A148">
        <v>30</v>
      </c>
      <c r="B148" t="s">
        <v>1406</v>
      </c>
      <c r="C148">
        <v>24131.25</v>
      </c>
      <c r="E148" t="s">
        <v>1264</v>
      </c>
    </row>
    <row r="149" spans="1:5">
      <c r="A149">
        <v>30</v>
      </c>
      <c r="B149" t="s">
        <v>1407</v>
      </c>
      <c r="C149">
        <v>0</v>
      </c>
      <c r="E149" t="s">
        <v>1264</v>
      </c>
    </row>
    <row r="150" spans="1:5">
      <c r="A150">
        <v>30</v>
      </c>
      <c r="B150" t="s">
        <v>1408</v>
      </c>
      <c r="C150">
        <v>0</v>
      </c>
      <c r="E150" t="s">
        <v>1264</v>
      </c>
    </row>
    <row r="151" spans="1:5">
      <c r="A151">
        <v>30</v>
      </c>
      <c r="B151" t="s">
        <v>1409</v>
      </c>
      <c r="C151">
        <v>31301.65</v>
      </c>
      <c r="E151" t="s">
        <v>1264</v>
      </c>
    </row>
    <row r="152" spans="1:5">
      <c r="A152">
        <v>30</v>
      </c>
      <c r="B152" t="s">
        <v>1410</v>
      </c>
      <c r="C152">
        <v>0</v>
      </c>
      <c r="E152" t="s">
        <v>1264</v>
      </c>
    </row>
    <row r="153" spans="1:5">
      <c r="A153">
        <v>30</v>
      </c>
      <c r="B153" t="s">
        <v>1411</v>
      </c>
      <c r="C153">
        <v>690489.38999999978</v>
      </c>
      <c r="E153" t="s">
        <v>1264</v>
      </c>
    </row>
    <row r="154" spans="1:5">
      <c r="A154">
        <v>30</v>
      </c>
      <c r="B154" t="s">
        <v>1412</v>
      </c>
      <c r="C154">
        <v>18695095.300000001</v>
      </c>
      <c r="E154" t="s">
        <v>1264</v>
      </c>
    </row>
    <row r="155" spans="1:5">
      <c r="A155">
        <v>30</v>
      </c>
      <c r="B155" t="s">
        <v>1413</v>
      </c>
      <c r="C155">
        <v>0</v>
      </c>
      <c r="E155" t="s">
        <v>1264</v>
      </c>
    </row>
    <row r="156" spans="1:5">
      <c r="A156">
        <v>30</v>
      </c>
      <c r="B156" t="s">
        <v>1414</v>
      </c>
      <c r="C156">
        <v>0</v>
      </c>
      <c r="E156" t="s">
        <v>1264</v>
      </c>
    </row>
    <row r="157" spans="1:5">
      <c r="A157">
        <v>30</v>
      </c>
      <c r="B157" t="s">
        <v>1415</v>
      </c>
      <c r="C157">
        <v>0</v>
      </c>
      <c r="E157" t="s">
        <v>1264</v>
      </c>
    </row>
    <row r="158" spans="1:5">
      <c r="A158">
        <v>30</v>
      </c>
      <c r="B158" t="s">
        <v>1416</v>
      </c>
      <c r="C158">
        <v>0</v>
      </c>
      <c r="E158" t="s">
        <v>1264</v>
      </c>
    </row>
    <row r="159" spans="1:5">
      <c r="A159">
        <v>30</v>
      </c>
      <c r="B159" t="s">
        <v>1417</v>
      </c>
      <c r="C159">
        <v>62.309999883174896</v>
      </c>
      <c r="E159" t="s">
        <v>1264</v>
      </c>
    </row>
    <row r="160" spans="1:5">
      <c r="A160">
        <v>30</v>
      </c>
      <c r="B160" t="s">
        <v>1418</v>
      </c>
      <c r="C160">
        <v>0</v>
      </c>
      <c r="E160" t="s">
        <v>1264</v>
      </c>
    </row>
    <row r="161" spans="1:5">
      <c r="A161">
        <v>30</v>
      </c>
      <c r="B161" t="s">
        <v>1419</v>
      </c>
      <c r="C161">
        <v>1410119.14</v>
      </c>
      <c r="E161" t="s">
        <v>1264</v>
      </c>
    </row>
    <row r="162" spans="1:5">
      <c r="A162">
        <v>30</v>
      </c>
      <c r="B162" t="s">
        <v>1420</v>
      </c>
      <c r="C162">
        <v>0</v>
      </c>
      <c r="E162" t="s">
        <v>1264</v>
      </c>
    </row>
    <row r="163" spans="1:5">
      <c r="A163">
        <v>30</v>
      </c>
      <c r="B163" t="s">
        <v>1421</v>
      </c>
      <c r="C163">
        <v>20105276.749999885</v>
      </c>
      <c r="E163" t="s">
        <v>1264</v>
      </c>
    </row>
    <row r="164" spans="1:5">
      <c r="A164">
        <v>30</v>
      </c>
      <c r="B164" t="s">
        <v>1421</v>
      </c>
      <c r="C164">
        <v>20105276.749999885</v>
      </c>
      <c r="E164" t="s">
        <v>1264</v>
      </c>
    </row>
    <row r="165" spans="1:5">
      <c r="A165">
        <v>30</v>
      </c>
      <c r="B165" t="s">
        <v>1422</v>
      </c>
      <c r="C165">
        <v>0</v>
      </c>
      <c r="E165" t="s">
        <v>1264</v>
      </c>
    </row>
    <row r="166" spans="1:5">
      <c r="A166">
        <v>30</v>
      </c>
      <c r="B166" t="s">
        <v>1423</v>
      </c>
      <c r="C166">
        <v>20105276.749999885</v>
      </c>
      <c r="E166" t="s">
        <v>1264</v>
      </c>
    </row>
    <row r="167" spans="1:5">
      <c r="A167">
        <v>30</v>
      </c>
      <c r="B167" t="s">
        <v>239</v>
      </c>
      <c r="C167">
        <v>0</v>
      </c>
      <c r="E167" t="s">
        <v>1264</v>
      </c>
    </row>
    <row r="168" spans="1:5">
      <c r="A168">
        <v>30</v>
      </c>
      <c r="B168" t="s">
        <v>1424</v>
      </c>
      <c r="C168">
        <v>0</v>
      </c>
      <c r="E168" t="s">
        <v>1264</v>
      </c>
    </row>
    <row r="169" spans="1:5">
      <c r="A169">
        <v>30</v>
      </c>
      <c r="B169" t="s">
        <v>1425</v>
      </c>
      <c r="C169">
        <v>0</v>
      </c>
      <c r="E169" t="s">
        <v>1264</v>
      </c>
    </row>
    <row r="170" spans="1:5">
      <c r="A170">
        <v>30</v>
      </c>
      <c r="B170" t="s">
        <v>1426</v>
      </c>
      <c r="C170">
        <v>0</v>
      </c>
      <c r="E170" t="s">
        <v>1264</v>
      </c>
    </row>
    <row r="171" spans="1:5">
      <c r="A171">
        <v>30</v>
      </c>
      <c r="B171" t="s">
        <v>1427</v>
      </c>
      <c r="C171">
        <v>0</v>
      </c>
      <c r="E171" t="s">
        <v>1264</v>
      </c>
    </row>
    <row r="172" spans="1:5">
      <c r="A172">
        <v>30</v>
      </c>
      <c r="B172" t="s">
        <v>1428</v>
      </c>
      <c r="C172">
        <v>0</v>
      </c>
      <c r="E172" t="s">
        <v>1264</v>
      </c>
    </row>
    <row r="173" spans="1:5">
      <c r="A173">
        <v>30</v>
      </c>
      <c r="B173" t="s">
        <v>1429</v>
      </c>
      <c r="C173">
        <v>0</v>
      </c>
      <c r="E173" t="s">
        <v>1264</v>
      </c>
    </row>
    <row r="174" spans="1:5">
      <c r="A174">
        <v>30</v>
      </c>
      <c r="B174" t="s">
        <v>1430</v>
      </c>
      <c r="C174">
        <v>20105192.25</v>
      </c>
      <c r="E174" t="s">
        <v>1264</v>
      </c>
    </row>
    <row r="175" spans="1:5">
      <c r="A175">
        <v>30</v>
      </c>
      <c r="B175" t="s">
        <v>1431</v>
      </c>
      <c r="C175">
        <v>0</v>
      </c>
      <c r="E175" t="s">
        <v>1264</v>
      </c>
    </row>
    <row r="176" spans="1:5">
      <c r="A176">
        <v>30</v>
      </c>
      <c r="B176" t="s">
        <v>1432</v>
      </c>
      <c r="C176">
        <v>0</v>
      </c>
      <c r="E176" t="s">
        <v>1264</v>
      </c>
    </row>
    <row r="177" spans="1:5">
      <c r="A177">
        <v>30</v>
      </c>
      <c r="B177" t="s">
        <v>1433</v>
      </c>
      <c r="C177">
        <v>0</v>
      </c>
      <c r="E177" t="s">
        <v>1264</v>
      </c>
    </row>
    <row r="178" spans="1:5">
      <c r="A178">
        <v>30</v>
      </c>
      <c r="B178" t="s">
        <v>1434</v>
      </c>
      <c r="C178">
        <v>0</v>
      </c>
      <c r="E178" t="s">
        <v>1264</v>
      </c>
    </row>
    <row r="179" spans="1:5">
      <c r="A179">
        <v>30</v>
      </c>
      <c r="B179" t="s">
        <v>1435</v>
      </c>
      <c r="C179">
        <v>0</v>
      </c>
      <c r="E179" t="s">
        <v>1264</v>
      </c>
    </row>
    <row r="180" spans="1:5">
      <c r="A180">
        <v>30</v>
      </c>
      <c r="B180" t="s">
        <v>1436</v>
      </c>
      <c r="C180">
        <v>0</v>
      </c>
      <c r="E180" t="s">
        <v>1264</v>
      </c>
    </row>
    <row r="181" spans="1:5">
      <c r="A181">
        <v>30</v>
      </c>
      <c r="B181" t="s">
        <v>1437</v>
      </c>
      <c r="C181">
        <v>0</v>
      </c>
      <c r="E181" t="s">
        <v>1264</v>
      </c>
    </row>
    <row r="182" spans="1:5">
      <c r="A182">
        <v>30</v>
      </c>
      <c r="B182" t="s">
        <v>1438</v>
      </c>
      <c r="C182">
        <v>0</v>
      </c>
      <c r="E182" t="s">
        <v>1264</v>
      </c>
    </row>
    <row r="183" spans="1:5">
      <c r="A183">
        <v>30</v>
      </c>
      <c r="B183" t="s">
        <v>1439</v>
      </c>
      <c r="C183">
        <v>0</v>
      </c>
      <c r="E183" t="s">
        <v>1264</v>
      </c>
    </row>
    <row r="184" spans="1:5">
      <c r="A184">
        <v>30</v>
      </c>
      <c r="B184" t="s">
        <v>1440</v>
      </c>
      <c r="E184" t="s">
        <v>1264</v>
      </c>
    </row>
    <row r="185" spans="1:5">
      <c r="A185">
        <v>30</v>
      </c>
      <c r="B185" t="s">
        <v>1389</v>
      </c>
      <c r="C185">
        <v>8290.2199999999993</v>
      </c>
      <c r="E185" t="s">
        <v>1264</v>
      </c>
    </row>
    <row r="186" spans="1:5">
      <c r="A186">
        <v>30</v>
      </c>
      <c r="B186" t="s">
        <v>1441</v>
      </c>
      <c r="C186">
        <v>1490109.4</v>
      </c>
      <c r="E186" t="s">
        <v>1264</v>
      </c>
    </row>
    <row r="187" spans="1:5">
      <c r="A187">
        <v>30</v>
      </c>
      <c r="B187" t="s">
        <v>1442</v>
      </c>
      <c r="C187">
        <v>810065.25000000012</v>
      </c>
      <c r="E187" t="s">
        <v>1264</v>
      </c>
    </row>
    <row r="188" spans="1:5">
      <c r="A188">
        <v>30</v>
      </c>
      <c r="B188" t="s">
        <v>1443</v>
      </c>
      <c r="C188">
        <v>114528</v>
      </c>
      <c r="E188" t="s">
        <v>1264</v>
      </c>
    </row>
    <row r="189" spans="1:5">
      <c r="A189">
        <v>30</v>
      </c>
      <c r="B189" t="s">
        <v>1444</v>
      </c>
      <c r="C189">
        <v>210327</v>
      </c>
      <c r="E189" t="s">
        <v>1264</v>
      </c>
    </row>
    <row r="190" spans="1:5">
      <c r="A190">
        <v>30</v>
      </c>
      <c r="B190" t="s">
        <v>1445</v>
      </c>
      <c r="C190">
        <v>185085</v>
      </c>
      <c r="E190" t="s">
        <v>1264</v>
      </c>
    </row>
    <row r="191" spans="1:5">
      <c r="A191">
        <v>30</v>
      </c>
      <c r="B191" t="s">
        <v>1446</v>
      </c>
      <c r="C191">
        <v>114671.25000000001</v>
      </c>
      <c r="E191" t="s">
        <v>1264</v>
      </c>
    </row>
    <row r="192" spans="1:5">
      <c r="A192">
        <v>30</v>
      </c>
      <c r="B192" t="s">
        <v>1447</v>
      </c>
      <c r="C192">
        <v>0</v>
      </c>
      <c r="E192" t="s">
        <v>1264</v>
      </c>
    </row>
    <row r="193" spans="1:5">
      <c r="A193">
        <v>30</v>
      </c>
      <c r="B193" t="s">
        <v>1448</v>
      </c>
      <c r="C193">
        <v>24131.25</v>
      </c>
      <c r="E193" t="s">
        <v>1264</v>
      </c>
    </row>
    <row r="194" spans="1:5">
      <c r="A194">
        <v>30</v>
      </c>
      <c r="B194" t="s">
        <v>1449</v>
      </c>
      <c r="C194">
        <v>31301.65</v>
      </c>
      <c r="E194" t="s">
        <v>1264</v>
      </c>
    </row>
    <row r="195" spans="1:5">
      <c r="A195">
        <v>30</v>
      </c>
      <c r="B195" t="s">
        <v>1450</v>
      </c>
      <c r="C195">
        <v>107320293.73999999</v>
      </c>
      <c r="E195" t="s">
        <v>1264</v>
      </c>
    </row>
    <row r="196" spans="1:5">
      <c r="A196">
        <v>30</v>
      </c>
      <c r="B196" t="s">
        <v>1451</v>
      </c>
      <c r="C196">
        <v>74742918.75</v>
      </c>
      <c r="E196" t="s">
        <v>1264</v>
      </c>
    </row>
    <row r="197" spans="1:5">
      <c r="A197">
        <v>30</v>
      </c>
      <c r="B197" t="s">
        <v>1452</v>
      </c>
      <c r="C197">
        <v>5052834</v>
      </c>
      <c r="E197" t="s">
        <v>1264</v>
      </c>
    </row>
    <row r="198" spans="1:5">
      <c r="A198">
        <v>30</v>
      </c>
      <c r="B198" t="s">
        <v>1453</v>
      </c>
      <c r="C198">
        <v>9357192</v>
      </c>
      <c r="E198" t="s">
        <v>1264</v>
      </c>
    </row>
    <row r="199" spans="1:5">
      <c r="A199">
        <v>30</v>
      </c>
      <c r="B199" t="s">
        <v>1454</v>
      </c>
      <c r="C199">
        <v>8300062.5</v>
      </c>
      <c r="E199" t="s">
        <v>1264</v>
      </c>
    </row>
    <row r="200" spans="1:5">
      <c r="A200">
        <v>30</v>
      </c>
      <c r="B200" t="s">
        <v>1455</v>
      </c>
      <c r="C200">
        <v>5197151.25</v>
      </c>
      <c r="E200" t="s">
        <v>1264</v>
      </c>
    </row>
    <row r="201" spans="1:5">
      <c r="A201">
        <v>30</v>
      </c>
      <c r="B201" t="s">
        <v>1456</v>
      </c>
      <c r="C201">
        <v>1504799.9999999995</v>
      </c>
      <c r="E201" t="s">
        <v>1264</v>
      </c>
    </row>
    <row r="202" spans="1:5">
      <c r="A202">
        <v>30</v>
      </c>
      <c r="B202" t="s">
        <v>1457</v>
      </c>
      <c r="C202">
        <v>1602168.75</v>
      </c>
      <c r="E202" t="s">
        <v>1264</v>
      </c>
    </row>
    <row r="203" spans="1:5">
      <c r="A203">
        <v>30</v>
      </c>
      <c r="B203" t="s">
        <v>1458</v>
      </c>
      <c r="C203">
        <v>1563166.4900000005</v>
      </c>
      <c r="E203" t="s">
        <v>1264</v>
      </c>
    </row>
    <row r="204" spans="1:5">
      <c r="A204">
        <v>30</v>
      </c>
      <c r="B204" t="s">
        <v>1459</v>
      </c>
      <c r="C204">
        <v>1490109.4</v>
      </c>
      <c r="E204" t="s">
        <v>1264</v>
      </c>
    </row>
    <row r="205" spans="1:5">
      <c r="A205">
        <v>30</v>
      </c>
      <c r="B205" t="s">
        <v>1460</v>
      </c>
      <c r="C205">
        <v>810065.25000000012</v>
      </c>
      <c r="E205" t="s">
        <v>1264</v>
      </c>
    </row>
    <row r="206" spans="1:5">
      <c r="A206">
        <v>30</v>
      </c>
      <c r="B206" t="s">
        <v>1461</v>
      </c>
      <c r="C206">
        <v>114528</v>
      </c>
      <c r="E206" t="s">
        <v>1264</v>
      </c>
    </row>
    <row r="207" spans="1:5">
      <c r="A207">
        <v>30</v>
      </c>
      <c r="B207" t="s">
        <v>1462</v>
      </c>
      <c r="C207">
        <v>210327</v>
      </c>
      <c r="E207" t="s">
        <v>1264</v>
      </c>
    </row>
    <row r="208" spans="1:5">
      <c r="A208">
        <v>30</v>
      </c>
      <c r="B208" t="s">
        <v>1463</v>
      </c>
      <c r="C208">
        <v>185085</v>
      </c>
      <c r="E208" t="s">
        <v>1264</v>
      </c>
    </row>
    <row r="209" spans="1:5">
      <c r="A209">
        <v>30</v>
      </c>
      <c r="B209" t="s">
        <v>1464</v>
      </c>
      <c r="C209">
        <v>114671.25000000001</v>
      </c>
      <c r="E209" t="s">
        <v>1264</v>
      </c>
    </row>
    <row r="210" spans="1:5">
      <c r="A210">
        <v>30</v>
      </c>
      <c r="B210" t="s">
        <v>1465</v>
      </c>
      <c r="C210">
        <v>0</v>
      </c>
      <c r="E210" t="s">
        <v>1264</v>
      </c>
    </row>
    <row r="211" spans="1:5">
      <c r="A211">
        <v>30</v>
      </c>
      <c r="B211" t="s">
        <v>1466</v>
      </c>
      <c r="C211">
        <v>24131.25</v>
      </c>
      <c r="E211" t="s">
        <v>1264</v>
      </c>
    </row>
    <row r="212" spans="1:5">
      <c r="A212">
        <v>30</v>
      </c>
      <c r="B212" t="s">
        <v>1467</v>
      </c>
      <c r="C212">
        <v>31301.65</v>
      </c>
      <c r="E212" t="s">
        <v>1264</v>
      </c>
    </row>
    <row r="213" spans="1:5">
      <c r="A213">
        <v>30</v>
      </c>
      <c r="B213" t="s">
        <v>1468</v>
      </c>
      <c r="C213">
        <v>106371323.14</v>
      </c>
      <c r="E213" t="s">
        <v>1264</v>
      </c>
    </row>
    <row r="214" spans="1:5">
      <c r="A214">
        <v>30</v>
      </c>
      <c r="B214" t="s">
        <v>1469</v>
      </c>
      <c r="C214">
        <v>74742918.75</v>
      </c>
      <c r="E214" t="s">
        <v>1264</v>
      </c>
    </row>
    <row r="215" spans="1:5">
      <c r="A215">
        <v>30</v>
      </c>
      <c r="B215" t="s">
        <v>1470</v>
      </c>
      <c r="C215">
        <v>5052834</v>
      </c>
      <c r="E215" t="s">
        <v>1264</v>
      </c>
    </row>
    <row r="216" spans="1:5">
      <c r="A216">
        <v>30</v>
      </c>
      <c r="B216" t="s">
        <v>1471</v>
      </c>
      <c r="C216">
        <v>9357192</v>
      </c>
      <c r="E216" t="s">
        <v>1264</v>
      </c>
    </row>
    <row r="217" spans="1:5">
      <c r="A217">
        <v>30</v>
      </c>
      <c r="B217" t="s">
        <v>1472</v>
      </c>
      <c r="C217">
        <v>8300062.5</v>
      </c>
      <c r="E217" t="s">
        <v>1264</v>
      </c>
    </row>
    <row r="218" spans="1:5">
      <c r="A218">
        <v>30</v>
      </c>
      <c r="B218" t="s">
        <v>1473</v>
      </c>
      <c r="C218">
        <v>5197151.25</v>
      </c>
      <c r="E218" t="s">
        <v>1264</v>
      </c>
    </row>
    <row r="219" spans="1:5">
      <c r="A219">
        <v>30</v>
      </c>
      <c r="B219" t="s">
        <v>1474</v>
      </c>
      <c r="C219">
        <v>1504799.9999999995</v>
      </c>
      <c r="E219" t="s">
        <v>1264</v>
      </c>
    </row>
    <row r="220" spans="1:5">
      <c r="A220">
        <v>30</v>
      </c>
      <c r="B220" t="s">
        <v>1475</v>
      </c>
      <c r="C220">
        <v>955743.75</v>
      </c>
      <c r="E220" t="s">
        <v>1264</v>
      </c>
    </row>
    <row r="221" spans="1:5">
      <c r="A221">
        <v>30</v>
      </c>
      <c r="B221" t="s">
        <v>1476</v>
      </c>
      <c r="C221">
        <v>1260620.8900000001</v>
      </c>
      <c r="E221" t="s">
        <v>1264</v>
      </c>
    </row>
    <row r="222" spans="1:5">
      <c r="A222">
        <v>30</v>
      </c>
      <c r="B222" t="s">
        <v>1477</v>
      </c>
      <c r="C222">
        <v>0</v>
      </c>
      <c r="E222" t="s">
        <v>1264</v>
      </c>
    </row>
    <row r="223" spans="1:5">
      <c r="A223">
        <v>30</v>
      </c>
      <c r="B223" t="s">
        <v>1478</v>
      </c>
      <c r="C223">
        <v>0</v>
      </c>
      <c r="E223" t="s">
        <v>1264</v>
      </c>
    </row>
    <row r="224" spans="1:5">
      <c r="A224">
        <v>30</v>
      </c>
      <c r="B224" t="s">
        <v>1479</v>
      </c>
      <c r="C224">
        <v>0</v>
      </c>
      <c r="E224" t="s">
        <v>1264</v>
      </c>
    </row>
    <row r="225" spans="1:5">
      <c r="A225">
        <v>30</v>
      </c>
      <c r="B225" t="s">
        <v>1480</v>
      </c>
      <c r="C225">
        <v>0</v>
      </c>
      <c r="E225" t="s">
        <v>1264</v>
      </c>
    </row>
    <row r="226" spans="1:5">
      <c r="A226">
        <v>30</v>
      </c>
      <c r="B226" t="s">
        <v>1481</v>
      </c>
      <c r="C226">
        <v>0</v>
      </c>
      <c r="E226" t="s">
        <v>1264</v>
      </c>
    </row>
    <row r="227" spans="1:5">
      <c r="A227">
        <v>30</v>
      </c>
      <c r="B227" t="s">
        <v>1482</v>
      </c>
      <c r="C227">
        <v>0</v>
      </c>
      <c r="E227" t="s">
        <v>1264</v>
      </c>
    </row>
    <row r="228" spans="1:5">
      <c r="A228">
        <v>30</v>
      </c>
      <c r="B228" t="s">
        <v>1483</v>
      </c>
      <c r="C228">
        <v>0</v>
      </c>
      <c r="E228" t="s">
        <v>1264</v>
      </c>
    </row>
    <row r="229" spans="1:5">
      <c r="A229">
        <v>30</v>
      </c>
      <c r="B229" t="s">
        <v>1484</v>
      </c>
      <c r="C229">
        <v>0</v>
      </c>
      <c r="E229" t="s">
        <v>1264</v>
      </c>
    </row>
    <row r="230" spans="1:5">
      <c r="A230">
        <v>30</v>
      </c>
      <c r="B230" t="s">
        <v>1485</v>
      </c>
      <c r="C230">
        <v>0</v>
      </c>
      <c r="E230" t="s">
        <v>1264</v>
      </c>
    </row>
    <row r="231" spans="1:5">
      <c r="A231">
        <v>30</v>
      </c>
      <c r="B231" t="s">
        <v>1486</v>
      </c>
      <c r="C231">
        <v>948970.6</v>
      </c>
      <c r="E231" t="s">
        <v>1264</v>
      </c>
    </row>
    <row r="232" spans="1:5">
      <c r="A232">
        <v>30</v>
      </c>
      <c r="B232" t="s">
        <v>1487</v>
      </c>
      <c r="C232">
        <v>0</v>
      </c>
      <c r="E232" t="s">
        <v>1264</v>
      </c>
    </row>
    <row r="233" spans="1:5">
      <c r="A233">
        <v>30</v>
      </c>
      <c r="B233" t="s">
        <v>1488</v>
      </c>
      <c r="C233">
        <v>0</v>
      </c>
      <c r="E233" t="s">
        <v>1264</v>
      </c>
    </row>
    <row r="234" spans="1:5">
      <c r="A234">
        <v>30</v>
      </c>
      <c r="B234" t="s">
        <v>1489</v>
      </c>
      <c r="C234">
        <v>0</v>
      </c>
      <c r="E234" t="s">
        <v>1264</v>
      </c>
    </row>
    <row r="235" spans="1:5">
      <c r="A235">
        <v>30</v>
      </c>
      <c r="B235" t="s">
        <v>1490</v>
      </c>
      <c r="C235">
        <v>0</v>
      </c>
      <c r="E235" t="s">
        <v>1264</v>
      </c>
    </row>
    <row r="236" spans="1:5">
      <c r="A236">
        <v>30</v>
      </c>
      <c r="B236" t="s">
        <v>1491</v>
      </c>
      <c r="C236">
        <v>0</v>
      </c>
      <c r="E236" t="s">
        <v>1264</v>
      </c>
    </row>
    <row r="237" spans="1:5">
      <c r="A237">
        <v>30</v>
      </c>
      <c r="B237" t="s">
        <v>1492</v>
      </c>
      <c r="C237">
        <v>0</v>
      </c>
      <c r="E237" t="s">
        <v>1264</v>
      </c>
    </row>
    <row r="238" spans="1:5">
      <c r="A238">
        <v>30</v>
      </c>
      <c r="B238" t="s">
        <v>1493</v>
      </c>
      <c r="C238">
        <v>646425</v>
      </c>
      <c r="E238" t="s">
        <v>1264</v>
      </c>
    </row>
    <row r="239" spans="1:5">
      <c r="A239">
        <v>30</v>
      </c>
      <c r="B239" t="s">
        <v>1494</v>
      </c>
      <c r="C239">
        <v>302545.59999999998</v>
      </c>
      <c r="E239" t="s">
        <v>1264</v>
      </c>
    </row>
    <row r="240" spans="1:5">
      <c r="A240">
        <v>30</v>
      </c>
      <c r="B240" t="s">
        <v>1495</v>
      </c>
      <c r="C240">
        <v>4985000</v>
      </c>
      <c r="E240" t="s">
        <v>1264</v>
      </c>
    </row>
    <row r="241" spans="1:5">
      <c r="A241">
        <v>30</v>
      </c>
      <c r="B241" t="s">
        <v>1496</v>
      </c>
      <c r="C241">
        <v>496008513.00351501</v>
      </c>
      <c r="E241" t="s">
        <v>1264</v>
      </c>
    </row>
    <row r="242" spans="1:5">
      <c r="A242">
        <v>30</v>
      </c>
      <c r="B242" t="s">
        <v>1497</v>
      </c>
      <c r="C242">
        <v>-2.3999999999999998E-3</v>
      </c>
      <c r="E242" t="s">
        <v>1264</v>
      </c>
    </row>
    <row r="243" spans="1:5">
      <c r="A243">
        <v>30</v>
      </c>
      <c r="B243" t="s">
        <v>1498</v>
      </c>
      <c r="C243">
        <v>2.1229999999999999E-2</v>
      </c>
      <c r="E243" t="s">
        <v>1264</v>
      </c>
    </row>
    <row r="244" spans="1:5">
      <c r="A244">
        <v>30</v>
      </c>
      <c r="B244" t="s">
        <v>1499</v>
      </c>
      <c r="C244">
        <v>-1074395.77</v>
      </c>
      <c r="E244" t="s">
        <v>1264</v>
      </c>
    </row>
    <row r="245" spans="1:5">
      <c r="A245">
        <v>30</v>
      </c>
      <c r="B245" t="s">
        <v>1500</v>
      </c>
      <c r="C245">
        <v>475903320.75351501</v>
      </c>
      <c r="E245" t="s">
        <v>1264</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347"/>
  <sheetViews>
    <sheetView workbookViewId="0"/>
  </sheetViews>
  <sheetFormatPr baseColWidth="10" defaultColWidth="8.7265625" defaultRowHeight="12.5"/>
  <cols>
    <col min="1" max="1" width="13" customWidth="1"/>
    <col min="2" max="2" width="41" customWidth="1"/>
    <col min="3" max="4" width="13" customWidth="1"/>
  </cols>
  <sheetData>
    <row r="1" spans="1:4">
      <c r="A1" t="s">
        <v>552</v>
      </c>
      <c r="B1" t="s">
        <v>553</v>
      </c>
      <c r="C1" t="s">
        <v>554</v>
      </c>
      <c r="D1" t="s">
        <v>555</v>
      </c>
    </row>
    <row r="2" spans="1:4">
      <c r="A2" t="s">
        <v>902</v>
      </c>
      <c r="B2" t="s">
        <v>917</v>
      </c>
      <c r="C2">
        <v>11586</v>
      </c>
      <c r="D2">
        <v>10865161.640000014</v>
      </c>
    </row>
    <row r="3" spans="1:4">
      <c r="A3" t="s">
        <v>902</v>
      </c>
      <c r="B3" t="s">
        <v>918</v>
      </c>
      <c r="C3">
        <v>7592</v>
      </c>
      <c r="D3">
        <v>22234361.970000029</v>
      </c>
    </row>
    <row r="4" spans="1:4">
      <c r="A4" t="s">
        <v>902</v>
      </c>
      <c r="B4" t="s">
        <v>919</v>
      </c>
      <c r="C4">
        <v>5767</v>
      </c>
      <c r="D4">
        <v>28622074.010000043</v>
      </c>
    </row>
    <row r="5" spans="1:4">
      <c r="A5" t="s">
        <v>902</v>
      </c>
      <c r="B5" t="s">
        <v>920</v>
      </c>
      <c r="C5">
        <v>4366</v>
      </c>
      <c r="D5">
        <v>30348708.139999967</v>
      </c>
    </row>
    <row r="6" spans="1:4">
      <c r="A6" t="s">
        <v>902</v>
      </c>
      <c r="B6" t="s">
        <v>921</v>
      </c>
      <c r="C6">
        <v>3485</v>
      </c>
      <c r="D6">
        <v>31283370.689999953</v>
      </c>
    </row>
    <row r="7" spans="1:4">
      <c r="A7" t="s">
        <v>902</v>
      </c>
      <c r="B7" t="s">
        <v>922</v>
      </c>
      <c r="C7">
        <v>3123</v>
      </c>
      <c r="D7">
        <v>34322435.73999998</v>
      </c>
    </row>
    <row r="8" spans="1:4">
      <c r="A8" t="s">
        <v>902</v>
      </c>
      <c r="B8" t="s">
        <v>923</v>
      </c>
      <c r="C8">
        <v>2616</v>
      </c>
      <c r="D8">
        <v>33907651.489999965</v>
      </c>
    </row>
    <row r="9" spans="1:4">
      <c r="A9" t="s">
        <v>902</v>
      </c>
      <c r="B9" t="s">
        <v>924</v>
      </c>
      <c r="C9">
        <v>2136</v>
      </c>
      <c r="D9">
        <v>31990580.579999939</v>
      </c>
    </row>
    <row r="10" spans="1:4">
      <c r="A10" t="s">
        <v>902</v>
      </c>
      <c r="B10" t="s">
        <v>925</v>
      </c>
      <c r="C10">
        <v>1900</v>
      </c>
      <c r="D10">
        <v>32285388.75</v>
      </c>
    </row>
    <row r="11" spans="1:4">
      <c r="A11" t="s">
        <v>902</v>
      </c>
      <c r="B11" t="s">
        <v>926</v>
      </c>
      <c r="C11">
        <v>1575</v>
      </c>
      <c r="D11">
        <v>29845100.439999972</v>
      </c>
    </row>
    <row r="12" spans="1:4">
      <c r="A12" t="s">
        <v>902</v>
      </c>
      <c r="B12" t="s">
        <v>927</v>
      </c>
      <c r="C12">
        <v>1267</v>
      </c>
      <c r="D12">
        <v>26591485.799999975</v>
      </c>
    </row>
    <row r="13" spans="1:4">
      <c r="A13" t="s">
        <v>902</v>
      </c>
      <c r="B13" t="s">
        <v>928</v>
      </c>
      <c r="C13">
        <v>1053</v>
      </c>
      <c r="D13">
        <v>24179006.389999975</v>
      </c>
    </row>
    <row r="14" spans="1:4">
      <c r="A14" t="s">
        <v>902</v>
      </c>
      <c r="B14" t="s">
        <v>929</v>
      </c>
      <c r="C14">
        <v>835</v>
      </c>
      <c r="D14">
        <v>20849816.599999994</v>
      </c>
    </row>
    <row r="15" spans="1:4">
      <c r="A15" t="s">
        <v>902</v>
      </c>
      <c r="B15" t="s">
        <v>930</v>
      </c>
      <c r="C15">
        <v>837</v>
      </c>
      <c r="D15">
        <v>22549193.950000051</v>
      </c>
    </row>
    <row r="16" spans="1:4">
      <c r="A16" t="s">
        <v>902</v>
      </c>
      <c r="B16" t="s">
        <v>931</v>
      </c>
      <c r="C16">
        <v>681</v>
      </c>
      <c r="D16">
        <v>19746055.349999998</v>
      </c>
    </row>
    <row r="17" spans="1:4">
      <c r="A17" t="s">
        <v>902</v>
      </c>
      <c r="B17" t="s">
        <v>932</v>
      </c>
      <c r="C17">
        <v>528</v>
      </c>
      <c r="D17">
        <v>16379161.129999984</v>
      </c>
    </row>
    <row r="18" spans="1:4">
      <c r="A18" t="s">
        <v>902</v>
      </c>
      <c r="B18" t="s">
        <v>933</v>
      </c>
      <c r="C18">
        <v>461</v>
      </c>
      <c r="D18">
        <v>15210009.110000022</v>
      </c>
    </row>
    <row r="19" spans="1:4">
      <c r="A19" t="s">
        <v>902</v>
      </c>
      <c r="B19" t="s">
        <v>934</v>
      </c>
      <c r="C19">
        <v>414</v>
      </c>
      <c r="D19">
        <v>14486714.030000001</v>
      </c>
    </row>
    <row r="20" spans="1:4">
      <c r="A20" t="s">
        <v>902</v>
      </c>
      <c r="B20" t="s">
        <v>935</v>
      </c>
      <c r="C20">
        <v>315</v>
      </c>
      <c r="D20">
        <v>11653521.179999992</v>
      </c>
    </row>
    <row r="21" spans="1:4">
      <c r="A21" t="s">
        <v>902</v>
      </c>
      <c r="B21" t="s">
        <v>936</v>
      </c>
      <c r="C21">
        <v>279</v>
      </c>
      <c r="D21">
        <v>10877761.839999991</v>
      </c>
    </row>
    <row r="22" spans="1:4">
      <c r="A22" t="s">
        <v>902</v>
      </c>
      <c r="B22" t="s">
        <v>937</v>
      </c>
      <c r="C22">
        <v>212</v>
      </c>
      <c r="D22">
        <v>8683529.4600000009</v>
      </c>
    </row>
    <row r="23" spans="1:4">
      <c r="A23" t="s">
        <v>902</v>
      </c>
      <c r="B23" t="s">
        <v>938</v>
      </c>
      <c r="C23">
        <v>167</v>
      </c>
      <c r="D23">
        <v>7164549.3999999985</v>
      </c>
    </row>
    <row r="24" spans="1:4">
      <c r="A24" t="s">
        <v>902</v>
      </c>
      <c r="B24" t="s">
        <v>939</v>
      </c>
      <c r="C24">
        <v>151</v>
      </c>
      <c r="D24">
        <v>6795063.6899999976</v>
      </c>
    </row>
    <row r="25" spans="1:4">
      <c r="A25" t="s">
        <v>902</v>
      </c>
      <c r="B25" t="s">
        <v>940</v>
      </c>
      <c r="C25">
        <v>111</v>
      </c>
      <c r="D25">
        <v>5210474.4200000018</v>
      </c>
    </row>
    <row r="26" spans="1:4">
      <c r="A26" t="s">
        <v>902</v>
      </c>
      <c r="B26" t="s">
        <v>941</v>
      </c>
      <c r="C26">
        <v>94</v>
      </c>
      <c r="D26">
        <v>4594798.3899999997</v>
      </c>
    </row>
    <row r="27" spans="1:4">
      <c r="A27" t="s">
        <v>902</v>
      </c>
      <c r="B27" t="s">
        <v>942</v>
      </c>
      <c r="C27">
        <v>51</v>
      </c>
      <c r="D27">
        <v>2605194.600000001</v>
      </c>
    </row>
    <row r="28" spans="1:4">
      <c r="A28" t="s">
        <v>902</v>
      </c>
      <c r="B28" t="s">
        <v>943</v>
      </c>
      <c r="C28">
        <v>53</v>
      </c>
      <c r="D28">
        <v>2810800.05</v>
      </c>
    </row>
    <row r="29" spans="1:4">
      <c r="A29" t="s">
        <v>902</v>
      </c>
      <c r="B29" t="s">
        <v>944</v>
      </c>
      <c r="C29">
        <v>38</v>
      </c>
      <c r="D29">
        <v>2086765.5199999998</v>
      </c>
    </row>
    <row r="30" spans="1:4">
      <c r="A30" t="s">
        <v>902</v>
      </c>
      <c r="B30" t="s">
        <v>945</v>
      </c>
      <c r="C30">
        <v>30</v>
      </c>
      <c r="D30">
        <v>1710361.5499999998</v>
      </c>
    </row>
    <row r="31" spans="1:4">
      <c r="A31" t="s">
        <v>902</v>
      </c>
      <c r="B31" t="s">
        <v>946</v>
      </c>
      <c r="C31">
        <v>18</v>
      </c>
      <c r="D31">
        <v>1059293.57</v>
      </c>
    </row>
    <row r="32" spans="1:4">
      <c r="A32" t="s">
        <v>902</v>
      </c>
      <c r="B32" t="s">
        <v>947</v>
      </c>
      <c r="C32">
        <v>14</v>
      </c>
      <c r="D32">
        <v>853699.60999999987</v>
      </c>
    </row>
    <row r="33" spans="1:4">
      <c r="A33" t="s">
        <v>902</v>
      </c>
      <c r="B33" t="s">
        <v>948</v>
      </c>
      <c r="C33">
        <v>6</v>
      </c>
      <c r="D33">
        <v>377033.99</v>
      </c>
    </row>
    <row r="34" spans="1:4">
      <c r="A34" t="s">
        <v>902</v>
      </c>
      <c r="B34" t="s">
        <v>949</v>
      </c>
      <c r="C34">
        <v>9</v>
      </c>
      <c r="D34">
        <v>581684.47000000009</v>
      </c>
    </row>
    <row r="35" spans="1:4">
      <c r="A35" t="s">
        <v>902</v>
      </c>
      <c r="B35" t="s">
        <v>950</v>
      </c>
      <c r="C35">
        <v>4</v>
      </c>
      <c r="D35">
        <v>267377</v>
      </c>
    </row>
    <row r="36" spans="1:4">
      <c r="A36" t="s">
        <v>903</v>
      </c>
      <c r="B36" t="s">
        <v>951</v>
      </c>
      <c r="C36">
        <v>0</v>
      </c>
      <c r="D36">
        <v>0</v>
      </c>
    </row>
    <row r="37" spans="1:4">
      <c r="A37" t="s">
        <v>902</v>
      </c>
      <c r="B37" t="s">
        <v>952</v>
      </c>
      <c r="C37">
        <v>2</v>
      </c>
      <c r="D37">
        <v>140825.83000000002</v>
      </c>
    </row>
    <row r="38" spans="1:4">
      <c r="A38" t="s">
        <v>903</v>
      </c>
      <c r="B38" t="s">
        <v>953</v>
      </c>
      <c r="C38">
        <v>0</v>
      </c>
      <c r="D38">
        <v>0</v>
      </c>
    </row>
    <row r="39" spans="1:4">
      <c r="A39" t="s">
        <v>903</v>
      </c>
      <c r="B39" t="s">
        <v>954</v>
      </c>
      <c r="C39">
        <v>0</v>
      </c>
      <c r="D39">
        <v>0</v>
      </c>
    </row>
    <row r="40" spans="1:4">
      <c r="A40" t="s">
        <v>902</v>
      </c>
      <c r="B40" t="s">
        <v>955</v>
      </c>
      <c r="C40">
        <v>2</v>
      </c>
      <c r="D40">
        <v>152957.32</v>
      </c>
    </row>
    <row r="41" spans="1:4">
      <c r="A41" t="s">
        <v>903</v>
      </c>
      <c r="B41" t="s">
        <v>956</v>
      </c>
      <c r="C41">
        <v>0</v>
      </c>
      <c r="D41">
        <v>0</v>
      </c>
    </row>
    <row r="42" spans="1:4">
      <c r="A42" t="s">
        <v>902</v>
      </c>
      <c r="B42" t="s">
        <v>957</v>
      </c>
      <c r="C42">
        <v>1</v>
      </c>
      <c r="D42">
        <v>81268.55</v>
      </c>
    </row>
    <row r="43" spans="1:4">
      <c r="A43" t="s">
        <v>902</v>
      </c>
      <c r="B43" t="s">
        <v>958</v>
      </c>
      <c r="D43">
        <v>130</v>
      </c>
    </row>
    <row r="44" spans="1:4">
      <c r="A44" t="s">
        <v>902</v>
      </c>
      <c r="B44" t="s">
        <v>959</v>
      </c>
      <c r="C44">
        <v>294</v>
      </c>
      <c r="D44">
        <v>273229.56000000006</v>
      </c>
    </row>
    <row r="45" spans="1:4">
      <c r="A45" t="s">
        <v>902</v>
      </c>
      <c r="B45" t="s">
        <v>960</v>
      </c>
      <c r="C45">
        <v>1484</v>
      </c>
      <c r="D45">
        <v>8406892.2299999986</v>
      </c>
    </row>
    <row r="46" spans="1:4">
      <c r="A46" t="s">
        <v>902</v>
      </c>
      <c r="B46" t="s">
        <v>961</v>
      </c>
      <c r="C46">
        <v>13572</v>
      </c>
      <c r="D46">
        <v>105590746.01000032</v>
      </c>
    </row>
    <row r="47" spans="1:4">
      <c r="A47" t="s">
        <v>902</v>
      </c>
      <c r="B47" t="s">
        <v>962</v>
      </c>
      <c r="C47">
        <v>6827</v>
      </c>
      <c r="D47">
        <v>71738457.900000215</v>
      </c>
    </row>
    <row r="48" spans="1:4">
      <c r="A48" t="s">
        <v>902</v>
      </c>
      <c r="B48" t="s">
        <v>963</v>
      </c>
      <c r="C48">
        <v>6608</v>
      </c>
      <c r="D48">
        <v>70728295.929999858</v>
      </c>
    </row>
    <row r="49" spans="1:4">
      <c r="A49" t="s">
        <v>902</v>
      </c>
      <c r="B49" t="s">
        <v>964</v>
      </c>
      <c r="C49">
        <v>6651</v>
      </c>
      <c r="D49">
        <v>71571813.970000163</v>
      </c>
    </row>
    <row r="50" spans="1:4">
      <c r="A50" t="s">
        <v>902</v>
      </c>
      <c r="B50" t="s">
        <v>965</v>
      </c>
      <c r="C50">
        <v>9210</v>
      </c>
      <c r="D50">
        <v>111834704.1899998</v>
      </c>
    </row>
    <row r="51" spans="1:4">
      <c r="A51" t="s">
        <v>902</v>
      </c>
      <c r="B51" t="s">
        <v>966</v>
      </c>
      <c r="C51">
        <v>5279</v>
      </c>
      <c r="D51">
        <v>54779000.469999932</v>
      </c>
    </row>
    <row r="52" spans="1:4">
      <c r="A52" t="s">
        <v>902</v>
      </c>
      <c r="B52" t="s">
        <v>967</v>
      </c>
      <c r="C52">
        <v>1227</v>
      </c>
      <c r="D52">
        <v>12755384.749999998</v>
      </c>
    </row>
    <row r="53" spans="1:4">
      <c r="A53" t="s">
        <v>902</v>
      </c>
      <c r="B53" t="s">
        <v>968</v>
      </c>
      <c r="C53">
        <v>467</v>
      </c>
      <c r="D53">
        <v>4556042.459999999</v>
      </c>
    </row>
    <row r="54" spans="1:4">
      <c r="A54" t="s">
        <v>902</v>
      </c>
      <c r="B54" t="s">
        <v>969</v>
      </c>
      <c r="C54">
        <v>88</v>
      </c>
      <c r="D54">
        <v>613304.0399999998</v>
      </c>
    </row>
    <row r="55" spans="1:4">
      <c r="A55" t="s">
        <v>902</v>
      </c>
      <c r="B55" t="s">
        <v>970</v>
      </c>
      <c r="C55">
        <v>51</v>
      </c>
      <c r="D55">
        <v>435043.42999999988</v>
      </c>
    </row>
    <row r="56" spans="1:4">
      <c r="A56" t="s">
        <v>902</v>
      </c>
      <c r="B56" t="s">
        <v>971</v>
      </c>
      <c r="C56">
        <v>18</v>
      </c>
      <c r="D56">
        <v>104539.1</v>
      </c>
    </row>
    <row r="57" spans="1:4">
      <c r="A57" t="s">
        <v>902</v>
      </c>
      <c r="B57" t="s">
        <v>972</v>
      </c>
      <c r="C57">
        <v>3</v>
      </c>
      <c r="D57">
        <v>15782.21</v>
      </c>
    </row>
    <row r="58" spans="1:4">
      <c r="A58" t="s">
        <v>902</v>
      </c>
      <c r="B58" t="s">
        <v>973</v>
      </c>
      <c r="D58">
        <v>51779</v>
      </c>
    </row>
    <row r="59" spans="1:4">
      <c r="A59" t="s">
        <v>902</v>
      </c>
      <c r="B59" t="s">
        <v>974</v>
      </c>
      <c r="D59">
        <v>53059</v>
      </c>
    </row>
    <row r="60" spans="1:4">
      <c r="A60" t="s">
        <v>902</v>
      </c>
      <c r="B60" t="s">
        <v>975</v>
      </c>
      <c r="C60">
        <v>1256</v>
      </c>
      <c r="D60">
        <v>1678030.6300000015</v>
      </c>
    </row>
    <row r="61" spans="1:4">
      <c r="A61" t="s">
        <v>902</v>
      </c>
      <c r="B61" t="s">
        <v>976</v>
      </c>
      <c r="C61">
        <v>4519</v>
      </c>
      <c r="D61">
        <v>13046341.189999968</v>
      </c>
    </row>
    <row r="62" spans="1:4">
      <c r="A62" t="s">
        <v>902</v>
      </c>
      <c r="B62" t="s">
        <v>977</v>
      </c>
      <c r="C62">
        <v>5369</v>
      </c>
      <c r="D62">
        <v>26329777.470000226</v>
      </c>
    </row>
    <row r="63" spans="1:4">
      <c r="A63" t="s">
        <v>902</v>
      </c>
      <c r="B63" t="s">
        <v>978</v>
      </c>
      <c r="C63">
        <v>4096</v>
      </c>
      <c r="D63">
        <v>27932813.670000009</v>
      </c>
    </row>
    <row r="64" spans="1:4">
      <c r="A64" t="s">
        <v>902</v>
      </c>
      <c r="B64" t="s">
        <v>979</v>
      </c>
      <c r="C64">
        <v>3140</v>
      </c>
      <c r="D64">
        <v>27553696.520000029</v>
      </c>
    </row>
    <row r="65" spans="1:4">
      <c r="A65" t="s">
        <v>902</v>
      </c>
      <c r="B65" t="s">
        <v>980</v>
      </c>
      <c r="C65">
        <v>4210</v>
      </c>
      <c r="D65">
        <v>44744847.80999995</v>
      </c>
    </row>
    <row r="66" spans="1:4">
      <c r="A66" t="s">
        <v>902</v>
      </c>
      <c r="B66" t="s">
        <v>981</v>
      </c>
      <c r="C66">
        <v>2613</v>
      </c>
      <c r="D66">
        <v>33434631.989999976</v>
      </c>
    </row>
    <row r="67" spans="1:4">
      <c r="A67" t="s">
        <v>902</v>
      </c>
      <c r="B67" t="s">
        <v>982</v>
      </c>
      <c r="C67">
        <v>2786</v>
      </c>
      <c r="D67">
        <v>41634231.28999994</v>
      </c>
    </row>
    <row r="68" spans="1:4">
      <c r="A68" t="s">
        <v>902</v>
      </c>
      <c r="B68" t="s">
        <v>983</v>
      </c>
      <c r="C68">
        <v>2053</v>
      </c>
      <c r="D68">
        <v>34724106.250000045</v>
      </c>
    </row>
    <row r="69" spans="1:4">
      <c r="A69" t="s">
        <v>902</v>
      </c>
      <c r="B69" t="s">
        <v>984</v>
      </c>
      <c r="C69">
        <v>1812</v>
      </c>
      <c r="D69">
        <v>34143250.159999989</v>
      </c>
    </row>
    <row r="70" spans="1:4">
      <c r="A70" t="s">
        <v>902</v>
      </c>
      <c r="B70" t="s">
        <v>985</v>
      </c>
      <c r="C70">
        <v>2641</v>
      </c>
      <c r="D70">
        <v>54342974.209999941</v>
      </c>
    </row>
    <row r="71" spans="1:4">
      <c r="A71" t="s">
        <v>902</v>
      </c>
      <c r="B71" t="s">
        <v>986</v>
      </c>
      <c r="C71">
        <v>1604</v>
      </c>
      <c r="D71">
        <v>36715935.759999961</v>
      </c>
    </row>
    <row r="72" spans="1:4">
      <c r="A72" t="s">
        <v>902</v>
      </c>
      <c r="B72" t="s">
        <v>987</v>
      </c>
      <c r="C72">
        <v>1968</v>
      </c>
      <c r="D72">
        <v>49022743.590000011</v>
      </c>
    </row>
    <row r="73" spans="1:4">
      <c r="A73" t="s">
        <v>902</v>
      </c>
      <c r="B73" t="s">
        <v>988</v>
      </c>
      <c r="C73">
        <v>1282</v>
      </c>
      <c r="D73">
        <v>34492289.259999931</v>
      </c>
    </row>
    <row r="74" spans="1:4">
      <c r="A74" t="s">
        <v>902</v>
      </c>
      <c r="B74" t="s">
        <v>989</v>
      </c>
      <c r="C74">
        <v>1189</v>
      </c>
      <c r="D74">
        <v>34399104.790000044</v>
      </c>
    </row>
    <row r="75" spans="1:4">
      <c r="A75" t="s">
        <v>902</v>
      </c>
      <c r="B75" t="s">
        <v>990</v>
      </c>
      <c r="C75">
        <v>1571</v>
      </c>
      <c r="D75">
        <v>48003956.649999991</v>
      </c>
    </row>
    <row r="76" spans="1:4">
      <c r="A76" t="s">
        <v>902</v>
      </c>
      <c r="B76" t="s">
        <v>991</v>
      </c>
      <c r="C76">
        <v>865</v>
      </c>
      <c r="D76">
        <v>28392718.490000032</v>
      </c>
    </row>
    <row r="77" spans="1:4">
      <c r="A77" t="s">
        <v>902</v>
      </c>
      <c r="B77" t="s">
        <v>992</v>
      </c>
      <c r="C77">
        <v>999</v>
      </c>
      <c r="D77">
        <v>34885926.180000015</v>
      </c>
    </row>
    <row r="78" spans="1:4">
      <c r="A78" t="s">
        <v>902</v>
      </c>
      <c r="B78" t="s">
        <v>993</v>
      </c>
      <c r="C78">
        <v>715</v>
      </c>
      <c r="D78">
        <v>26398562.949999984</v>
      </c>
    </row>
    <row r="79" spans="1:4">
      <c r="A79" t="s">
        <v>902</v>
      </c>
      <c r="B79" t="s">
        <v>994</v>
      </c>
      <c r="C79">
        <v>597</v>
      </c>
      <c r="D79">
        <v>23188124.129999992</v>
      </c>
    </row>
    <row r="80" spans="1:4">
      <c r="A80" t="s">
        <v>902</v>
      </c>
      <c r="B80" t="s">
        <v>995</v>
      </c>
      <c r="C80">
        <v>874</v>
      </c>
      <c r="D80">
        <v>35450655.120000005</v>
      </c>
    </row>
    <row r="81" spans="1:4">
      <c r="A81" t="s">
        <v>902</v>
      </c>
      <c r="B81" t="s">
        <v>996</v>
      </c>
      <c r="C81">
        <v>528</v>
      </c>
      <c r="D81">
        <v>22628931.830000021</v>
      </c>
    </row>
    <row r="82" spans="1:4">
      <c r="A82" t="s">
        <v>902</v>
      </c>
      <c r="B82" t="s">
        <v>997</v>
      </c>
      <c r="C82">
        <v>535</v>
      </c>
      <c r="D82">
        <v>24034152.900000002</v>
      </c>
    </row>
    <row r="83" spans="1:4">
      <c r="A83" t="s">
        <v>902</v>
      </c>
      <c r="B83" t="s">
        <v>998</v>
      </c>
      <c r="C83">
        <v>367</v>
      </c>
      <c r="D83">
        <v>17226597.930000007</v>
      </c>
    </row>
    <row r="84" spans="1:4">
      <c r="A84" t="s">
        <v>902</v>
      </c>
      <c r="B84" t="s">
        <v>999</v>
      </c>
      <c r="C84">
        <v>368</v>
      </c>
      <c r="D84">
        <v>17984922.900000002</v>
      </c>
    </row>
    <row r="85" spans="1:4">
      <c r="A85" t="s">
        <v>902</v>
      </c>
      <c r="B85" t="s">
        <v>1000</v>
      </c>
      <c r="C85">
        <v>788</v>
      </c>
      <c r="D85">
        <v>39690727.569999993</v>
      </c>
    </row>
    <row r="86" spans="1:4">
      <c r="A86" t="s">
        <v>902</v>
      </c>
      <c r="B86" t="s">
        <v>1001</v>
      </c>
      <c r="C86">
        <v>333</v>
      </c>
      <c r="D86">
        <v>17641150.400000002</v>
      </c>
    </row>
    <row r="87" spans="1:4">
      <c r="A87" t="s">
        <v>902</v>
      </c>
      <c r="B87" t="s">
        <v>1002</v>
      </c>
      <c r="C87">
        <v>342</v>
      </c>
      <c r="D87">
        <v>18792686.630000018</v>
      </c>
    </row>
    <row r="88" spans="1:4">
      <c r="A88" t="s">
        <v>902</v>
      </c>
      <c r="B88" t="s">
        <v>1003</v>
      </c>
      <c r="C88">
        <v>244</v>
      </c>
      <c r="D88">
        <v>13894972.129999995</v>
      </c>
    </row>
    <row r="89" spans="1:4">
      <c r="A89" t="s">
        <v>902</v>
      </c>
      <c r="B89" t="s">
        <v>1004</v>
      </c>
      <c r="C89">
        <v>239</v>
      </c>
      <c r="D89">
        <v>14070054.230000006</v>
      </c>
    </row>
    <row r="90" spans="1:4">
      <c r="A90" t="s">
        <v>902</v>
      </c>
      <c r="B90" t="s">
        <v>1005</v>
      </c>
      <c r="C90">
        <v>378</v>
      </c>
      <c r="D90">
        <v>22815349.309999995</v>
      </c>
    </row>
    <row r="91" spans="1:4">
      <c r="A91" t="s">
        <v>902</v>
      </c>
      <c r="B91" t="s">
        <v>1006</v>
      </c>
      <c r="C91">
        <v>182</v>
      </c>
      <c r="D91">
        <v>11465333.349999998</v>
      </c>
    </row>
    <row r="92" spans="1:4">
      <c r="A92" t="s">
        <v>902</v>
      </c>
      <c r="B92" t="s">
        <v>1007</v>
      </c>
      <c r="C92">
        <v>246</v>
      </c>
      <c r="D92">
        <v>15954326.040000003</v>
      </c>
    </row>
    <row r="93" spans="1:4">
      <c r="A93" t="s">
        <v>902</v>
      </c>
      <c r="B93" t="s">
        <v>1008</v>
      </c>
      <c r="C93">
        <v>129</v>
      </c>
      <c r="D93">
        <v>8633493.1699999999</v>
      </c>
    </row>
    <row r="94" spans="1:4">
      <c r="A94" t="s">
        <v>902</v>
      </c>
      <c r="B94" t="s">
        <v>1009</v>
      </c>
      <c r="C94">
        <v>104</v>
      </c>
      <c r="D94">
        <v>7182363.5100000016</v>
      </c>
    </row>
    <row r="95" spans="1:4">
      <c r="A95" t="s">
        <v>902</v>
      </c>
      <c r="B95" t="s">
        <v>1010</v>
      </c>
      <c r="C95">
        <v>150</v>
      </c>
      <c r="D95">
        <v>10594499.929999994</v>
      </c>
    </row>
    <row r="96" spans="1:4">
      <c r="A96" t="s">
        <v>902</v>
      </c>
      <c r="B96" t="s">
        <v>1011</v>
      </c>
      <c r="C96">
        <v>94</v>
      </c>
      <c r="D96">
        <v>6854372.080000001</v>
      </c>
    </row>
    <row r="97" spans="1:4">
      <c r="A97" t="s">
        <v>902</v>
      </c>
      <c r="B97" t="s">
        <v>1012</v>
      </c>
      <c r="C97">
        <v>219</v>
      </c>
      <c r="D97">
        <v>16407513.019999996</v>
      </c>
    </row>
    <row r="98" spans="1:4">
      <c r="A98" t="s">
        <v>902</v>
      </c>
      <c r="B98" t="s">
        <v>1013</v>
      </c>
      <c r="C98">
        <v>60</v>
      </c>
      <c r="D98">
        <v>4618303.6399999987</v>
      </c>
    </row>
    <row r="99" spans="1:4">
      <c r="A99" t="s">
        <v>902</v>
      </c>
      <c r="B99" t="s">
        <v>1014</v>
      </c>
      <c r="C99">
        <v>63</v>
      </c>
      <c r="D99">
        <v>4985553.8099999996</v>
      </c>
    </row>
    <row r="100" spans="1:4">
      <c r="A100" t="s">
        <v>902</v>
      </c>
      <c r="B100" t="s">
        <v>1015</v>
      </c>
      <c r="C100">
        <v>54</v>
      </c>
      <c r="D100">
        <v>4365665.459999999</v>
      </c>
    </row>
    <row r="101" spans="1:4">
      <c r="A101" t="s">
        <v>902</v>
      </c>
      <c r="B101" t="s">
        <v>1016</v>
      </c>
      <c r="C101">
        <v>41</v>
      </c>
      <c r="D101">
        <v>3402555.3</v>
      </c>
    </row>
    <row r="102" spans="1:4">
      <c r="A102" t="s">
        <v>902</v>
      </c>
      <c r="B102" t="s">
        <v>1017</v>
      </c>
      <c r="C102">
        <v>47</v>
      </c>
      <c r="D102">
        <v>3994854.2800000003</v>
      </c>
    </row>
    <row r="103" spans="1:4">
      <c r="A103" t="s">
        <v>902</v>
      </c>
      <c r="B103" t="s">
        <v>1018</v>
      </c>
      <c r="C103">
        <v>37</v>
      </c>
      <c r="D103">
        <v>3219301.5700000003</v>
      </c>
    </row>
    <row r="104" spans="1:4">
      <c r="A104" t="s">
        <v>902</v>
      </c>
      <c r="B104" t="s">
        <v>1019</v>
      </c>
      <c r="C104">
        <v>34</v>
      </c>
      <c r="D104">
        <v>3024336.9699999997</v>
      </c>
    </row>
    <row r="105" spans="1:4">
      <c r="A105" t="s">
        <v>902</v>
      </c>
      <c r="B105" t="s">
        <v>1020</v>
      </c>
      <c r="C105">
        <v>8</v>
      </c>
      <c r="D105">
        <v>727199.87</v>
      </c>
    </row>
    <row r="106" spans="1:4">
      <c r="A106" t="s">
        <v>902</v>
      </c>
      <c r="B106" t="s">
        <v>1021</v>
      </c>
      <c r="C106">
        <v>8</v>
      </c>
      <c r="D106">
        <v>747272.21</v>
      </c>
    </row>
    <row r="107" spans="1:4">
      <c r="A107" t="s">
        <v>902</v>
      </c>
      <c r="B107" t="s">
        <v>1022</v>
      </c>
      <c r="C107">
        <v>4</v>
      </c>
      <c r="D107">
        <v>378108.69999999995</v>
      </c>
    </row>
    <row r="108" spans="1:4">
      <c r="A108" t="s">
        <v>902</v>
      </c>
      <c r="B108" t="s">
        <v>1023</v>
      </c>
      <c r="C108">
        <v>5</v>
      </c>
      <c r="D108">
        <v>484922.52</v>
      </c>
    </row>
    <row r="109" spans="1:4">
      <c r="A109" t="s">
        <v>902</v>
      </c>
      <c r="B109" t="s">
        <v>1024</v>
      </c>
      <c r="C109">
        <v>4</v>
      </c>
      <c r="D109">
        <v>398552.41000000003</v>
      </c>
    </row>
    <row r="110" spans="1:4">
      <c r="A110" t="s">
        <v>902</v>
      </c>
      <c r="B110" t="s">
        <v>1025</v>
      </c>
      <c r="C110">
        <v>9</v>
      </c>
      <c r="D110">
        <v>1013065.96</v>
      </c>
    </row>
    <row r="111" spans="1:4">
      <c r="A111" t="s">
        <v>904</v>
      </c>
      <c r="B111" t="s">
        <v>1026</v>
      </c>
      <c r="D111">
        <v>24833608.529999916</v>
      </c>
    </row>
    <row r="112" spans="1:4">
      <c r="A112" t="s">
        <v>902</v>
      </c>
      <c r="B112" t="s">
        <v>1027</v>
      </c>
      <c r="C112">
        <v>1</v>
      </c>
      <c r="D112">
        <v>81268.55</v>
      </c>
    </row>
    <row r="113" spans="1:4">
      <c r="A113" t="s">
        <v>902</v>
      </c>
      <c r="B113" t="s">
        <v>1028</v>
      </c>
      <c r="C113">
        <v>1</v>
      </c>
      <c r="D113">
        <v>66109.100000000006</v>
      </c>
    </row>
    <row r="114" spans="1:4">
      <c r="A114" t="s">
        <v>902</v>
      </c>
      <c r="B114" t="s">
        <v>1029</v>
      </c>
      <c r="C114">
        <v>1</v>
      </c>
      <c r="D114">
        <v>65325.29</v>
      </c>
    </row>
    <row r="115" spans="1:4">
      <c r="A115" t="s">
        <v>902</v>
      </c>
      <c r="B115" t="s">
        <v>1030</v>
      </c>
      <c r="C115">
        <v>1</v>
      </c>
      <c r="D115">
        <v>65284.5</v>
      </c>
    </row>
    <row r="116" spans="1:4">
      <c r="A116" t="s">
        <v>902</v>
      </c>
      <c r="B116" t="s">
        <v>1031</v>
      </c>
      <c r="C116">
        <v>1</v>
      </c>
      <c r="D116">
        <v>64965.29</v>
      </c>
    </row>
    <row r="117" spans="1:4">
      <c r="A117" t="s">
        <v>902</v>
      </c>
      <c r="B117" t="s">
        <v>1032</v>
      </c>
      <c r="C117">
        <v>1</v>
      </c>
      <c r="D117">
        <v>64629.15</v>
      </c>
    </row>
    <row r="118" spans="1:4">
      <c r="A118" t="s">
        <v>902</v>
      </c>
      <c r="B118" t="s">
        <v>1033</v>
      </c>
      <c r="C118">
        <v>1</v>
      </c>
      <c r="D118">
        <v>64592.08</v>
      </c>
    </row>
    <row r="119" spans="1:4">
      <c r="A119" t="s">
        <v>902</v>
      </c>
      <c r="B119" t="s">
        <v>1034</v>
      </c>
      <c r="C119">
        <v>1</v>
      </c>
      <c r="D119">
        <v>64407.38</v>
      </c>
    </row>
    <row r="120" spans="1:4">
      <c r="A120" t="s">
        <v>902</v>
      </c>
      <c r="B120" t="s">
        <v>1035</v>
      </c>
      <c r="C120">
        <v>1</v>
      </c>
      <c r="D120">
        <v>64285.440000000002</v>
      </c>
    </row>
    <row r="121" spans="1:4">
      <c r="A121" t="s">
        <v>902</v>
      </c>
      <c r="B121" t="s">
        <v>1036</v>
      </c>
      <c r="C121">
        <v>1</v>
      </c>
      <c r="D121">
        <v>64126.83</v>
      </c>
    </row>
    <row r="122" spans="1:4">
      <c r="A122" t="s">
        <v>902</v>
      </c>
      <c r="B122" t="s">
        <v>1037</v>
      </c>
      <c r="C122">
        <v>1</v>
      </c>
      <c r="D122">
        <v>64068.51</v>
      </c>
    </row>
    <row r="123" spans="1:4">
      <c r="A123" t="s">
        <v>902</v>
      </c>
      <c r="B123" t="s">
        <v>1038</v>
      </c>
      <c r="C123">
        <v>1</v>
      </c>
      <c r="D123">
        <v>76698.95</v>
      </c>
    </row>
    <row r="124" spans="1:4">
      <c r="A124" t="s">
        <v>902</v>
      </c>
      <c r="B124" t="s">
        <v>1039</v>
      </c>
      <c r="C124">
        <v>1</v>
      </c>
      <c r="D124">
        <v>63771.48</v>
      </c>
    </row>
    <row r="125" spans="1:4">
      <c r="A125" t="s">
        <v>902</v>
      </c>
      <c r="B125" t="s">
        <v>1040</v>
      </c>
      <c r="C125">
        <v>1</v>
      </c>
      <c r="D125">
        <v>63074.85</v>
      </c>
    </row>
    <row r="126" spans="1:4">
      <c r="A126" t="s">
        <v>902</v>
      </c>
      <c r="B126" t="s">
        <v>1041</v>
      </c>
      <c r="C126">
        <v>1</v>
      </c>
      <c r="D126">
        <v>62872.47</v>
      </c>
    </row>
    <row r="127" spans="1:4">
      <c r="A127" t="s">
        <v>902</v>
      </c>
      <c r="B127" t="s">
        <v>1042</v>
      </c>
      <c r="C127">
        <v>1</v>
      </c>
      <c r="D127">
        <v>62832.79</v>
      </c>
    </row>
    <row r="128" spans="1:4">
      <c r="A128" t="s">
        <v>902</v>
      </c>
      <c r="B128" t="s">
        <v>1043</v>
      </c>
      <c r="C128">
        <v>1</v>
      </c>
      <c r="D128">
        <v>62285.49</v>
      </c>
    </row>
    <row r="129" spans="1:4">
      <c r="A129" t="s">
        <v>902</v>
      </c>
      <c r="B129" t="s">
        <v>1044</v>
      </c>
      <c r="C129">
        <v>1</v>
      </c>
      <c r="D129">
        <v>62196.91</v>
      </c>
    </row>
    <row r="130" spans="1:4">
      <c r="A130" t="s">
        <v>902</v>
      </c>
      <c r="B130" t="s">
        <v>1045</v>
      </c>
      <c r="C130">
        <v>1</v>
      </c>
      <c r="D130">
        <v>76258.37</v>
      </c>
    </row>
    <row r="131" spans="1:4">
      <c r="A131" t="s">
        <v>902</v>
      </c>
      <c r="B131" t="s">
        <v>1046</v>
      </c>
      <c r="C131">
        <v>1</v>
      </c>
      <c r="D131">
        <v>70415.06</v>
      </c>
    </row>
    <row r="132" spans="1:4">
      <c r="A132" t="s">
        <v>902</v>
      </c>
      <c r="B132" t="s">
        <v>1047</v>
      </c>
      <c r="C132">
        <v>1</v>
      </c>
      <c r="D132">
        <v>70410.77</v>
      </c>
    </row>
    <row r="133" spans="1:4">
      <c r="A133" t="s">
        <v>902</v>
      </c>
      <c r="B133" t="s">
        <v>1048</v>
      </c>
      <c r="C133">
        <v>2</v>
      </c>
      <c r="D133">
        <v>69106.600000000006</v>
      </c>
    </row>
    <row r="134" spans="1:4">
      <c r="A134" t="s">
        <v>902</v>
      </c>
      <c r="B134" t="s">
        <v>1049</v>
      </c>
      <c r="C134">
        <v>2</v>
      </c>
      <c r="D134">
        <v>68763.28</v>
      </c>
    </row>
    <row r="135" spans="1:4">
      <c r="A135" t="s">
        <v>902</v>
      </c>
      <c r="B135" t="s">
        <v>1050</v>
      </c>
      <c r="C135">
        <v>1</v>
      </c>
      <c r="D135">
        <v>67718.05</v>
      </c>
    </row>
    <row r="136" spans="1:4">
      <c r="A136" t="s">
        <v>902</v>
      </c>
      <c r="B136" t="s">
        <v>1051</v>
      </c>
      <c r="C136">
        <v>1</v>
      </c>
      <c r="D136">
        <v>67137.33</v>
      </c>
    </row>
    <row r="137" spans="1:4">
      <c r="A137" t="s">
        <v>902</v>
      </c>
      <c r="B137" t="s">
        <v>1052</v>
      </c>
      <c r="C137">
        <v>1105</v>
      </c>
      <c r="D137">
        <v>21859901.289999977</v>
      </c>
    </row>
    <row r="138" spans="1:4">
      <c r="A138" t="s">
        <v>902</v>
      </c>
      <c r="B138" t="s">
        <v>1053</v>
      </c>
      <c r="C138">
        <v>50674</v>
      </c>
      <c r="D138">
        <v>491543334.95999664</v>
      </c>
    </row>
    <row r="139" spans="1:4">
      <c r="A139" t="s">
        <v>902</v>
      </c>
      <c r="B139" t="s">
        <v>1054</v>
      </c>
      <c r="C139">
        <v>6188</v>
      </c>
      <c r="D139">
        <v>66138968.780000061</v>
      </c>
    </row>
    <row r="140" spans="1:4">
      <c r="A140" t="s">
        <v>902</v>
      </c>
      <c r="B140" t="s">
        <v>1055</v>
      </c>
      <c r="C140">
        <v>7025</v>
      </c>
      <c r="D140">
        <v>72358292.630000025</v>
      </c>
    </row>
    <row r="141" spans="1:4">
      <c r="A141" t="s">
        <v>902</v>
      </c>
      <c r="B141" t="s">
        <v>1056</v>
      </c>
      <c r="C141">
        <v>2153</v>
      </c>
      <c r="D141">
        <v>21013659.469999984</v>
      </c>
    </row>
    <row r="142" spans="1:4">
      <c r="A142" t="s">
        <v>902</v>
      </c>
      <c r="B142" t="s">
        <v>1057</v>
      </c>
      <c r="C142">
        <v>2081</v>
      </c>
      <c r="D142">
        <v>18829221.300000016</v>
      </c>
    </row>
    <row r="143" spans="1:4">
      <c r="A143" t="s">
        <v>902</v>
      </c>
      <c r="B143" t="s">
        <v>1058</v>
      </c>
      <c r="C143">
        <v>378</v>
      </c>
      <c r="D143">
        <v>3623846.0800000015</v>
      </c>
    </row>
    <row r="144" spans="1:4">
      <c r="A144" t="s">
        <v>902</v>
      </c>
      <c r="B144" t="s">
        <v>1059</v>
      </c>
      <c r="C144">
        <v>934</v>
      </c>
      <c r="D144">
        <v>9123750.1500000041</v>
      </c>
    </row>
    <row r="145" spans="1:4">
      <c r="A145" t="s">
        <v>902</v>
      </c>
      <c r="B145" t="s">
        <v>1060</v>
      </c>
      <c r="C145">
        <v>3773</v>
      </c>
      <c r="D145">
        <v>39408794.560000062</v>
      </c>
    </row>
    <row r="146" spans="1:4">
      <c r="A146" t="s">
        <v>902</v>
      </c>
      <c r="B146" t="s">
        <v>1061</v>
      </c>
      <c r="C146">
        <v>5210</v>
      </c>
      <c r="D146">
        <v>49425898.309999987</v>
      </c>
    </row>
    <row r="147" spans="1:4">
      <c r="A147" t="s">
        <v>902</v>
      </c>
      <c r="B147" t="s">
        <v>1062</v>
      </c>
      <c r="C147">
        <v>1642</v>
      </c>
      <c r="D147">
        <v>16113465.550000021</v>
      </c>
    </row>
    <row r="148" spans="1:4">
      <c r="A148" t="s">
        <v>902</v>
      </c>
      <c r="B148" t="s">
        <v>1063</v>
      </c>
      <c r="C148">
        <v>11178</v>
      </c>
      <c r="D148">
        <v>112320176.33</v>
      </c>
    </row>
    <row r="149" spans="1:4">
      <c r="A149" t="s">
        <v>902</v>
      </c>
      <c r="B149" t="s">
        <v>1064</v>
      </c>
      <c r="C149">
        <v>2571</v>
      </c>
      <c r="D149">
        <v>25130251.959999938</v>
      </c>
    </row>
    <row r="150" spans="1:4">
      <c r="A150" t="s">
        <v>902</v>
      </c>
      <c r="B150" t="s">
        <v>1065</v>
      </c>
      <c r="C150">
        <v>714</v>
      </c>
      <c r="D150">
        <v>7151514.2299999949</v>
      </c>
    </row>
    <row r="151" spans="1:4">
      <c r="A151" t="s">
        <v>903</v>
      </c>
      <c r="B151" t="s">
        <v>1066</v>
      </c>
      <c r="C151">
        <v>0</v>
      </c>
      <c r="D151">
        <v>0</v>
      </c>
    </row>
    <row r="152" spans="1:4">
      <c r="A152" t="s">
        <v>902</v>
      </c>
      <c r="B152" t="s">
        <v>1067</v>
      </c>
      <c r="C152">
        <v>2415</v>
      </c>
      <c r="D152">
        <v>22396066.390000004</v>
      </c>
    </row>
    <row r="153" spans="1:4">
      <c r="A153" t="s">
        <v>902</v>
      </c>
      <c r="B153" t="s">
        <v>1068</v>
      </c>
      <c r="C153">
        <v>1917</v>
      </c>
      <c r="D153">
        <v>17034019.470000051</v>
      </c>
    </row>
    <row r="154" spans="1:4">
      <c r="A154" t="s">
        <v>902</v>
      </c>
      <c r="B154" t="s">
        <v>1069</v>
      </c>
      <c r="C154">
        <v>1912</v>
      </c>
      <c r="D154">
        <v>17975344.360000037</v>
      </c>
    </row>
    <row r="155" spans="1:4">
      <c r="A155" t="s">
        <v>902</v>
      </c>
      <c r="B155" t="s">
        <v>1070</v>
      </c>
      <c r="C155">
        <v>1539</v>
      </c>
      <c r="D155">
        <v>13566803.150000015</v>
      </c>
    </row>
    <row r="156" spans="1:4">
      <c r="A156" t="s">
        <v>902</v>
      </c>
      <c r="B156" t="s">
        <v>1071</v>
      </c>
      <c r="C156">
        <v>149</v>
      </c>
      <c r="D156">
        <v>1793163.5299999991</v>
      </c>
    </row>
    <row r="157" spans="1:4">
      <c r="A157" t="s">
        <v>902</v>
      </c>
      <c r="B157" t="s">
        <v>1072</v>
      </c>
      <c r="C157">
        <v>26456</v>
      </c>
      <c r="D157">
        <v>233591231.5200007</v>
      </c>
    </row>
    <row r="158" spans="1:4">
      <c r="A158" t="s">
        <v>902</v>
      </c>
      <c r="B158" t="s">
        <v>1073</v>
      </c>
      <c r="C158">
        <v>25323</v>
      </c>
      <c r="D158">
        <v>279812004.73000067</v>
      </c>
    </row>
    <row r="159" spans="1:4">
      <c r="A159" t="s">
        <v>902</v>
      </c>
      <c r="B159" t="s">
        <v>1074</v>
      </c>
      <c r="C159">
        <v>51779</v>
      </c>
      <c r="D159">
        <v>5.2845896803925874E-2</v>
      </c>
    </row>
    <row r="160" spans="1:4">
      <c r="A160" t="s">
        <v>902</v>
      </c>
      <c r="B160" t="s">
        <v>1075</v>
      </c>
      <c r="C160">
        <v>49290</v>
      </c>
      <c r="D160">
        <v>502166115.50999743</v>
      </c>
    </row>
    <row r="161" spans="1:4">
      <c r="A161" t="s">
        <v>902</v>
      </c>
      <c r="B161" t="s">
        <v>1076</v>
      </c>
      <c r="C161">
        <v>988</v>
      </c>
      <c r="D161">
        <v>10166575.040000021</v>
      </c>
    </row>
    <row r="162" spans="1:4">
      <c r="A162" t="s">
        <v>902</v>
      </c>
      <c r="B162" t="s">
        <v>1077</v>
      </c>
      <c r="C162">
        <v>124</v>
      </c>
      <c r="D162">
        <v>815961.45000000019</v>
      </c>
    </row>
    <row r="163" spans="1:4">
      <c r="A163" t="s">
        <v>902</v>
      </c>
      <c r="B163" t="s">
        <v>1078</v>
      </c>
      <c r="C163">
        <v>21</v>
      </c>
      <c r="D163">
        <v>165371.59000000003</v>
      </c>
    </row>
    <row r="164" spans="1:4">
      <c r="A164" t="s">
        <v>902</v>
      </c>
      <c r="B164" t="s">
        <v>1079</v>
      </c>
      <c r="C164">
        <v>9</v>
      </c>
      <c r="D164">
        <v>80344.709999999992</v>
      </c>
    </row>
    <row r="165" spans="1:4">
      <c r="A165" t="s">
        <v>902</v>
      </c>
      <c r="B165" t="s">
        <v>1080</v>
      </c>
      <c r="C165">
        <v>2</v>
      </c>
      <c r="D165">
        <v>8867.9499999999989</v>
      </c>
    </row>
    <row r="166" spans="1:4">
      <c r="A166" t="s">
        <v>903</v>
      </c>
      <c r="B166" t="s">
        <v>1081</v>
      </c>
      <c r="C166">
        <v>0</v>
      </c>
      <c r="D166">
        <v>0</v>
      </c>
    </row>
    <row r="167" spans="1:4">
      <c r="A167" t="s">
        <v>902</v>
      </c>
      <c r="B167" t="s">
        <v>1082</v>
      </c>
      <c r="C167">
        <v>14</v>
      </c>
      <c r="D167">
        <v>-1419.16</v>
      </c>
    </row>
    <row r="168" spans="1:4">
      <c r="A168" t="s">
        <v>902</v>
      </c>
      <c r="B168" t="s">
        <v>1083</v>
      </c>
      <c r="C168">
        <v>19</v>
      </c>
      <c r="D168">
        <v>-39063.72</v>
      </c>
    </row>
    <row r="169" spans="1:4">
      <c r="A169" t="s">
        <v>902</v>
      </c>
      <c r="B169" t="s">
        <v>1084</v>
      </c>
      <c r="C169">
        <v>20</v>
      </c>
      <c r="D169">
        <v>-9680.35</v>
      </c>
    </row>
    <row r="170" spans="1:4">
      <c r="A170" t="s">
        <v>902</v>
      </c>
      <c r="B170" t="s">
        <v>1085</v>
      </c>
      <c r="C170">
        <v>249</v>
      </c>
      <c r="D170">
        <v>84917.000000000029</v>
      </c>
    </row>
    <row r="171" spans="1:4">
      <c r="A171" t="s">
        <v>902</v>
      </c>
      <c r="B171" t="s">
        <v>1086</v>
      </c>
      <c r="C171">
        <v>481</v>
      </c>
      <c r="D171">
        <v>432042.43000000028</v>
      </c>
    </row>
    <row r="172" spans="1:4">
      <c r="A172" t="s">
        <v>902</v>
      </c>
      <c r="B172" t="s">
        <v>1087</v>
      </c>
      <c r="C172">
        <v>4586</v>
      </c>
      <c r="D172">
        <v>4671832.0299999882</v>
      </c>
    </row>
    <row r="173" spans="1:4">
      <c r="A173" t="s">
        <v>902</v>
      </c>
      <c r="B173" t="s">
        <v>1088</v>
      </c>
      <c r="C173">
        <v>6219</v>
      </c>
      <c r="D173">
        <v>17564027.799999975</v>
      </c>
    </row>
    <row r="174" spans="1:4">
      <c r="A174" t="s">
        <v>902</v>
      </c>
      <c r="B174" t="s">
        <v>1089</v>
      </c>
      <c r="C174">
        <v>1265</v>
      </c>
      <c r="D174">
        <v>6251905.4299999997</v>
      </c>
    </row>
    <row r="175" spans="1:4">
      <c r="A175" t="s">
        <v>902</v>
      </c>
      <c r="B175" t="s">
        <v>1090</v>
      </c>
      <c r="C175">
        <v>4691</v>
      </c>
      <c r="D175">
        <v>28766540.019999985</v>
      </c>
    </row>
    <row r="176" spans="1:4">
      <c r="A176" t="s">
        <v>902</v>
      </c>
      <c r="B176" t="s">
        <v>1091</v>
      </c>
      <c r="C176">
        <v>1148</v>
      </c>
      <c r="D176">
        <v>11545448.809999993</v>
      </c>
    </row>
    <row r="177" spans="1:4">
      <c r="A177" t="s">
        <v>902</v>
      </c>
      <c r="B177" t="s">
        <v>1092</v>
      </c>
      <c r="C177">
        <v>10489</v>
      </c>
      <c r="D177">
        <v>90091320.579999954</v>
      </c>
    </row>
    <row r="178" spans="1:4">
      <c r="A178" t="s">
        <v>902</v>
      </c>
      <c r="B178" t="s">
        <v>1093</v>
      </c>
      <c r="C178">
        <v>13503</v>
      </c>
      <c r="D178">
        <v>194728123.39000109</v>
      </c>
    </row>
    <row r="179" spans="1:4">
      <c r="A179" t="s">
        <v>902</v>
      </c>
      <c r="B179" t="s">
        <v>1094</v>
      </c>
      <c r="C179">
        <v>7988</v>
      </c>
      <c r="D179">
        <v>130609311.6100004</v>
      </c>
    </row>
    <row r="180" spans="1:4">
      <c r="A180" t="s">
        <v>902</v>
      </c>
      <c r="B180" t="s">
        <v>1095</v>
      </c>
      <c r="C180">
        <v>12</v>
      </c>
      <c r="D180">
        <v>-16493.349999999999</v>
      </c>
    </row>
    <row r="181" spans="1:4">
      <c r="A181" t="s">
        <v>902</v>
      </c>
      <c r="B181" t="s">
        <v>1096</v>
      </c>
      <c r="C181">
        <v>861</v>
      </c>
      <c r="D181">
        <v>22035820.049999993</v>
      </c>
    </row>
    <row r="182" spans="1:4">
      <c r="A182" t="s">
        <v>902</v>
      </c>
      <c r="B182" t="s">
        <v>1097</v>
      </c>
      <c r="C182">
        <v>234</v>
      </c>
      <c r="D182">
        <v>6688603.6800000006</v>
      </c>
    </row>
    <row r="183" spans="1:4">
      <c r="A183" t="s">
        <v>902</v>
      </c>
      <c r="B183" t="s">
        <v>1098</v>
      </c>
      <c r="C183">
        <v>51779</v>
      </c>
      <c r="D183">
        <v>92.401185687247889</v>
      </c>
    </row>
    <row r="184" spans="1:4">
      <c r="A184" t="s">
        <v>902</v>
      </c>
      <c r="B184" t="s">
        <v>1099</v>
      </c>
      <c r="C184">
        <v>12746</v>
      </c>
      <c r="D184">
        <v>133357055.26999962</v>
      </c>
    </row>
    <row r="185" spans="1:4">
      <c r="A185" t="s">
        <v>902</v>
      </c>
      <c r="B185" t="s">
        <v>1100</v>
      </c>
      <c r="C185">
        <v>39033</v>
      </c>
      <c r="D185">
        <v>380046180.98000121</v>
      </c>
    </row>
    <row r="186" spans="1:4">
      <c r="A186" t="s">
        <v>902</v>
      </c>
      <c r="B186" t="s">
        <v>1101</v>
      </c>
      <c r="C186">
        <v>49136</v>
      </c>
      <c r="D186">
        <v>483294650.61999798</v>
      </c>
    </row>
    <row r="187" spans="1:4">
      <c r="A187" t="s">
        <v>902</v>
      </c>
      <c r="B187" t="s">
        <v>1102</v>
      </c>
      <c r="C187">
        <v>2643</v>
      </c>
      <c r="D187">
        <v>30108585.630000055</v>
      </c>
    </row>
    <row r="188" spans="1:4">
      <c r="A188" t="s">
        <v>902</v>
      </c>
      <c r="B188" t="s">
        <v>1103</v>
      </c>
      <c r="C188">
        <v>51779</v>
      </c>
      <c r="D188">
        <v>513403236.24999714</v>
      </c>
    </row>
    <row r="189" spans="1:4">
      <c r="A189" t="s">
        <v>902</v>
      </c>
      <c r="B189" t="s">
        <v>1104</v>
      </c>
      <c r="C189">
        <v>45990</v>
      </c>
      <c r="D189">
        <v>408421057.80000001</v>
      </c>
    </row>
    <row r="190" spans="1:4">
      <c r="A190" t="s">
        <v>902</v>
      </c>
      <c r="B190" t="s">
        <v>1105</v>
      </c>
      <c r="C190">
        <v>16</v>
      </c>
      <c r="D190">
        <v>36084</v>
      </c>
    </row>
    <row r="191" spans="1:4">
      <c r="A191" t="s">
        <v>902</v>
      </c>
      <c r="B191" t="s">
        <v>1106</v>
      </c>
      <c r="C191">
        <v>15</v>
      </c>
      <c r="D191">
        <v>30838.04</v>
      </c>
    </row>
    <row r="192" spans="1:4">
      <c r="A192" t="s">
        <v>902</v>
      </c>
      <c r="B192" t="s">
        <v>1107</v>
      </c>
      <c r="C192">
        <v>14</v>
      </c>
      <c r="D192">
        <v>26117.29</v>
      </c>
    </row>
    <row r="193" spans="1:4">
      <c r="A193" t="s">
        <v>902</v>
      </c>
      <c r="B193" t="s">
        <v>1108</v>
      </c>
      <c r="C193">
        <v>14</v>
      </c>
      <c r="D193">
        <v>22161.75</v>
      </c>
    </row>
    <row r="194" spans="1:4">
      <c r="A194" t="s">
        <v>902</v>
      </c>
      <c r="B194" t="s">
        <v>1109</v>
      </c>
      <c r="C194">
        <v>12</v>
      </c>
      <c r="D194">
        <v>18186.55</v>
      </c>
    </row>
    <row r="195" spans="1:4">
      <c r="A195" t="s">
        <v>902</v>
      </c>
      <c r="B195" t="s">
        <v>1110</v>
      </c>
      <c r="C195">
        <v>9</v>
      </c>
      <c r="D195">
        <v>14302.48</v>
      </c>
    </row>
    <row r="196" spans="1:4">
      <c r="A196" t="s">
        <v>902</v>
      </c>
      <c r="B196" t="s">
        <v>1111</v>
      </c>
      <c r="C196">
        <v>8</v>
      </c>
      <c r="D196">
        <v>11220.67</v>
      </c>
    </row>
    <row r="197" spans="1:4">
      <c r="A197" t="s">
        <v>902</v>
      </c>
      <c r="B197" t="s">
        <v>1112</v>
      </c>
      <c r="C197">
        <v>7</v>
      </c>
      <c r="D197">
        <v>8324.26</v>
      </c>
    </row>
    <row r="198" spans="1:4">
      <c r="A198" t="s">
        <v>902</v>
      </c>
      <c r="B198" t="s">
        <v>1113</v>
      </c>
      <c r="C198">
        <v>5</v>
      </c>
      <c r="D198">
        <v>5803.59</v>
      </c>
    </row>
    <row r="199" spans="1:4">
      <c r="A199" t="s">
        <v>902</v>
      </c>
      <c r="B199" t="s">
        <v>1114</v>
      </c>
      <c r="C199">
        <v>3</v>
      </c>
      <c r="D199">
        <v>4134.29</v>
      </c>
    </row>
    <row r="200" spans="1:4">
      <c r="A200" t="s">
        <v>902</v>
      </c>
      <c r="B200" t="s">
        <v>1115</v>
      </c>
      <c r="C200">
        <v>45461</v>
      </c>
      <c r="D200">
        <v>397069986.14999998</v>
      </c>
    </row>
    <row r="201" spans="1:4">
      <c r="A201" t="s">
        <v>902</v>
      </c>
      <c r="B201" t="s">
        <v>1116</v>
      </c>
      <c r="C201">
        <v>3</v>
      </c>
      <c r="D201">
        <v>3175.03</v>
      </c>
    </row>
    <row r="202" spans="1:4">
      <c r="A202" t="s">
        <v>902</v>
      </c>
      <c r="B202" t="s">
        <v>1117</v>
      </c>
      <c r="C202">
        <v>3</v>
      </c>
      <c r="D202">
        <v>2210.25</v>
      </c>
    </row>
    <row r="203" spans="1:4">
      <c r="A203" t="s">
        <v>902</v>
      </c>
      <c r="B203" t="s">
        <v>1118</v>
      </c>
      <c r="C203">
        <v>2</v>
      </c>
      <c r="D203">
        <v>1239.93</v>
      </c>
    </row>
    <row r="204" spans="1:4">
      <c r="A204" t="s">
        <v>902</v>
      </c>
      <c r="B204" t="s">
        <v>1119</v>
      </c>
      <c r="C204">
        <v>2</v>
      </c>
      <c r="D204">
        <v>622.12</v>
      </c>
    </row>
    <row r="205" spans="1:4">
      <c r="A205" t="s">
        <v>902</v>
      </c>
      <c r="B205" t="s">
        <v>1120</v>
      </c>
      <c r="C205">
        <v>0</v>
      </c>
      <c r="D205">
        <v>0</v>
      </c>
    </row>
    <row r="206" spans="1:4">
      <c r="A206" t="s">
        <v>902</v>
      </c>
      <c r="B206" t="s">
        <v>1121</v>
      </c>
      <c r="C206">
        <v>0</v>
      </c>
      <c r="D206">
        <v>0</v>
      </c>
    </row>
    <row r="207" spans="1:4">
      <c r="A207" t="s">
        <v>902</v>
      </c>
      <c r="B207" t="s">
        <v>1122</v>
      </c>
      <c r="C207">
        <v>44866</v>
      </c>
      <c r="D207">
        <v>385781407.20999998</v>
      </c>
    </row>
    <row r="208" spans="1:4">
      <c r="A208" t="s">
        <v>902</v>
      </c>
      <c r="B208" t="s">
        <v>1123</v>
      </c>
      <c r="C208">
        <v>44299</v>
      </c>
      <c r="D208">
        <v>374564232.61000001</v>
      </c>
    </row>
    <row r="209" spans="1:4">
      <c r="A209" t="s">
        <v>902</v>
      </c>
      <c r="B209" t="s">
        <v>1124</v>
      </c>
      <c r="C209">
        <v>43724</v>
      </c>
      <c r="D209">
        <v>363421009.38999999</v>
      </c>
    </row>
    <row r="210" spans="1:4">
      <c r="A210" t="s">
        <v>902</v>
      </c>
      <c r="B210" t="s">
        <v>1125</v>
      </c>
      <c r="C210">
        <v>43096</v>
      </c>
      <c r="D210">
        <v>352360646.62</v>
      </c>
    </row>
    <row r="211" spans="1:4">
      <c r="A211" t="s">
        <v>902</v>
      </c>
      <c r="B211" t="s">
        <v>1126</v>
      </c>
      <c r="C211">
        <v>42390</v>
      </c>
      <c r="D211">
        <v>341388482.42000002</v>
      </c>
    </row>
    <row r="212" spans="1:4">
      <c r="A212" t="s">
        <v>902</v>
      </c>
      <c r="B212" t="s">
        <v>1127</v>
      </c>
      <c r="C212">
        <v>41682</v>
      </c>
      <c r="D212">
        <v>330512434.97000003</v>
      </c>
    </row>
    <row r="213" spans="1:4">
      <c r="A213" t="s">
        <v>902</v>
      </c>
      <c r="B213" t="s">
        <v>1128</v>
      </c>
      <c r="C213">
        <v>40948</v>
      </c>
      <c r="D213">
        <v>319729618.54000002</v>
      </c>
    </row>
    <row r="214" spans="1:4">
      <c r="A214" t="s">
        <v>902</v>
      </c>
      <c r="B214" t="s">
        <v>1129</v>
      </c>
      <c r="C214">
        <v>40362</v>
      </c>
      <c r="D214">
        <v>309049034.13999999</v>
      </c>
    </row>
    <row r="215" spans="1:4">
      <c r="A215" t="s">
        <v>902</v>
      </c>
      <c r="B215" t="s">
        <v>1130</v>
      </c>
      <c r="C215">
        <v>50951</v>
      </c>
      <c r="D215">
        <v>501509275.82999998</v>
      </c>
    </row>
    <row r="216" spans="1:4">
      <c r="A216" t="s">
        <v>902</v>
      </c>
      <c r="B216" t="s">
        <v>1131</v>
      </c>
      <c r="C216">
        <v>39804</v>
      </c>
      <c r="D216">
        <v>298447242.02999997</v>
      </c>
    </row>
    <row r="217" spans="1:4">
      <c r="A217" t="s">
        <v>902</v>
      </c>
      <c r="B217" t="s">
        <v>1132</v>
      </c>
      <c r="C217">
        <v>39391</v>
      </c>
      <c r="D217">
        <v>287935445.25999999</v>
      </c>
    </row>
    <row r="218" spans="1:4">
      <c r="A218" t="s">
        <v>902</v>
      </c>
      <c r="B218" t="s">
        <v>1133</v>
      </c>
      <c r="C218">
        <v>38929</v>
      </c>
      <c r="D218">
        <v>277468581.73000002</v>
      </c>
    </row>
    <row r="219" spans="1:4">
      <c r="A219" t="s">
        <v>902</v>
      </c>
      <c r="B219" t="s">
        <v>1134</v>
      </c>
      <c r="C219">
        <v>38450</v>
      </c>
      <c r="D219">
        <v>267065383.56</v>
      </c>
    </row>
    <row r="220" spans="1:4">
      <c r="A220" t="s">
        <v>902</v>
      </c>
      <c r="B220" t="s">
        <v>1135</v>
      </c>
      <c r="C220">
        <v>37976</v>
      </c>
      <c r="D220">
        <v>256732456.19</v>
      </c>
    </row>
    <row r="221" spans="1:4">
      <c r="A221" t="s">
        <v>902</v>
      </c>
      <c r="B221" t="s">
        <v>1136</v>
      </c>
      <c r="C221">
        <v>37491</v>
      </c>
      <c r="D221">
        <v>246471283.24000001</v>
      </c>
    </row>
    <row r="222" spans="1:4">
      <c r="A222" t="s">
        <v>902</v>
      </c>
      <c r="B222" t="s">
        <v>1137</v>
      </c>
      <c r="C222">
        <v>37042</v>
      </c>
      <c r="D222">
        <v>236298612.13999999</v>
      </c>
    </row>
    <row r="223" spans="1:4">
      <c r="A223" t="s">
        <v>902</v>
      </c>
      <c r="B223" t="s">
        <v>1138</v>
      </c>
      <c r="C223">
        <v>36563</v>
      </c>
      <c r="D223">
        <v>226195137.80000001</v>
      </c>
    </row>
    <row r="224" spans="1:4">
      <c r="A224" t="s">
        <v>902</v>
      </c>
      <c r="B224" t="s">
        <v>1139</v>
      </c>
      <c r="C224">
        <v>36030</v>
      </c>
      <c r="D224">
        <v>216166871.43000001</v>
      </c>
    </row>
    <row r="225" spans="1:4">
      <c r="A225" t="s">
        <v>902</v>
      </c>
      <c r="B225" t="s">
        <v>1140</v>
      </c>
      <c r="C225">
        <v>35451</v>
      </c>
      <c r="D225">
        <v>206226709.13</v>
      </c>
    </row>
    <row r="226" spans="1:4">
      <c r="A226" t="s">
        <v>902</v>
      </c>
      <c r="B226" t="s">
        <v>1141</v>
      </c>
      <c r="C226">
        <v>50279</v>
      </c>
      <c r="D226">
        <v>489628081.80000001</v>
      </c>
    </row>
    <row r="227" spans="1:4">
      <c r="A227" t="s">
        <v>902</v>
      </c>
      <c r="B227" t="s">
        <v>1142</v>
      </c>
      <c r="C227">
        <v>34766</v>
      </c>
      <c r="D227">
        <v>196376498.19999999</v>
      </c>
    </row>
    <row r="228" spans="1:4">
      <c r="A228" t="s">
        <v>902</v>
      </c>
      <c r="B228" t="s">
        <v>1143</v>
      </c>
      <c r="C228">
        <v>34079</v>
      </c>
      <c r="D228">
        <v>186643297.74000001</v>
      </c>
    </row>
    <row r="229" spans="1:4">
      <c r="A229" t="s">
        <v>902</v>
      </c>
      <c r="B229" t="s">
        <v>1144</v>
      </c>
      <c r="C229">
        <v>33394</v>
      </c>
      <c r="D229">
        <v>177022039.47</v>
      </c>
    </row>
    <row r="230" spans="1:4">
      <c r="A230" t="s">
        <v>902</v>
      </c>
      <c r="B230" t="s">
        <v>1145</v>
      </c>
      <c r="C230">
        <v>32770</v>
      </c>
      <c r="D230">
        <v>167533638.74000001</v>
      </c>
    </row>
    <row r="231" spans="1:4">
      <c r="A231" t="s">
        <v>902</v>
      </c>
      <c r="B231" t="s">
        <v>1146</v>
      </c>
      <c r="C231">
        <v>32196</v>
      </c>
      <c r="D231">
        <v>158163304.18000001</v>
      </c>
    </row>
    <row r="232" spans="1:4">
      <c r="A232" t="s">
        <v>902</v>
      </c>
      <c r="B232" t="s">
        <v>1147</v>
      </c>
      <c r="C232">
        <v>31469</v>
      </c>
      <c r="D232">
        <v>148899920.16999999</v>
      </c>
    </row>
    <row r="233" spans="1:4">
      <c r="A233" t="s">
        <v>902</v>
      </c>
      <c r="B233" t="s">
        <v>1148</v>
      </c>
      <c r="C233">
        <v>30666</v>
      </c>
      <c r="D233">
        <v>139785637.47999999</v>
      </c>
    </row>
    <row r="234" spans="1:4">
      <c r="A234" t="s">
        <v>902</v>
      </c>
      <c r="B234" t="s">
        <v>1149</v>
      </c>
      <c r="C234">
        <v>29931</v>
      </c>
      <c r="D234">
        <v>130827301.28</v>
      </c>
    </row>
    <row r="235" spans="1:4">
      <c r="A235" t="s">
        <v>902</v>
      </c>
      <c r="B235" t="s">
        <v>1150</v>
      </c>
      <c r="C235">
        <v>29093</v>
      </c>
      <c r="D235">
        <v>122026591.36</v>
      </c>
    </row>
    <row r="236" spans="1:4">
      <c r="A236" t="s">
        <v>902</v>
      </c>
      <c r="B236" t="s">
        <v>1151</v>
      </c>
      <c r="C236">
        <v>28130</v>
      </c>
      <c r="D236">
        <v>113427864.34999999</v>
      </c>
    </row>
    <row r="237" spans="1:4">
      <c r="A237" t="s">
        <v>902</v>
      </c>
      <c r="B237" t="s">
        <v>1152</v>
      </c>
      <c r="C237">
        <v>49647</v>
      </c>
      <c r="D237">
        <v>477814239.77999997</v>
      </c>
    </row>
    <row r="238" spans="1:4">
      <c r="A238" t="s">
        <v>902</v>
      </c>
      <c r="B238" t="s">
        <v>1153</v>
      </c>
      <c r="C238">
        <v>27114</v>
      </c>
      <c r="D238">
        <v>105033247.88</v>
      </c>
    </row>
    <row r="239" spans="1:4">
      <c r="A239" t="s">
        <v>902</v>
      </c>
      <c r="B239" t="s">
        <v>1154</v>
      </c>
      <c r="C239">
        <v>26113</v>
      </c>
      <c r="D239">
        <v>96847427.989999995</v>
      </c>
    </row>
    <row r="240" spans="1:4">
      <c r="A240" t="s">
        <v>902</v>
      </c>
      <c r="B240" t="s">
        <v>1155</v>
      </c>
      <c r="C240">
        <v>24915</v>
      </c>
      <c r="D240">
        <v>88854219.650000006</v>
      </c>
    </row>
    <row r="241" spans="1:4">
      <c r="A241" t="s">
        <v>902</v>
      </c>
      <c r="B241" t="s">
        <v>1156</v>
      </c>
      <c r="C241">
        <v>23891</v>
      </c>
      <c r="D241">
        <v>81110361.269999996</v>
      </c>
    </row>
    <row r="242" spans="1:4">
      <c r="A242" t="s">
        <v>902</v>
      </c>
      <c r="B242" t="s">
        <v>1157</v>
      </c>
      <c r="C242">
        <v>22857</v>
      </c>
      <c r="D242">
        <v>73596354.140000001</v>
      </c>
    </row>
    <row r="243" spans="1:4">
      <c r="A243" t="s">
        <v>902</v>
      </c>
      <c r="B243" t="s">
        <v>1158</v>
      </c>
      <c r="C243">
        <v>21925</v>
      </c>
      <c r="D243">
        <v>66345685.18</v>
      </c>
    </row>
    <row r="244" spans="1:4">
      <c r="A244" t="s">
        <v>902</v>
      </c>
      <c r="B244" t="s">
        <v>1159</v>
      </c>
      <c r="C244">
        <v>20959</v>
      </c>
      <c r="D244">
        <v>59331876.859999999</v>
      </c>
    </row>
    <row r="245" spans="1:4">
      <c r="A245" t="s">
        <v>902</v>
      </c>
      <c r="B245" t="s">
        <v>1160</v>
      </c>
      <c r="C245">
        <v>19750</v>
      </c>
      <c r="D245">
        <v>52565767.979999997</v>
      </c>
    </row>
    <row r="246" spans="1:4">
      <c r="A246" t="s">
        <v>902</v>
      </c>
      <c r="B246" t="s">
        <v>1161</v>
      </c>
      <c r="C246">
        <v>18405</v>
      </c>
      <c r="D246">
        <v>46154907.259999998</v>
      </c>
    </row>
    <row r="247" spans="1:4">
      <c r="A247" t="s">
        <v>902</v>
      </c>
      <c r="B247" t="s">
        <v>1162</v>
      </c>
      <c r="C247">
        <v>17106</v>
      </c>
      <c r="D247">
        <v>40123452.280000001</v>
      </c>
    </row>
    <row r="248" spans="1:4">
      <c r="A248" t="s">
        <v>902</v>
      </c>
      <c r="B248" t="s">
        <v>1163</v>
      </c>
      <c r="C248">
        <v>48883</v>
      </c>
      <c r="D248">
        <v>466061263.07999998</v>
      </c>
    </row>
    <row r="249" spans="1:4">
      <c r="A249" t="s">
        <v>902</v>
      </c>
      <c r="B249" t="s">
        <v>1164</v>
      </c>
      <c r="C249">
        <v>15587</v>
      </c>
      <c r="D249">
        <v>34486078.380000003</v>
      </c>
    </row>
    <row r="250" spans="1:4">
      <c r="A250" t="s">
        <v>902</v>
      </c>
      <c r="B250" t="s">
        <v>1165</v>
      </c>
      <c r="C250">
        <v>13997</v>
      </c>
      <c r="D250">
        <v>29353842.920000002</v>
      </c>
    </row>
    <row r="251" spans="1:4">
      <c r="A251" t="s">
        <v>902</v>
      </c>
      <c r="B251" t="s">
        <v>1166</v>
      </c>
      <c r="C251">
        <v>12268</v>
      </c>
      <c r="D251">
        <v>24720957.440000001</v>
      </c>
    </row>
    <row r="252" spans="1:4">
      <c r="A252" t="s">
        <v>902</v>
      </c>
      <c r="B252" t="s">
        <v>1167</v>
      </c>
      <c r="C252">
        <v>10249</v>
      </c>
      <c r="D252">
        <v>20642836.390000001</v>
      </c>
    </row>
    <row r="253" spans="1:4">
      <c r="A253" t="s">
        <v>902</v>
      </c>
      <c r="B253" t="s">
        <v>1168</v>
      </c>
      <c r="C253">
        <v>8449</v>
      </c>
      <c r="D253">
        <v>17202610.649999999</v>
      </c>
    </row>
    <row r="254" spans="1:4">
      <c r="A254" t="s">
        <v>902</v>
      </c>
      <c r="B254" t="s">
        <v>1169</v>
      </c>
      <c r="C254">
        <v>7270</v>
      </c>
      <c r="D254">
        <v>14325819.4</v>
      </c>
    </row>
    <row r="255" spans="1:4">
      <c r="A255" t="s">
        <v>902</v>
      </c>
      <c r="B255" t="s">
        <v>1170</v>
      </c>
      <c r="C255">
        <v>6219</v>
      </c>
      <c r="D255">
        <v>11815702.539999999</v>
      </c>
    </row>
    <row r="256" spans="1:4">
      <c r="A256" t="s">
        <v>902</v>
      </c>
      <c r="B256" t="s">
        <v>1171</v>
      </c>
      <c r="C256">
        <v>5404</v>
      </c>
      <c r="D256">
        <v>9640674.1400000006</v>
      </c>
    </row>
    <row r="257" spans="1:4">
      <c r="A257" t="s">
        <v>902</v>
      </c>
      <c r="B257" t="s">
        <v>1172</v>
      </c>
      <c r="C257">
        <v>4509</v>
      </c>
      <c r="D257">
        <v>7738946.6200000001</v>
      </c>
    </row>
    <row r="258" spans="1:4">
      <c r="A258" t="s">
        <v>902</v>
      </c>
      <c r="B258" t="s">
        <v>1173</v>
      </c>
      <c r="C258">
        <v>3671</v>
      </c>
      <c r="D258">
        <v>6136540.5800000001</v>
      </c>
    </row>
    <row r="259" spans="1:4">
      <c r="A259" t="s">
        <v>902</v>
      </c>
      <c r="B259" t="s">
        <v>1174</v>
      </c>
      <c r="C259">
        <v>48145</v>
      </c>
      <c r="D259">
        <v>454388130.88</v>
      </c>
    </row>
    <row r="260" spans="1:4">
      <c r="A260" t="s">
        <v>902</v>
      </c>
      <c r="B260" t="s">
        <v>1175</v>
      </c>
      <c r="C260">
        <v>2845</v>
      </c>
      <c r="D260">
        <v>4811831.38</v>
      </c>
    </row>
    <row r="261" spans="1:4">
      <c r="A261" t="s">
        <v>902</v>
      </c>
      <c r="B261" t="s">
        <v>1176</v>
      </c>
      <c r="C261">
        <v>2222</v>
      </c>
      <c r="D261">
        <v>3769146.94</v>
      </c>
    </row>
    <row r="262" spans="1:4">
      <c r="A262" t="s">
        <v>902</v>
      </c>
      <c r="B262" t="s">
        <v>1177</v>
      </c>
      <c r="C262">
        <v>1657</v>
      </c>
      <c r="D262">
        <v>2937815.45</v>
      </c>
    </row>
    <row r="263" spans="1:4">
      <c r="A263" t="s">
        <v>902</v>
      </c>
      <c r="B263" t="s">
        <v>1178</v>
      </c>
      <c r="C263">
        <v>1199</v>
      </c>
      <c r="D263">
        <v>2298698.8199999998</v>
      </c>
    </row>
    <row r="264" spans="1:4">
      <c r="A264" t="s">
        <v>902</v>
      </c>
      <c r="B264" t="s">
        <v>1179</v>
      </c>
      <c r="C264">
        <v>839</v>
      </c>
      <c r="D264">
        <v>1819422.81</v>
      </c>
    </row>
    <row r="265" spans="1:4">
      <c r="A265" t="s">
        <v>902</v>
      </c>
      <c r="B265" t="s">
        <v>1180</v>
      </c>
      <c r="C265">
        <v>567</v>
      </c>
      <c r="D265">
        <v>1465336.17</v>
      </c>
    </row>
    <row r="266" spans="1:4">
      <c r="A266" t="s">
        <v>902</v>
      </c>
      <c r="B266" t="s">
        <v>1181</v>
      </c>
      <c r="C266">
        <v>453</v>
      </c>
      <c r="D266">
        <v>1202152.56</v>
      </c>
    </row>
    <row r="267" spans="1:4">
      <c r="A267" t="s">
        <v>902</v>
      </c>
      <c r="B267" t="s">
        <v>1182</v>
      </c>
      <c r="C267">
        <v>362</v>
      </c>
      <c r="D267">
        <v>990023.26</v>
      </c>
    </row>
    <row r="268" spans="1:4">
      <c r="A268" t="s">
        <v>902</v>
      </c>
      <c r="B268" t="s">
        <v>1183</v>
      </c>
      <c r="C268">
        <v>297</v>
      </c>
      <c r="D268">
        <v>819193.88</v>
      </c>
    </row>
    <row r="269" spans="1:4">
      <c r="A269" t="s">
        <v>902</v>
      </c>
      <c r="B269" t="s">
        <v>1184</v>
      </c>
      <c r="C269">
        <v>235</v>
      </c>
      <c r="D269">
        <v>678015.04</v>
      </c>
    </row>
    <row r="270" spans="1:4">
      <c r="A270" t="s">
        <v>902</v>
      </c>
      <c r="B270" t="s">
        <v>1185</v>
      </c>
      <c r="C270">
        <v>47522</v>
      </c>
      <c r="D270">
        <v>442801381.79000002</v>
      </c>
    </row>
    <row r="271" spans="1:4">
      <c r="A271" t="s">
        <v>902</v>
      </c>
      <c r="B271" t="s">
        <v>1186</v>
      </c>
      <c r="C271">
        <v>179</v>
      </c>
      <c r="D271">
        <v>564982.28</v>
      </c>
    </row>
    <row r="272" spans="1:4">
      <c r="A272" t="s">
        <v>902</v>
      </c>
      <c r="B272" t="s">
        <v>1187</v>
      </c>
      <c r="C272">
        <v>144</v>
      </c>
      <c r="D272">
        <v>479275.4</v>
      </c>
    </row>
    <row r="273" spans="1:4">
      <c r="A273" t="s">
        <v>902</v>
      </c>
      <c r="B273" t="s">
        <v>1188</v>
      </c>
      <c r="C273">
        <v>110</v>
      </c>
      <c r="D273">
        <v>411695.16</v>
      </c>
    </row>
    <row r="274" spans="1:4">
      <c r="A274" t="s">
        <v>902</v>
      </c>
      <c r="B274" t="s">
        <v>1189</v>
      </c>
      <c r="C274">
        <v>83</v>
      </c>
      <c r="D274">
        <v>359723.03</v>
      </c>
    </row>
    <row r="275" spans="1:4">
      <c r="A275" t="s">
        <v>902</v>
      </c>
      <c r="B275" t="s">
        <v>1190</v>
      </c>
      <c r="C275">
        <v>70</v>
      </c>
      <c r="D275">
        <v>323256.90000000002</v>
      </c>
    </row>
    <row r="276" spans="1:4">
      <c r="A276" t="s">
        <v>902</v>
      </c>
      <c r="B276" t="s">
        <v>1191</v>
      </c>
      <c r="C276">
        <v>62</v>
      </c>
      <c r="D276">
        <v>294420.34000000003</v>
      </c>
    </row>
    <row r="277" spans="1:4">
      <c r="A277" t="s">
        <v>902</v>
      </c>
      <c r="B277" t="s">
        <v>1192</v>
      </c>
      <c r="C277">
        <v>52</v>
      </c>
      <c r="D277">
        <v>269657.03000000003</v>
      </c>
    </row>
    <row r="278" spans="1:4">
      <c r="A278" t="s">
        <v>902</v>
      </c>
      <c r="B278" t="s">
        <v>1193</v>
      </c>
      <c r="C278">
        <v>49</v>
      </c>
      <c r="D278">
        <v>249426.53</v>
      </c>
    </row>
    <row r="279" spans="1:4">
      <c r="A279" t="s">
        <v>902</v>
      </c>
      <c r="B279" t="s">
        <v>1194</v>
      </c>
      <c r="C279">
        <v>40</v>
      </c>
      <c r="D279">
        <v>230037.63</v>
      </c>
    </row>
    <row r="280" spans="1:4">
      <c r="A280" t="s">
        <v>902</v>
      </c>
      <c r="B280" t="s">
        <v>1195</v>
      </c>
      <c r="C280">
        <v>37</v>
      </c>
      <c r="D280">
        <v>213730.87</v>
      </c>
    </row>
    <row r="281" spans="1:4">
      <c r="A281" t="s">
        <v>902</v>
      </c>
      <c r="B281" t="s">
        <v>1196</v>
      </c>
      <c r="C281">
        <v>46965</v>
      </c>
      <c r="D281">
        <v>431278087.20999998</v>
      </c>
    </row>
    <row r="282" spans="1:4">
      <c r="A282" t="s">
        <v>902</v>
      </c>
      <c r="B282" t="s">
        <v>1197</v>
      </c>
      <c r="C282">
        <v>35</v>
      </c>
      <c r="D282">
        <v>199396.48000000001</v>
      </c>
    </row>
    <row r="283" spans="1:4">
      <c r="A283" t="s">
        <v>902</v>
      </c>
      <c r="B283" t="s">
        <v>1198</v>
      </c>
      <c r="C283">
        <v>33</v>
      </c>
      <c r="D283">
        <v>186025.07</v>
      </c>
    </row>
    <row r="284" spans="1:4">
      <c r="A284" t="s">
        <v>902</v>
      </c>
      <c r="B284" t="s">
        <v>1199</v>
      </c>
      <c r="C284">
        <v>30</v>
      </c>
      <c r="D284">
        <v>174192.18</v>
      </c>
    </row>
    <row r="285" spans="1:4">
      <c r="A285" t="s">
        <v>902</v>
      </c>
      <c r="B285" t="s">
        <v>1200</v>
      </c>
      <c r="C285">
        <v>27</v>
      </c>
      <c r="D285">
        <v>163321.24</v>
      </c>
    </row>
    <row r="286" spans="1:4">
      <c r="A286" t="s">
        <v>902</v>
      </c>
      <c r="B286" t="s">
        <v>1201</v>
      </c>
      <c r="C286">
        <v>26</v>
      </c>
      <c r="D286">
        <v>153471.89000000001</v>
      </c>
    </row>
    <row r="287" spans="1:4">
      <c r="A287" t="s">
        <v>902</v>
      </c>
      <c r="B287" t="s">
        <v>1202</v>
      </c>
      <c r="C287">
        <v>26</v>
      </c>
      <c r="D287">
        <v>144085.85999999999</v>
      </c>
    </row>
    <row r="288" spans="1:4">
      <c r="A288" t="s">
        <v>902</v>
      </c>
      <c r="B288" t="s">
        <v>1203</v>
      </c>
      <c r="C288">
        <v>24</v>
      </c>
      <c r="D288">
        <v>134649.98000000001</v>
      </c>
    </row>
    <row r="289" spans="1:4">
      <c r="A289" t="s">
        <v>902</v>
      </c>
      <c r="B289" t="s">
        <v>1204</v>
      </c>
      <c r="C289">
        <v>23</v>
      </c>
      <c r="D289">
        <v>125871.35</v>
      </c>
    </row>
    <row r="290" spans="1:4">
      <c r="A290" t="s">
        <v>902</v>
      </c>
      <c r="B290" t="s">
        <v>1205</v>
      </c>
      <c r="C290">
        <v>23</v>
      </c>
      <c r="D290">
        <v>117492.09</v>
      </c>
    </row>
    <row r="291" spans="1:4">
      <c r="A291" t="s">
        <v>902</v>
      </c>
      <c r="B291" t="s">
        <v>1206</v>
      </c>
      <c r="C291">
        <v>23</v>
      </c>
      <c r="D291">
        <v>109067.99</v>
      </c>
    </row>
    <row r="292" spans="1:4">
      <c r="A292" t="s">
        <v>902</v>
      </c>
      <c r="B292" t="s">
        <v>1207</v>
      </c>
      <c r="C292">
        <v>46460</v>
      </c>
      <c r="D292">
        <v>419824630.69</v>
      </c>
    </row>
    <row r="293" spans="1:4">
      <c r="A293" t="s">
        <v>902</v>
      </c>
      <c r="B293" t="s">
        <v>1208</v>
      </c>
      <c r="C293">
        <v>23</v>
      </c>
      <c r="D293">
        <v>100598.77</v>
      </c>
    </row>
    <row r="294" spans="1:4">
      <c r="A294" t="s">
        <v>902</v>
      </c>
      <c r="B294" t="s">
        <v>1209</v>
      </c>
      <c r="C294">
        <v>22</v>
      </c>
      <c r="D294">
        <v>92084.19</v>
      </c>
    </row>
    <row r="295" spans="1:4">
      <c r="A295" t="s">
        <v>902</v>
      </c>
      <c r="B295" t="s">
        <v>1210</v>
      </c>
      <c r="C295">
        <v>20</v>
      </c>
      <c r="D295">
        <v>84364.52</v>
      </c>
    </row>
    <row r="296" spans="1:4">
      <c r="A296" t="s">
        <v>902</v>
      </c>
      <c r="B296" t="s">
        <v>1211</v>
      </c>
      <c r="C296">
        <v>19</v>
      </c>
      <c r="D296">
        <v>77677.149999999994</v>
      </c>
    </row>
    <row r="297" spans="1:4">
      <c r="A297" t="s">
        <v>902</v>
      </c>
      <c r="B297" t="s">
        <v>1212</v>
      </c>
      <c r="C297">
        <v>19</v>
      </c>
      <c r="D297">
        <v>71202.820000000007</v>
      </c>
    </row>
    <row r="298" spans="1:4">
      <c r="A298" t="s">
        <v>902</v>
      </c>
      <c r="B298" t="s">
        <v>1213</v>
      </c>
      <c r="C298">
        <v>18</v>
      </c>
      <c r="D298">
        <v>64693.41</v>
      </c>
    </row>
    <row r="299" spans="1:4">
      <c r="A299" t="s">
        <v>902</v>
      </c>
      <c r="B299" t="s">
        <v>1214</v>
      </c>
      <c r="C299">
        <v>18</v>
      </c>
      <c r="D299">
        <v>58694.19</v>
      </c>
    </row>
    <row r="300" spans="1:4">
      <c r="A300" t="s">
        <v>902</v>
      </c>
      <c r="B300" t="s">
        <v>1215</v>
      </c>
      <c r="C300">
        <v>17</v>
      </c>
      <c r="D300">
        <v>52662.44</v>
      </c>
    </row>
    <row r="301" spans="1:4">
      <c r="A301" t="s">
        <v>902</v>
      </c>
      <c r="B301" t="s">
        <v>1216</v>
      </c>
      <c r="C301">
        <v>17</v>
      </c>
      <c r="D301">
        <v>46998.13</v>
      </c>
    </row>
    <row r="302" spans="1:4">
      <c r="A302" t="s">
        <v>902</v>
      </c>
      <c r="B302" t="s">
        <v>1217</v>
      </c>
      <c r="C302">
        <v>16</v>
      </c>
      <c r="D302">
        <v>41302.730000000003</v>
      </c>
    </row>
    <row r="303" spans="1:4">
      <c r="A303" t="s">
        <v>902</v>
      </c>
      <c r="B303" t="s">
        <v>1218</v>
      </c>
      <c r="C303">
        <v>4224</v>
      </c>
      <c r="D303">
        <v>2525575.7799999989</v>
      </c>
    </row>
    <row r="304" spans="1:4">
      <c r="A304" t="s">
        <v>902</v>
      </c>
      <c r="B304" t="s">
        <v>1219</v>
      </c>
      <c r="C304">
        <v>3799</v>
      </c>
      <c r="D304">
        <v>7965358.6700000167</v>
      </c>
    </row>
    <row r="305" spans="1:4">
      <c r="A305" t="s">
        <v>902</v>
      </c>
      <c r="B305" t="s">
        <v>1220</v>
      </c>
      <c r="C305">
        <v>4336</v>
      </c>
      <c r="D305">
        <v>14934871.309999974</v>
      </c>
    </row>
    <row r="306" spans="1:4">
      <c r="A306" t="s">
        <v>902</v>
      </c>
      <c r="B306" t="s">
        <v>1221</v>
      </c>
      <c r="C306">
        <v>3363</v>
      </c>
      <c r="D306">
        <v>19182495.560000002</v>
      </c>
    </row>
    <row r="307" spans="1:4">
      <c r="A307" t="s">
        <v>902</v>
      </c>
      <c r="B307" t="s">
        <v>1222</v>
      </c>
      <c r="C307">
        <v>4565</v>
      </c>
      <c r="D307">
        <v>32624717.650000017</v>
      </c>
    </row>
    <row r="308" spans="1:4">
      <c r="A308" t="s">
        <v>902</v>
      </c>
      <c r="B308" t="s">
        <v>1223</v>
      </c>
      <c r="C308">
        <v>6557</v>
      </c>
      <c r="D308">
        <v>57979600.619999856</v>
      </c>
    </row>
    <row r="309" spans="1:4">
      <c r="A309" t="s">
        <v>902</v>
      </c>
      <c r="B309" t="s">
        <v>1224</v>
      </c>
      <c r="C309">
        <v>7818</v>
      </c>
      <c r="D309">
        <v>95576119.020000085</v>
      </c>
    </row>
    <row r="310" spans="1:4">
      <c r="A310" t="s">
        <v>902</v>
      </c>
      <c r="B310" t="s">
        <v>1225</v>
      </c>
      <c r="C310">
        <v>10894</v>
      </c>
      <c r="D310">
        <v>165598611.12999991</v>
      </c>
    </row>
    <row r="311" spans="1:4">
      <c r="A311" t="s">
        <v>902</v>
      </c>
      <c r="B311" t="s">
        <v>1226</v>
      </c>
      <c r="C311">
        <v>5023</v>
      </c>
      <c r="D311">
        <v>89395626.510000274</v>
      </c>
    </row>
    <row r="312" spans="1:4">
      <c r="A312" t="s">
        <v>902</v>
      </c>
      <c r="B312" t="s">
        <v>1227</v>
      </c>
      <c r="C312">
        <v>1021</v>
      </c>
      <c r="D312">
        <v>22176585.850000042</v>
      </c>
    </row>
    <row r="313" spans="1:4">
      <c r="A313" t="s">
        <v>902</v>
      </c>
      <c r="B313" t="s">
        <v>1228</v>
      </c>
      <c r="C313">
        <v>130</v>
      </c>
      <c r="D313">
        <v>3996430.4200000009</v>
      </c>
    </row>
    <row r="314" spans="1:4">
      <c r="A314" t="s">
        <v>902</v>
      </c>
      <c r="B314" t="s">
        <v>1229</v>
      </c>
      <c r="C314">
        <v>23</v>
      </c>
      <c r="D314">
        <v>663837.43000000005</v>
      </c>
    </row>
    <row r="315" spans="1:4">
      <c r="A315" t="s">
        <v>902</v>
      </c>
      <c r="B315" t="s">
        <v>1230</v>
      </c>
      <c r="C315">
        <v>4</v>
      </c>
      <c r="D315">
        <v>138624.96000000002</v>
      </c>
    </row>
    <row r="316" spans="1:4">
      <c r="A316" t="s">
        <v>902</v>
      </c>
      <c r="B316" t="s">
        <v>1231</v>
      </c>
      <c r="C316">
        <v>5</v>
      </c>
      <c r="D316">
        <v>168811.37</v>
      </c>
    </row>
    <row r="317" spans="1:4">
      <c r="A317" t="s">
        <v>902</v>
      </c>
      <c r="B317" t="s">
        <v>1232</v>
      </c>
      <c r="C317">
        <v>17</v>
      </c>
      <c r="D317">
        <v>475969.97</v>
      </c>
    </row>
    <row r="318" spans="1:4">
      <c r="A318" t="s">
        <v>902</v>
      </c>
      <c r="B318" t="s">
        <v>1233</v>
      </c>
      <c r="C318">
        <v>51779</v>
      </c>
      <c r="D318">
        <v>46.906722897074737</v>
      </c>
    </row>
    <row r="319" spans="1:4">
      <c r="A319" t="s">
        <v>903</v>
      </c>
      <c r="B319" t="s">
        <v>1234</v>
      </c>
      <c r="C319">
        <v>0</v>
      </c>
      <c r="D319">
        <v>0</v>
      </c>
    </row>
    <row r="320" spans="1:4">
      <c r="A320" t="s">
        <v>903</v>
      </c>
      <c r="B320" t="s">
        <v>1235</v>
      </c>
      <c r="C320">
        <v>0</v>
      </c>
      <c r="D320">
        <v>0</v>
      </c>
    </row>
    <row r="321" spans="1:4">
      <c r="A321" t="s">
        <v>903</v>
      </c>
      <c r="B321" t="s">
        <v>1236</v>
      </c>
      <c r="C321">
        <v>0</v>
      </c>
      <c r="D321">
        <v>0</v>
      </c>
    </row>
    <row r="322" spans="1:4">
      <c r="A322" t="s">
        <v>903</v>
      </c>
      <c r="B322" t="s">
        <v>1237</v>
      </c>
      <c r="C322">
        <v>0</v>
      </c>
      <c r="D322">
        <v>0</v>
      </c>
    </row>
    <row r="323" spans="1:4">
      <c r="A323" t="s">
        <v>903</v>
      </c>
      <c r="B323" t="s">
        <v>1238</v>
      </c>
      <c r="C323">
        <v>0</v>
      </c>
      <c r="D323">
        <v>0</v>
      </c>
    </row>
    <row r="324" spans="1:4">
      <c r="A324" t="s">
        <v>903</v>
      </c>
      <c r="B324" t="s">
        <v>1239</v>
      </c>
      <c r="C324">
        <v>0</v>
      </c>
      <c r="D324">
        <v>0</v>
      </c>
    </row>
    <row r="325" spans="1:4">
      <c r="A325" t="s">
        <v>903</v>
      </c>
      <c r="B325" t="s">
        <v>1240</v>
      </c>
      <c r="C325">
        <v>0</v>
      </c>
      <c r="D325">
        <v>0</v>
      </c>
    </row>
    <row r="326" spans="1:4">
      <c r="A326" t="s">
        <v>903</v>
      </c>
      <c r="B326" t="s">
        <v>1241</v>
      </c>
      <c r="C326">
        <v>0</v>
      </c>
      <c r="D326">
        <v>0</v>
      </c>
    </row>
    <row r="327" spans="1:4">
      <c r="A327" t="s">
        <v>903</v>
      </c>
      <c r="B327" t="s">
        <v>1242</v>
      </c>
      <c r="C327">
        <v>0</v>
      </c>
      <c r="D327">
        <v>0</v>
      </c>
    </row>
    <row r="328" spans="1:4">
      <c r="A328" t="s">
        <v>903</v>
      </c>
      <c r="B328" t="s">
        <v>1243</v>
      </c>
      <c r="C328">
        <v>0</v>
      </c>
      <c r="D328">
        <v>0</v>
      </c>
    </row>
    <row r="329" spans="1:4">
      <c r="A329" t="s">
        <v>902</v>
      </c>
      <c r="B329" t="s">
        <v>1244</v>
      </c>
      <c r="C329">
        <v>16</v>
      </c>
      <c r="D329">
        <v>119911.50999999998</v>
      </c>
    </row>
    <row r="330" spans="1:4">
      <c r="A330" t="s">
        <v>902</v>
      </c>
      <c r="B330" t="s">
        <v>1245</v>
      </c>
      <c r="C330">
        <v>1488</v>
      </c>
      <c r="D330">
        <v>17477717.320000004</v>
      </c>
    </row>
    <row r="331" spans="1:4">
      <c r="A331" t="s">
        <v>902</v>
      </c>
      <c r="B331" t="s">
        <v>1246</v>
      </c>
      <c r="C331">
        <v>3648</v>
      </c>
      <c r="D331">
        <v>44750548.830000073</v>
      </c>
    </row>
    <row r="332" spans="1:4">
      <c r="A332" t="s">
        <v>902</v>
      </c>
      <c r="B332" t="s">
        <v>1247</v>
      </c>
      <c r="C332">
        <v>4963</v>
      </c>
      <c r="D332">
        <v>54988710.709999852</v>
      </c>
    </row>
    <row r="333" spans="1:4">
      <c r="A333" t="s">
        <v>902</v>
      </c>
      <c r="B333" t="s">
        <v>1248</v>
      </c>
      <c r="C333">
        <v>8825</v>
      </c>
      <c r="D333">
        <v>82702337.55000028</v>
      </c>
    </row>
    <row r="334" spans="1:4">
      <c r="A334" t="s">
        <v>902</v>
      </c>
      <c r="B334" t="s">
        <v>1249</v>
      </c>
      <c r="C334">
        <v>14352</v>
      </c>
      <c r="D334">
        <v>140559689.71999967</v>
      </c>
    </row>
    <row r="335" spans="1:4">
      <c r="A335" t="s">
        <v>902</v>
      </c>
      <c r="B335" t="s">
        <v>1250</v>
      </c>
      <c r="C335">
        <v>8677</v>
      </c>
      <c r="D335">
        <v>87647205.270000085</v>
      </c>
    </row>
    <row r="336" spans="1:4">
      <c r="A336" t="s">
        <v>902</v>
      </c>
      <c r="B336" t="s">
        <v>1251</v>
      </c>
      <c r="C336">
        <v>4855</v>
      </c>
      <c r="D336">
        <v>46319311.110000074</v>
      </c>
    </row>
    <row r="337" spans="1:4">
      <c r="A337" t="s">
        <v>902</v>
      </c>
      <c r="B337" t="s">
        <v>1252</v>
      </c>
      <c r="C337">
        <v>3648</v>
      </c>
      <c r="D337">
        <v>29480944.270000048</v>
      </c>
    </row>
    <row r="338" spans="1:4">
      <c r="A338" t="s">
        <v>902</v>
      </c>
      <c r="B338" t="s">
        <v>1253</v>
      </c>
      <c r="C338">
        <v>672</v>
      </c>
      <c r="D338">
        <v>5548161.459999999</v>
      </c>
    </row>
    <row r="339" spans="1:4">
      <c r="A339" t="s">
        <v>902</v>
      </c>
      <c r="B339" t="s">
        <v>1254</v>
      </c>
      <c r="C339">
        <v>172</v>
      </c>
      <c r="D339">
        <v>1111223.7000000002</v>
      </c>
    </row>
    <row r="340" spans="1:4">
      <c r="A340" t="s">
        <v>902</v>
      </c>
      <c r="B340" t="s">
        <v>1255</v>
      </c>
      <c r="C340">
        <v>181</v>
      </c>
      <c r="D340">
        <v>1197155.27</v>
      </c>
    </row>
    <row r="341" spans="1:4">
      <c r="A341" t="s">
        <v>902</v>
      </c>
      <c r="B341" t="s">
        <v>1256</v>
      </c>
      <c r="C341">
        <v>143</v>
      </c>
      <c r="D341">
        <v>940236.95999999961</v>
      </c>
    </row>
    <row r="342" spans="1:4">
      <c r="A342" t="s">
        <v>902</v>
      </c>
      <c r="B342" t="s">
        <v>1257</v>
      </c>
      <c r="C342">
        <v>17</v>
      </c>
      <c r="D342">
        <v>67090.7</v>
      </c>
    </row>
    <row r="343" spans="1:4">
      <c r="A343" t="s">
        <v>902</v>
      </c>
      <c r="B343" t="s">
        <v>1258</v>
      </c>
      <c r="C343">
        <v>33</v>
      </c>
      <c r="D343">
        <v>158888.90999999995</v>
      </c>
    </row>
    <row r="344" spans="1:4">
      <c r="A344" t="s">
        <v>902</v>
      </c>
      <c r="B344" t="s">
        <v>1259</v>
      </c>
      <c r="C344">
        <v>42</v>
      </c>
      <c r="D344">
        <v>189269.3</v>
      </c>
    </row>
    <row r="345" spans="1:4">
      <c r="A345" t="s">
        <v>902</v>
      </c>
      <c r="B345" t="s">
        <v>1260</v>
      </c>
      <c r="C345">
        <v>31</v>
      </c>
      <c r="D345">
        <v>106999.61</v>
      </c>
    </row>
    <row r="346" spans="1:4">
      <c r="A346" t="s">
        <v>902</v>
      </c>
      <c r="B346" t="s">
        <v>1261</v>
      </c>
      <c r="C346">
        <v>16</v>
      </c>
      <c r="D346">
        <v>37834.050000000003</v>
      </c>
    </row>
    <row r="347" spans="1:4">
      <c r="A347" t="s">
        <v>902</v>
      </c>
      <c r="B347" t="s">
        <v>1262</v>
      </c>
      <c r="C347">
        <v>51779</v>
      </c>
      <c r="D347">
        <v>45.494462790172911</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90" zoomScaleNormal="100" zoomScaleSheetLayoutView="90" workbookViewId="0">
      <selection activeCell="B3" sqref="B3"/>
    </sheetView>
  </sheetViews>
  <sheetFormatPr baseColWidth="10" defaultColWidth="9.1796875" defaultRowHeight="12.5"/>
  <cols>
    <col min="1" max="1" width="1.54296875" style="101" customWidth="1"/>
    <col min="2" max="2" width="41.1796875" style="101" customWidth="1"/>
    <col min="3" max="3" width="19.81640625" style="101" customWidth="1"/>
    <col min="4" max="4" width="23.1796875" style="101" customWidth="1"/>
    <col min="5" max="5" width="18.1796875" style="101" customWidth="1"/>
    <col min="6" max="6" width="23.1796875" style="101" customWidth="1"/>
    <col min="7" max="7" width="17.1796875" style="101" customWidth="1"/>
    <col min="8" max="8" width="10.08984375" style="101" bestFit="1" customWidth="1"/>
    <col min="9" max="9" width="4.81640625" style="101" customWidth="1"/>
    <col min="10" max="10" width="8.81640625" style="101" bestFit="1" customWidth="1"/>
    <col min="11" max="11" width="1.1796875" style="101" customWidth="1"/>
    <col min="12" max="12" width="11.54296875" style="101" bestFit="1" customWidth="1"/>
    <col min="13" max="16384" width="9.1796875" style="101"/>
  </cols>
  <sheetData>
    <row r="1" spans="1:13" ht="6" customHeight="1">
      <c r="A1" s="98"/>
      <c r="B1" s="99"/>
      <c r="C1" s="99"/>
      <c r="D1" s="99"/>
      <c r="E1" s="99"/>
      <c r="F1" s="99"/>
      <c r="G1" s="99"/>
      <c r="H1" s="99"/>
      <c r="I1" s="99"/>
      <c r="J1" s="99"/>
      <c r="K1" s="100"/>
    </row>
    <row r="2" spans="1:13" ht="18">
      <c r="A2" s="102"/>
      <c r="B2" s="103" t="str">
        <f>'Cover Sheet'!B2</f>
        <v>SC Germany Consumer 2021-1</v>
      </c>
      <c r="C2" s="888"/>
      <c r="D2" s="105" t="str">
        <f>'Cover Sheet'!D2</f>
        <v>Calculation Date</v>
      </c>
      <c r="E2" s="106"/>
      <c r="F2" s="107">
        <f>'Cover Sheet'!F2</f>
        <v>45820</v>
      </c>
      <c r="G2" s="106"/>
      <c r="H2" s="106"/>
      <c r="I2" s="106"/>
      <c r="J2" s="108"/>
      <c r="K2" s="109"/>
      <c r="L2" s="889"/>
    </row>
    <row r="3" spans="1:13" ht="18">
      <c r="A3" s="102"/>
      <c r="B3" s="103" t="str">
        <f>'Cover Sheet'!B3</f>
        <v>Monthly Investor Report</v>
      </c>
      <c r="C3" s="888"/>
      <c r="D3" s="111" t="str">
        <f>'Cover Sheet'!D3</f>
        <v>Payment Date</v>
      </c>
      <c r="E3" s="112"/>
      <c r="F3" s="113">
        <f>'Cover Sheet'!F3</f>
        <v>45824</v>
      </c>
      <c r="G3" s="112"/>
      <c r="H3" s="112"/>
      <c r="I3" s="112"/>
      <c r="J3" s="114"/>
      <c r="K3" s="109"/>
      <c r="L3" s="890"/>
    </row>
    <row r="4" spans="1:13" ht="13">
      <c r="A4" s="102"/>
      <c r="B4" s="157"/>
      <c r="C4" s="115"/>
      <c r="D4" s="111" t="str">
        <f>'Cover Sheet'!D4</f>
        <v>Period  No</v>
      </c>
      <c r="E4" s="112"/>
      <c r="F4" s="116">
        <f>'Cover Sheet'!F4</f>
        <v>43</v>
      </c>
      <c r="G4" s="112"/>
      <c r="H4" s="117"/>
      <c r="I4" s="112"/>
      <c r="J4" s="118"/>
      <c r="K4" s="109"/>
      <c r="L4" s="889"/>
    </row>
    <row r="5" spans="1:13" ht="18">
      <c r="A5" s="102"/>
      <c r="B5" s="119" t="s">
        <v>393</v>
      </c>
      <c r="C5" s="891"/>
      <c r="D5" s="111" t="str">
        <f>'Cover Sheet'!D5</f>
        <v>Monthly Period</v>
      </c>
      <c r="E5" s="112"/>
      <c r="F5" s="120">
        <f>'Cover Sheet'!F5</f>
        <v>45824</v>
      </c>
      <c r="G5" s="112"/>
      <c r="H5" s="117"/>
      <c r="I5" s="112"/>
      <c r="J5" s="118"/>
      <c r="K5" s="109"/>
      <c r="L5" s="890"/>
    </row>
    <row r="6" spans="1:13"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25"/>
    </row>
    <row r="7" spans="1:13" ht="13">
      <c r="A7" s="102"/>
      <c r="B7" s="892"/>
      <c r="C7" s="892"/>
      <c r="D7" s="126" t="str">
        <f>'Cover Sheet'!D7</f>
        <v>Collection Period</v>
      </c>
      <c r="E7" s="127" t="str">
        <f>'Cover Sheet'!E7</f>
        <v>from</v>
      </c>
      <c r="F7" s="128" t="str">
        <f>'Cover Sheet'!F7</f>
        <v>01.05.2025</v>
      </c>
      <c r="G7" s="127" t="str">
        <f>'Cover Sheet'!G7</f>
        <v>to</v>
      </c>
      <c r="H7" s="128">
        <f>'Cover Sheet'!H7</f>
        <v>45808</v>
      </c>
      <c r="I7" s="359"/>
      <c r="J7" s="165"/>
      <c r="K7" s="109"/>
    </row>
    <row r="8" spans="1:13" ht="13">
      <c r="A8" s="102"/>
      <c r="B8" s="104"/>
      <c r="C8" s="104"/>
      <c r="D8" s="163"/>
      <c r="E8" s="104"/>
      <c r="F8" s="131"/>
      <c r="G8" s="132"/>
      <c r="H8" s="133"/>
      <c r="I8" s="104"/>
      <c r="J8" s="104"/>
      <c r="K8" s="109"/>
    </row>
    <row r="9" spans="1:13" ht="13">
      <c r="A9" s="102"/>
      <c r="B9" s="104"/>
      <c r="C9" s="104"/>
      <c r="D9" s="163"/>
      <c r="E9" s="104"/>
      <c r="F9" s="131"/>
      <c r="G9" s="132"/>
      <c r="H9" s="133"/>
      <c r="I9" s="104"/>
      <c r="J9" s="104"/>
      <c r="K9" s="109"/>
    </row>
    <row r="10" spans="1:13" ht="13">
      <c r="A10" s="102"/>
      <c r="B10" s="104"/>
      <c r="C10" s="104"/>
      <c r="D10" s="163"/>
      <c r="E10" s="104"/>
      <c r="F10" s="131"/>
      <c r="G10" s="132"/>
      <c r="H10" s="133"/>
      <c r="I10" s="104"/>
      <c r="J10" s="104"/>
      <c r="K10" s="109"/>
    </row>
    <row r="11" spans="1:13" ht="18" customHeight="1">
      <c r="A11" s="102"/>
      <c r="B11" s="104"/>
      <c r="C11" s="104"/>
      <c r="D11" s="163"/>
      <c r="E11" s="104"/>
      <c r="F11" s="131"/>
      <c r="G11" s="132"/>
      <c r="H11" s="133"/>
      <c r="I11" s="104"/>
      <c r="J11" s="132"/>
      <c r="K11" s="109"/>
    </row>
    <row r="12" spans="1:13" ht="18" customHeight="1" thickBot="1">
      <c r="A12" s="102"/>
      <c r="B12" s="104"/>
      <c r="C12" s="104"/>
      <c r="D12" s="163"/>
      <c r="E12" s="104"/>
      <c r="F12" s="131"/>
      <c r="G12" s="132"/>
      <c r="H12" s="133"/>
      <c r="I12" s="104"/>
      <c r="J12" s="132"/>
      <c r="K12" s="109"/>
    </row>
    <row r="13" spans="1:13" ht="18" customHeight="1">
      <c r="A13" s="102"/>
      <c r="B13" s="1013" t="s">
        <v>115</v>
      </c>
      <c r="C13" s="1013" t="s">
        <v>457</v>
      </c>
      <c r="D13" s="1013" t="s">
        <v>37</v>
      </c>
      <c r="E13" s="1013" t="s">
        <v>38</v>
      </c>
      <c r="F13" s="1013" t="s">
        <v>39</v>
      </c>
      <c r="G13" s="1016" t="s">
        <v>395</v>
      </c>
      <c r="H13" s="1015"/>
      <c r="I13" s="1012"/>
      <c r="J13" s="1012"/>
      <c r="K13" s="109"/>
    </row>
    <row r="14" spans="1:13" ht="18" customHeight="1" thickBot="1">
      <c r="A14" s="102"/>
      <c r="B14" s="1014"/>
      <c r="C14" s="1014"/>
      <c r="D14" s="1014"/>
      <c r="E14" s="1014"/>
      <c r="F14" s="1014"/>
      <c r="G14" s="1017"/>
      <c r="H14" s="1015"/>
      <c r="I14" s="1012"/>
      <c r="J14" s="1012"/>
      <c r="K14" s="109"/>
    </row>
    <row r="15" spans="1:13" ht="15" customHeight="1">
      <c r="A15" s="102"/>
      <c r="B15" s="996">
        <v>1</v>
      </c>
      <c r="C15" s="997">
        <f t="shared" ref="C15:C46" si="0">IF($F$4&gt;=B15,VLOOKUP(CONCATENATE("portfolio_",$B15),portfolio_p.p_21,2,0),"")</f>
        <v>1499999993.1400001</v>
      </c>
      <c r="D15" s="997">
        <f t="shared" ref="D15:D46" si="1">IF($F$4&gt;=B15,VLOOKUP(CONCATENATE("portfolio_",$B15),portfolio_p.p_21,3,0),"")</f>
        <v>6155052.7199999429</v>
      </c>
      <c r="E15" s="997">
        <f t="shared" ref="E15:E46" si="2">IF($F$4&gt;=B15,VLOOKUP(CONCATENATE("portfolio_",$B15),portfolio_p.p_21,4,0),"")</f>
        <v>24768887.020000059</v>
      </c>
      <c r="F15" s="997">
        <f t="shared" ref="F15:F46" si="3">IF($F$4&gt;=B15,VLOOKUP(CONCATENATE("portfolio_",$B15),portfolio_p.p_21,5,0),"")</f>
        <v>30923939.740000002</v>
      </c>
      <c r="G15" s="998">
        <f t="shared" ref="G15:G46" si="4">IF($F$4&gt;=B15,VLOOKUP(CONCATENATE("portfolio_",$B15),portfolio_p.p_21,6,0),"")</f>
        <v>0.18110984648272688</v>
      </c>
      <c r="H15" s="133"/>
      <c r="I15" s="104"/>
      <c r="J15" s="132"/>
      <c r="K15" s="109"/>
    </row>
    <row r="16" spans="1:13" ht="15" customHeight="1">
      <c r="A16" s="102"/>
      <c r="B16" s="999">
        <v>2</v>
      </c>
      <c r="C16" s="963">
        <f t="shared" si="0"/>
        <v>1499999987.1500001</v>
      </c>
      <c r="D16" s="963">
        <f t="shared" si="1"/>
        <v>20336323.419999957</v>
      </c>
      <c r="E16" s="963">
        <f t="shared" si="2"/>
        <v>21804395.160000041</v>
      </c>
      <c r="F16" s="963">
        <f t="shared" si="3"/>
        <v>42140718.579999998</v>
      </c>
      <c r="G16" s="1000">
        <f t="shared" si="4"/>
        <v>0.1611433139233579</v>
      </c>
      <c r="H16" s="133"/>
      <c r="I16" s="104"/>
      <c r="J16" s="132"/>
      <c r="K16" s="109"/>
    </row>
    <row r="17" spans="1:12" ht="15" customHeight="1">
      <c r="A17" s="102"/>
      <c r="B17" s="999">
        <v>3</v>
      </c>
      <c r="C17" s="963">
        <f t="shared" si="0"/>
        <v>1499999985.9800003</v>
      </c>
      <c r="D17" s="963">
        <f t="shared" si="1"/>
        <v>20706928.990000114</v>
      </c>
      <c r="E17" s="963">
        <f t="shared" si="2"/>
        <v>46034738.029999889</v>
      </c>
      <c r="F17" s="963">
        <f t="shared" si="3"/>
        <v>66741667.020000003</v>
      </c>
      <c r="G17" s="1000">
        <f t="shared" si="4"/>
        <v>0.31205573272422171</v>
      </c>
      <c r="H17" s="133"/>
      <c r="I17" s="104"/>
      <c r="J17" s="132"/>
      <c r="K17" s="109"/>
    </row>
    <row r="18" spans="1:12" ht="15" customHeight="1">
      <c r="A18" s="102"/>
      <c r="B18" s="999">
        <v>4</v>
      </c>
      <c r="C18" s="963">
        <f t="shared" si="0"/>
        <v>1499999995.73</v>
      </c>
      <c r="D18" s="963">
        <f t="shared" si="1"/>
        <v>21033939.659999952</v>
      </c>
      <c r="E18" s="963">
        <f t="shared" si="2"/>
        <v>41567085.590000048</v>
      </c>
      <c r="F18" s="963">
        <f t="shared" si="3"/>
        <v>62601025.25</v>
      </c>
      <c r="G18" s="1000">
        <f t="shared" si="4"/>
        <v>0.28625615573520113</v>
      </c>
      <c r="H18" s="133"/>
      <c r="I18" s="104"/>
      <c r="J18" s="132"/>
      <c r="K18" s="109"/>
    </row>
    <row r="19" spans="1:12" ht="15" customHeight="1">
      <c r="A19" s="102"/>
      <c r="B19" s="999">
        <v>5</v>
      </c>
      <c r="C19" s="963">
        <f t="shared" si="0"/>
        <v>1499999998.6900001</v>
      </c>
      <c r="D19" s="963">
        <f t="shared" si="1"/>
        <v>21318836.679999962</v>
      </c>
      <c r="E19" s="963">
        <f t="shared" si="2"/>
        <v>44100171.150000036</v>
      </c>
      <c r="F19" s="963">
        <f t="shared" si="3"/>
        <v>65419007.829999998</v>
      </c>
      <c r="G19" s="1000">
        <f t="shared" si="4"/>
        <v>0.30099089782504962</v>
      </c>
      <c r="H19" s="133"/>
      <c r="I19" s="104"/>
      <c r="J19" s="132"/>
      <c r="K19" s="109"/>
    </row>
    <row r="20" spans="1:12" ht="15" customHeight="1">
      <c r="A20" s="102"/>
      <c r="B20" s="999">
        <v>6</v>
      </c>
      <c r="C20" s="963">
        <f t="shared" si="0"/>
        <v>1499999992.23</v>
      </c>
      <c r="D20" s="963">
        <f t="shared" si="1"/>
        <v>22160443.989999972</v>
      </c>
      <c r="E20" s="963">
        <f t="shared" si="2"/>
        <v>40552897.350000024</v>
      </c>
      <c r="F20" s="963">
        <f t="shared" si="3"/>
        <v>62713341.339999996</v>
      </c>
      <c r="G20" s="1000">
        <f t="shared" si="4"/>
        <v>0.28027730921394223</v>
      </c>
      <c r="H20" s="133"/>
      <c r="I20" s="104"/>
      <c r="J20" s="132"/>
      <c r="K20" s="109"/>
    </row>
    <row r="21" spans="1:12" ht="15" customHeight="1">
      <c r="A21" s="102"/>
      <c r="B21" s="999">
        <v>7</v>
      </c>
      <c r="C21" s="963">
        <f t="shared" si="0"/>
        <v>1499999992.5400002</v>
      </c>
      <c r="D21" s="963">
        <f t="shared" si="1"/>
        <v>22229969.219999984</v>
      </c>
      <c r="E21" s="963">
        <f t="shared" si="2"/>
        <v>44514750.62000002</v>
      </c>
      <c r="F21" s="963">
        <f t="shared" si="3"/>
        <v>66744719.840000004</v>
      </c>
      <c r="G21" s="1000">
        <f t="shared" si="4"/>
        <v>0.30337574469949002</v>
      </c>
      <c r="H21" s="104"/>
      <c r="I21" s="104"/>
      <c r="J21" s="104"/>
      <c r="K21" s="109"/>
    </row>
    <row r="22" spans="1:12" ht="15" customHeight="1">
      <c r="A22" s="102"/>
      <c r="B22" s="999">
        <v>8</v>
      </c>
      <c r="C22" s="963">
        <f t="shared" si="0"/>
        <v>1499999979.1100001</v>
      </c>
      <c r="D22" s="963">
        <f t="shared" si="1"/>
        <v>21312739.170000076</v>
      </c>
      <c r="E22" s="963">
        <f t="shared" si="2"/>
        <v>40284527.729999922</v>
      </c>
      <c r="F22" s="963">
        <f t="shared" si="3"/>
        <v>61597266.899999999</v>
      </c>
      <c r="G22" s="1000">
        <f t="shared" si="4"/>
        <v>0.27868755442403337</v>
      </c>
      <c r="H22" s="104"/>
      <c r="I22" s="104"/>
      <c r="J22" s="893"/>
      <c r="K22" s="109"/>
      <c r="L22" s="894"/>
    </row>
    <row r="23" spans="1:12" ht="15" customHeight="1">
      <c r="A23" s="102"/>
      <c r="B23" s="999">
        <v>9</v>
      </c>
      <c r="C23" s="963">
        <f t="shared" si="0"/>
        <v>1499999999.1899998</v>
      </c>
      <c r="D23" s="963">
        <f t="shared" si="1"/>
        <v>22137961.549999975</v>
      </c>
      <c r="E23" s="963">
        <f t="shared" si="2"/>
        <v>36389346.040000021</v>
      </c>
      <c r="F23" s="963">
        <f t="shared" si="3"/>
        <v>58527307.589999996</v>
      </c>
      <c r="G23" s="1000">
        <f t="shared" si="4"/>
        <v>0.25524807036946373</v>
      </c>
      <c r="H23" s="104"/>
      <c r="I23" s="104"/>
      <c r="J23" s="895"/>
      <c r="K23" s="109"/>
    </row>
    <row r="24" spans="1:12" ht="15" customHeight="1">
      <c r="A24" s="102"/>
      <c r="B24" s="999">
        <v>10</v>
      </c>
      <c r="C24" s="963">
        <f t="shared" si="0"/>
        <v>1499999987.2299998</v>
      </c>
      <c r="D24" s="963">
        <f t="shared" si="1"/>
        <v>22004535.010000058</v>
      </c>
      <c r="E24" s="956">
        <f t="shared" si="2"/>
        <v>34862780.269999944</v>
      </c>
      <c r="F24" s="963">
        <f t="shared" si="3"/>
        <v>56867315.280000001</v>
      </c>
      <c r="G24" s="1000">
        <f t="shared" si="4"/>
        <v>0.2458729762113373</v>
      </c>
      <c r="H24" s="896"/>
      <c r="I24" s="896"/>
      <c r="J24" s="897"/>
      <c r="K24" s="109"/>
    </row>
    <row r="25" spans="1:12" ht="15" customHeight="1">
      <c r="A25" s="102"/>
      <c r="B25" s="999">
        <v>11</v>
      </c>
      <c r="C25" s="963">
        <f t="shared" si="0"/>
        <v>1499999983.5799997</v>
      </c>
      <c r="D25" s="963">
        <f t="shared" si="1"/>
        <v>21916283.229999997</v>
      </c>
      <c r="E25" s="963">
        <f t="shared" si="2"/>
        <v>31044367.070000008</v>
      </c>
      <c r="F25" s="963">
        <f t="shared" si="3"/>
        <v>52960650.300000004</v>
      </c>
      <c r="G25" s="1000">
        <f t="shared" si="4"/>
        <v>0.22194725849070518</v>
      </c>
      <c r="H25" s="883"/>
      <c r="I25" s="883"/>
      <c r="J25" s="882"/>
      <c r="K25" s="109"/>
    </row>
    <row r="26" spans="1:12" ht="15" customHeight="1">
      <c r="A26" s="102"/>
      <c r="B26" s="999">
        <v>12</v>
      </c>
      <c r="C26" s="963">
        <f t="shared" si="0"/>
        <v>1499999995.5499997</v>
      </c>
      <c r="D26" s="963">
        <f t="shared" si="1"/>
        <v>21706166.02999999</v>
      </c>
      <c r="E26" s="963">
        <f t="shared" si="2"/>
        <v>27343026.330000009</v>
      </c>
      <c r="F26" s="963">
        <f t="shared" si="3"/>
        <v>49049192.359999999</v>
      </c>
      <c r="G26" s="1000">
        <f t="shared" si="4"/>
        <v>0.19809287774527362</v>
      </c>
      <c r="H26" s="883"/>
      <c r="I26" s="883"/>
      <c r="J26" s="885"/>
      <c r="K26" s="109"/>
    </row>
    <row r="27" spans="1:12" ht="15" customHeight="1">
      <c r="A27" s="102"/>
      <c r="B27" s="999">
        <v>13</v>
      </c>
      <c r="C27" s="963">
        <f t="shared" si="0"/>
        <v>1499999988.1299999</v>
      </c>
      <c r="D27" s="963">
        <f t="shared" si="1"/>
        <v>21961381.340000004</v>
      </c>
      <c r="E27" s="963">
        <f t="shared" si="2"/>
        <v>26259060.509999998</v>
      </c>
      <c r="F27" s="963">
        <f t="shared" si="3"/>
        <v>48220441.850000001</v>
      </c>
      <c r="G27" s="1000">
        <f t="shared" si="4"/>
        <v>0.19098109992512702</v>
      </c>
      <c r="H27" s="883"/>
      <c r="I27" s="883"/>
      <c r="J27" s="309"/>
      <c r="K27" s="109"/>
    </row>
    <row r="28" spans="1:12" ht="15" customHeight="1">
      <c r="A28" s="102"/>
      <c r="B28" s="999">
        <v>14</v>
      </c>
      <c r="C28" s="963">
        <f t="shared" si="0"/>
        <v>1448430826.05</v>
      </c>
      <c r="D28" s="963">
        <f t="shared" si="1"/>
        <v>21475334.559999995</v>
      </c>
      <c r="E28" s="963">
        <f t="shared" si="2"/>
        <v>16265547.650000004</v>
      </c>
      <c r="F28" s="963">
        <f t="shared" si="3"/>
        <v>37740882.210000001</v>
      </c>
      <c r="G28" s="1000">
        <f t="shared" si="4"/>
        <v>0.12673797158496558</v>
      </c>
      <c r="H28" s="883"/>
      <c r="I28" s="883"/>
      <c r="J28" s="882"/>
      <c r="K28" s="109"/>
    </row>
    <row r="29" spans="1:12" ht="15" customHeight="1">
      <c r="A29" s="102"/>
      <c r="B29" s="999">
        <v>15</v>
      </c>
      <c r="C29" s="963">
        <f t="shared" si="0"/>
        <v>1408138828.0799999</v>
      </c>
      <c r="D29" s="963">
        <f t="shared" si="1"/>
        <v>21243673.950000022</v>
      </c>
      <c r="E29" s="963">
        <f t="shared" si="2"/>
        <v>25341351.639999982</v>
      </c>
      <c r="F29" s="963">
        <f t="shared" si="3"/>
        <v>46585025.590000004</v>
      </c>
      <c r="G29" s="1000">
        <f t="shared" si="4"/>
        <v>0.19581262153820445</v>
      </c>
      <c r="H29" s="883"/>
      <c r="I29" s="883"/>
      <c r="J29" s="882"/>
      <c r="K29" s="109"/>
    </row>
    <row r="30" spans="1:12" ht="15" customHeight="1">
      <c r="A30" s="102"/>
      <c r="B30" s="999">
        <v>16</v>
      </c>
      <c r="C30" s="963">
        <f t="shared" si="0"/>
        <v>1357977306.98</v>
      </c>
      <c r="D30" s="963">
        <f t="shared" si="1"/>
        <v>20292080.899999958</v>
      </c>
      <c r="E30" s="963">
        <f t="shared" si="2"/>
        <v>22566824.390000042</v>
      </c>
      <c r="F30" s="963">
        <f t="shared" si="3"/>
        <v>42858905.289999999</v>
      </c>
      <c r="G30" s="1000">
        <f t="shared" si="4"/>
        <v>0.18216212128812104</v>
      </c>
      <c r="H30" s="883"/>
      <c r="I30" s="883"/>
      <c r="J30" s="882"/>
      <c r="K30" s="109"/>
    </row>
    <row r="31" spans="1:12" ht="15" customHeight="1">
      <c r="A31" s="102"/>
      <c r="B31" s="999">
        <v>17</v>
      </c>
      <c r="C31" s="963">
        <f t="shared" si="0"/>
        <v>1311498086.6100001</v>
      </c>
      <c r="D31" s="963">
        <f t="shared" si="1"/>
        <v>20386778.350000009</v>
      </c>
      <c r="E31" s="963">
        <f t="shared" si="2"/>
        <v>22714315.43999999</v>
      </c>
      <c r="F31" s="963">
        <f t="shared" si="3"/>
        <v>43101093.789999999</v>
      </c>
      <c r="G31" s="1000">
        <f t="shared" si="4"/>
        <v>0.18913460236868695</v>
      </c>
      <c r="H31" s="883"/>
      <c r="I31" s="883"/>
      <c r="J31" s="882"/>
      <c r="K31" s="109"/>
    </row>
    <row r="32" spans="1:12" ht="15" customHeight="1">
      <c r="A32" s="102"/>
      <c r="B32" s="999">
        <v>18</v>
      </c>
      <c r="C32" s="963">
        <f t="shared" si="0"/>
        <v>1263657178.0900002</v>
      </c>
      <c r="D32" s="963">
        <f t="shared" si="1"/>
        <v>20326877.75</v>
      </c>
      <c r="E32" s="963">
        <f t="shared" si="2"/>
        <v>16440117.159999996</v>
      </c>
      <c r="F32" s="963">
        <f t="shared" si="3"/>
        <v>36766994.909999996</v>
      </c>
      <c r="G32" s="1000">
        <f t="shared" si="4"/>
        <v>0.14541888341949194</v>
      </c>
      <c r="H32" s="883"/>
      <c r="I32" s="883"/>
      <c r="J32" s="882"/>
      <c r="K32" s="109"/>
    </row>
    <row r="33" spans="1:11" ht="15" customHeight="1">
      <c r="A33" s="102"/>
      <c r="B33" s="999">
        <v>19</v>
      </c>
      <c r="C33" s="963">
        <f t="shared" si="0"/>
        <v>1224289047.1900001</v>
      </c>
      <c r="D33" s="963">
        <f t="shared" si="1"/>
        <v>19346145.520000059</v>
      </c>
      <c r="E33" s="963">
        <f t="shared" si="2"/>
        <v>17957624.829999942</v>
      </c>
      <c r="F33" s="963">
        <f t="shared" si="3"/>
        <v>37303770.350000001</v>
      </c>
      <c r="G33" s="1000">
        <f t="shared" si="4"/>
        <v>0.16248592459776079</v>
      </c>
      <c r="H33" s="883"/>
      <c r="I33" s="883"/>
      <c r="J33" s="882"/>
      <c r="K33" s="109"/>
    </row>
    <row r="34" spans="1:11" ht="15" customHeight="1">
      <c r="A34" s="102"/>
      <c r="B34" s="999">
        <v>20</v>
      </c>
      <c r="C34" s="963">
        <f t="shared" si="0"/>
        <v>1182859822.29</v>
      </c>
      <c r="D34" s="963">
        <f t="shared" si="1"/>
        <v>19317317.739999983</v>
      </c>
      <c r="E34" s="963">
        <f t="shared" si="2"/>
        <v>18569479.780000012</v>
      </c>
      <c r="F34" s="963">
        <f t="shared" si="3"/>
        <v>37886797.519999996</v>
      </c>
      <c r="G34" s="1000">
        <f t="shared" si="4"/>
        <v>0.17294160392070124</v>
      </c>
      <c r="H34" s="883"/>
      <c r="I34" s="883"/>
      <c r="J34" s="882"/>
      <c r="K34" s="109"/>
    </row>
    <row r="35" spans="1:11" ht="15" customHeight="1">
      <c r="A35" s="102"/>
      <c r="B35" s="999">
        <v>21</v>
      </c>
      <c r="C35" s="963">
        <f t="shared" si="0"/>
        <v>1141056211.3399999</v>
      </c>
      <c r="D35" s="963">
        <f t="shared" si="1"/>
        <v>18305732.700000025</v>
      </c>
      <c r="E35" s="963">
        <f t="shared" si="2"/>
        <v>18717523.169999972</v>
      </c>
      <c r="F35" s="963">
        <f t="shared" si="3"/>
        <v>37023255.869999997</v>
      </c>
      <c r="G35" s="1000">
        <f t="shared" si="4"/>
        <v>0.18002099586933162</v>
      </c>
      <c r="H35" s="883"/>
      <c r="I35" s="883"/>
      <c r="J35" s="882"/>
      <c r="K35" s="109"/>
    </row>
    <row r="36" spans="1:11" ht="15" customHeight="1">
      <c r="A36" s="102"/>
      <c r="B36" s="999">
        <v>22</v>
      </c>
      <c r="C36" s="963">
        <f t="shared" si="0"/>
        <v>1100935602.5399997</v>
      </c>
      <c r="D36" s="963">
        <f t="shared" si="1"/>
        <v>17817159.50000003</v>
      </c>
      <c r="E36" s="963">
        <f t="shared" si="2"/>
        <v>17701594.159999974</v>
      </c>
      <c r="F36" s="963">
        <f t="shared" si="3"/>
        <v>35518753.660000004</v>
      </c>
      <c r="G36" s="1000">
        <f t="shared" si="4"/>
        <v>0.17676383722223166</v>
      </c>
      <c r="H36" s="883"/>
      <c r="I36" s="883"/>
      <c r="J36" s="882"/>
      <c r="K36" s="109"/>
    </row>
    <row r="37" spans="1:11" s="59" customFormat="1" ht="15" customHeight="1">
      <c r="A37" s="898"/>
      <c r="B37" s="999">
        <v>23</v>
      </c>
      <c r="C37" s="963">
        <f t="shared" si="0"/>
        <v>1062469617.3899996</v>
      </c>
      <c r="D37" s="963">
        <f t="shared" si="1"/>
        <v>18353063.079999998</v>
      </c>
      <c r="E37" s="963">
        <f t="shared" si="2"/>
        <v>12886410.070000006</v>
      </c>
      <c r="F37" s="963">
        <f t="shared" si="3"/>
        <v>31239473.150000002</v>
      </c>
      <c r="G37" s="1000">
        <f t="shared" si="4"/>
        <v>0.13621780635288072</v>
      </c>
      <c r="H37" s="899"/>
      <c r="I37" s="899"/>
      <c r="J37" s="900"/>
      <c r="K37" s="167"/>
    </row>
    <row r="38" spans="1:11" s="59" customFormat="1" ht="15" customHeight="1">
      <c r="A38" s="898"/>
      <c r="B38" s="999">
        <v>24</v>
      </c>
      <c r="C38" s="963">
        <f t="shared" si="0"/>
        <v>1028500235.0399996</v>
      </c>
      <c r="D38" s="963">
        <f t="shared" si="1"/>
        <v>17414879.849999994</v>
      </c>
      <c r="E38" s="963">
        <f t="shared" si="2"/>
        <v>11301352.250000006</v>
      </c>
      <c r="F38" s="963">
        <f t="shared" si="3"/>
        <v>28716232.099999998</v>
      </c>
      <c r="G38" s="1000">
        <f t="shared" si="4"/>
        <v>0.12417416709526197</v>
      </c>
      <c r="H38" s="896"/>
      <c r="I38" s="896"/>
      <c r="J38" s="882"/>
      <c r="K38" s="167"/>
    </row>
    <row r="39" spans="1:11" s="59" customFormat="1" ht="15" customHeight="1">
      <c r="A39" s="898"/>
      <c r="B39" s="999">
        <v>25</v>
      </c>
      <c r="C39" s="963">
        <f t="shared" si="0"/>
        <v>996314992.65999973</v>
      </c>
      <c r="D39" s="963">
        <f t="shared" si="1"/>
        <v>16923257.690000001</v>
      </c>
      <c r="E39" s="963">
        <f t="shared" si="2"/>
        <v>11513836.899999999</v>
      </c>
      <c r="F39" s="963">
        <f t="shared" si="3"/>
        <v>28437094.59</v>
      </c>
      <c r="G39" s="1000">
        <f t="shared" si="4"/>
        <v>0.13019358335701492</v>
      </c>
      <c r="H39" s="896"/>
      <c r="I39" s="896"/>
      <c r="J39" s="882"/>
      <c r="K39" s="167"/>
    </row>
    <row r="40" spans="1:11" ht="15" customHeight="1">
      <c r="A40" s="102"/>
      <c r="B40" s="999">
        <v>26</v>
      </c>
      <c r="C40" s="963">
        <f t="shared" si="0"/>
        <v>965159527.04999983</v>
      </c>
      <c r="D40" s="963">
        <f t="shared" si="1"/>
        <v>16507771.309999999</v>
      </c>
      <c r="E40" s="963">
        <f t="shared" si="2"/>
        <v>7064581.3099999977</v>
      </c>
      <c r="F40" s="963">
        <f t="shared" si="3"/>
        <v>23572352.619999997</v>
      </c>
      <c r="G40" s="1000">
        <f t="shared" si="4"/>
        <v>8.4384014489149339E-2</v>
      </c>
      <c r="H40" s="883"/>
      <c r="I40" s="883"/>
      <c r="J40" s="901"/>
      <c r="K40" s="109"/>
    </row>
    <row r="41" spans="1:11" ht="15" customHeight="1">
      <c r="A41" s="102"/>
      <c r="B41" s="999">
        <v>27</v>
      </c>
      <c r="C41" s="963">
        <f t="shared" si="0"/>
        <v>938909475.79999983</v>
      </c>
      <c r="D41" s="963">
        <f t="shared" si="1"/>
        <v>16895781.130000006</v>
      </c>
      <c r="E41" s="963">
        <f t="shared" si="2"/>
        <v>13780316.369999994</v>
      </c>
      <c r="F41" s="963">
        <f t="shared" si="3"/>
        <v>30676097.5</v>
      </c>
      <c r="G41" s="1000">
        <f t="shared" si="4"/>
        <v>0.16257914477630864</v>
      </c>
      <c r="H41" s="883"/>
      <c r="I41" s="883"/>
      <c r="J41" s="885"/>
      <c r="K41" s="109"/>
    </row>
    <row r="42" spans="1:11" ht="15" customHeight="1">
      <c r="A42" s="102"/>
      <c r="B42" s="999">
        <v>28</v>
      </c>
      <c r="C42" s="963">
        <f t="shared" si="0"/>
        <v>904913061.13999987</v>
      </c>
      <c r="D42" s="963">
        <f t="shared" si="1"/>
        <v>16234694.609999999</v>
      </c>
      <c r="E42" s="963">
        <f t="shared" si="2"/>
        <v>10209723.609999999</v>
      </c>
      <c r="F42" s="963">
        <f t="shared" si="3"/>
        <v>26444418.219999999</v>
      </c>
      <c r="G42" s="1000">
        <f t="shared" si="4"/>
        <v>0.12729712111352143</v>
      </c>
      <c r="H42" s="104"/>
      <c r="I42" s="104"/>
      <c r="J42" s="157"/>
      <c r="K42" s="109"/>
    </row>
    <row r="43" spans="1:11" ht="15" customHeight="1">
      <c r="A43" s="102"/>
      <c r="B43" s="999">
        <v>29</v>
      </c>
      <c r="C43" s="963">
        <f t="shared" si="0"/>
        <v>876367308.92999983</v>
      </c>
      <c r="D43" s="963">
        <f t="shared" si="1"/>
        <v>16226187.909999989</v>
      </c>
      <c r="E43" s="963">
        <f t="shared" si="2"/>
        <v>11087676.590000011</v>
      </c>
      <c r="F43" s="963">
        <f t="shared" si="3"/>
        <v>27313864.5</v>
      </c>
      <c r="G43" s="1000">
        <f t="shared" si="4"/>
        <v>0.14169083906346525</v>
      </c>
      <c r="H43" s="104"/>
      <c r="I43" s="104"/>
      <c r="J43" s="157"/>
      <c r="K43" s="109"/>
    </row>
    <row r="44" spans="1:11" ht="15" customHeight="1">
      <c r="A44" s="102"/>
      <c r="B44" s="999">
        <v>30</v>
      </c>
      <c r="C44" s="963">
        <f t="shared" si="0"/>
        <v>845897968.15999985</v>
      </c>
      <c r="D44" s="963">
        <f t="shared" si="1"/>
        <v>15890480.89000001</v>
      </c>
      <c r="E44" s="963">
        <f t="shared" si="2"/>
        <v>9787684.2599999886</v>
      </c>
      <c r="F44" s="963">
        <f t="shared" si="3"/>
        <v>25678165.149999999</v>
      </c>
      <c r="G44" s="1000">
        <f t="shared" si="4"/>
        <v>0.13034499569407743</v>
      </c>
      <c r="H44" s="104"/>
      <c r="I44" s="104"/>
      <c r="J44" s="157"/>
      <c r="K44" s="109"/>
    </row>
    <row r="45" spans="1:11" ht="15" customHeight="1">
      <c r="A45" s="102"/>
      <c r="B45" s="999">
        <v>31</v>
      </c>
      <c r="C45" s="963">
        <f t="shared" si="0"/>
        <v>818131957.0999999</v>
      </c>
      <c r="D45" s="963">
        <f t="shared" si="1"/>
        <v>15393861.409999993</v>
      </c>
      <c r="E45" s="963">
        <f t="shared" si="2"/>
        <v>10104088.530000005</v>
      </c>
      <c r="F45" s="963">
        <f t="shared" si="3"/>
        <v>25497949.939999998</v>
      </c>
      <c r="G45" s="1000">
        <f t="shared" si="4"/>
        <v>0.13853866007011495</v>
      </c>
      <c r="H45" s="104"/>
      <c r="I45" s="104"/>
      <c r="J45" s="157"/>
      <c r="K45" s="109"/>
    </row>
    <row r="46" spans="1:11" ht="15" customHeight="1">
      <c r="A46" s="102"/>
      <c r="B46" s="999">
        <v>32</v>
      </c>
      <c r="C46" s="963">
        <f t="shared" si="0"/>
        <v>790155624.61000001</v>
      </c>
      <c r="D46" s="963">
        <f t="shared" si="1"/>
        <v>15549361.760000007</v>
      </c>
      <c r="E46" s="963">
        <f t="shared" si="2"/>
        <v>8478337.189999992</v>
      </c>
      <c r="F46" s="963">
        <f t="shared" si="3"/>
        <v>24027698.949999999</v>
      </c>
      <c r="G46" s="1000">
        <f t="shared" si="4"/>
        <v>0.12142612053003277</v>
      </c>
      <c r="H46" s="104"/>
      <c r="I46" s="104"/>
      <c r="J46" s="157"/>
      <c r="K46" s="109"/>
    </row>
    <row r="47" spans="1:11" ht="15" customHeight="1">
      <c r="A47" s="102"/>
      <c r="B47" s="999">
        <v>33</v>
      </c>
      <c r="C47" s="963">
        <f t="shared" ref="C47:C78" si="5">IF($F$4&gt;=B47,VLOOKUP(CONCATENATE("portfolio_",$B47),portfolio_p.p_21,2,0),"")</f>
        <v>763569871.73000002</v>
      </c>
      <c r="D47" s="963">
        <f t="shared" ref="D47:D78" si="6">IF($F$4&gt;=B47,VLOOKUP(CONCATENATE("portfolio_",$B47),portfolio_p.p_21,3,0),"")</f>
        <v>15015481.48</v>
      </c>
      <c r="E47" s="963">
        <f t="shared" ref="E47:E78" si="7">IF($F$4&gt;=B47,VLOOKUP(CONCATENATE("portfolio_",$B47),portfolio_p.p_21,4,0),"")</f>
        <v>10203525.949999999</v>
      </c>
      <c r="F47" s="963">
        <f t="shared" ref="F47:F78" si="8">IF($F$4&gt;=B47,VLOOKUP(CONCATENATE("portfolio_",$B47),portfolio_p.p_21,5,0),"")</f>
        <v>25219007.43</v>
      </c>
      <c r="G47" s="1000">
        <f t="shared" ref="G47:G78" si="9">IF($F$4&gt;=B47,VLOOKUP(CONCATENATE("portfolio_",$B47),portfolio_p.p_21,6,0),"")</f>
        <v>0.14907912403876544</v>
      </c>
      <c r="H47" s="104"/>
      <c r="I47" s="104"/>
      <c r="J47" s="157"/>
      <c r="K47" s="109"/>
    </row>
    <row r="48" spans="1:11" ht="15" customHeight="1">
      <c r="A48" s="102"/>
      <c r="B48" s="999">
        <v>34</v>
      </c>
      <c r="C48" s="963">
        <f t="shared" si="5"/>
        <v>735367523.19000006</v>
      </c>
      <c r="D48" s="963">
        <f t="shared" si="6"/>
        <v>14468427.459999997</v>
      </c>
      <c r="E48" s="963">
        <f t="shared" si="7"/>
        <v>8616340.5100000016</v>
      </c>
      <c r="F48" s="963">
        <f t="shared" si="8"/>
        <v>23084767.969999999</v>
      </c>
      <c r="G48" s="1000">
        <f t="shared" si="9"/>
        <v>0.1318882843772492</v>
      </c>
      <c r="H48" s="104"/>
      <c r="I48" s="104"/>
      <c r="J48" s="157"/>
      <c r="K48" s="109"/>
    </row>
    <row r="49" spans="1:11" ht="15" customHeight="1">
      <c r="A49" s="102"/>
      <c r="B49" s="999">
        <v>35</v>
      </c>
      <c r="C49" s="963">
        <f t="shared" si="5"/>
        <v>710172681.25999999</v>
      </c>
      <c r="D49" s="963">
        <f t="shared" si="6"/>
        <v>14150944.009999994</v>
      </c>
      <c r="E49" s="963">
        <f t="shared" si="7"/>
        <v>8236605.4800000032</v>
      </c>
      <c r="F49" s="963">
        <f t="shared" si="8"/>
        <v>22387549.489999998</v>
      </c>
      <c r="G49" s="1000">
        <f t="shared" si="9"/>
        <v>0.13063286687215625</v>
      </c>
      <c r="H49" s="104"/>
      <c r="I49" s="104"/>
      <c r="J49" s="157"/>
      <c r="K49" s="109"/>
    </row>
    <row r="50" spans="1:11" ht="15" customHeight="1">
      <c r="A50" s="102"/>
      <c r="B50" s="999">
        <v>36</v>
      </c>
      <c r="C50" s="963">
        <f t="shared" si="5"/>
        <v>685566657.27999997</v>
      </c>
      <c r="D50" s="963">
        <f t="shared" si="6"/>
        <v>14246337.679999992</v>
      </c>
      <c r="E50" s="963">
        <f t="shared" si="7"/>
        <v>8264777.400000006</v>
      </c>
      <c r="F50" s="963">
        <f t="shared" si="8"/>
        <v>22511115.079999998</v>
      </c>
      <c r="G50" s="1000">
        <f t="shared" si="9"/>
        <v>0.13544799295389298</v>
      </c>
      <c r="H50" s="104"/>
      <c r="I50" s="104"/>
      <c r="J50" s="157"/>
      <c r="K50" s="109"/>
    </row>
    <row r="51" spans="1:11" ht="15" customHeight="1">
      <c r="A51" s="102"/>
      <c r="B51" s="999">
        <v>37</v>
      </c>
      <c r="C51" s="963">
        <f t="shared" si="5"/>
        <v>660901546.08999991</v>
      </c>
      <c r="D51" s="963">
        <f t="shared" si="6"/>
        <v>14328361.420000007</v>
      </c>
      <c r="E51" s="963">
        <f t="shared" si="7"/>
        <v>6634940.4999999944</v>
      </c>
      <c r="F51" s="963">
        <f t="shared" si="8"/>
        <v>20963301.920000002</v>
      </c>
      <c r="G51" s="1000">
        <f t="shared" si="9"/>
        <v>0.11403649128318849</v>
      </c>
      <c r="H51" s="104"/>
      <c r="I51" s="104"/>
      <c r="J51" s="157"/>
      <c r="K51" s="109"/>
    </row>
    <row r="52" spans="1:11" ht="15" customHeight="1">
      <c r="A52" s="102"/>
      <c r="B52" s="999">
        <v>38</v>
      </c>
      <c r="C52" s="963">
        <f t="shared" si="5"/>
        <v>637903729.56999993</v>
      </c>
      <c r="D52" s="963">
        <f t="shared" si="6"/>
        <v>13389099.279999999</v>
      </c>
      <c r="E52" s="963">
        <f t="shared" si="7"/>
        <v>4492210.6899999995</v>
      </c>
      <c r="F52" s="963">
        <f t="shared" si="8"/>
        <v>17881309.969999999</v>
      </c>
      <c r="G52" s="1000">
        <f t="shared" si="9"/>
        <v>8.1308310478659163E-2</v>
      </c>
      <c r="H52" s="104"/>
      <c r="I52" s="104"/>
      <c r="J52" s="157"/>
      <c r="K52" s="109"/>
    </row>
    <row r="53" spans="1:11" ht="15" customHeight="1">
      <c r="A53" s="102"/>
      <c r="B53" s="999">
        <v>39</v>
      </c>
      <c r="C53" s="963">
        <f t="shared" si="5"/>
        <v>618318454.58000004</v>
      </c>
      <c r="D53" s="963">
        <f t="shared" si="6"/>
        <v>13700725.689999994</v>
      </c>
      <c r="E53" s="963">
        <f t="shared" si="7"/>
        <v>6976923.9200000064</v>
      </c>
      <c r="F53" s="963">
        <f t="shared" si="8"/>
        <v>20677649.609999999</v>
      </c>
      <c r="G53" s="1000">
        <f t="shared" si="9"/>
        <v>0.12730940785729017</v>
      </c>
      <c r="H53" s="104"/>
      <c r="I53" s="104"/>
      <c r="J53" s="157"/>
      <c r="K53" s="109"/>
    </row>
    <row r="54" spans="1:11" ht="15" customHeight="1">
      <c r="A54" s="102"/>
      <c r="B54" s="999">
        <v>40</v>
      </c>
      <c r="C54" s="963">
        <f t="shared" si="5"/>
        <v>596063188.09000003</v>
      </c>
      <c r="D54" s="963">
        <f t="shared" si="6"/>
        <v>13120514.320000004</v>
      </c>
      <c r="E54" s="963">
        <f t="shared" si="7"/>
        <v>6448056.6199999982</v>
      </c>
      <c r="F54" s="963">
        <f t="shared" si="8"/>
        <v>19568570.940000001</v>
      </c>
      <c r="G54" s="1000">
        <f t="shared" si="9"/>
        <v>0.12236117121720602</v>
      </c>
      <c r="H54" s="104"/>
      <c r="I54" s="104"/>
      <c r="J54" s="157"/>
      <c r="K54" s="109"/>
    </row>
    <row r="55" spans="1:11" ht="15" customHeight="1">
      <c r="A55" s="102"/>
      <c r="B55" s="999">
        <v>41</v>
      </c>
      <c r="C55" s="963">
        <f t="shared" si="5"/>
        <v>574282915.77999997</v>
      </c>
      <c r="D55" s="963">
        <f t="shared" si="6"/>
        <v>12739959.819999993</v>
      </c>
      <c r="E55" s="963">
        <f t="shared" si="7"/>
        <v>6355862.2200000063</v>
      </c>
      <c r="F55" s="963">
        <f t="shared" si="8"/>
        <v>19095822.039999999</v>
      </c>
      <c r="G55" s="1000">
        <f t="shared" si="9"/>
        <v>0.12501637807434207</v>
      </c>
      <c r="H55" s="104"/>
      <c r="I55" s="104"/>
      <c r="J55" s="157"/>
      <c r="K55" s="109"/>
    </row>
    <row r="56" spans="1:11" ht="15" customHeight="1">
      <c r="A56" s="102"/>
      <c r="B56" s="999">
        <v>42</v>
      </c>
      <c r="C56" s="963">
        <f t="shared" si="5"/>
        <v>553545473.4799999</v>
      </c>
      <c r="D56" s="963">
        <f t="shared" si="6"/>
        <v>12678318.619999994</v>
      </c>
      <c r="E56" s="963">
        <f t="shared" si="7"/>
        <v>6032932.230000007</v>
      </c>
      <c r="F56" s="963">
        <f t="shared" si="8"/>
        <v>18711250.850000001</v>
      </c>
      <c r="G56" s="1000">
        <f t="shared" si="9"/>
        <v>0.12322286976132346</v>
      </c>
      <c r="H56" s="104"/>
      <c r="I56" s="104"/>
      <c r="J56" s="157"/>
      <c r="K56" s="109"/>
    </row>
    <row r="57" spans="1:11" ht="15" customHeight="1">
      <c r="A57" s="102"/>
      <c r="B57" s="999">
        <v>43</v>
      </c>
      <c r="C57" s="963">
        <f t="shared" si="5"/>
        <v>533508450.68999988</v>
      </c>
      <c r="D57" s="963">
        <f t="shared" si="6"/>
        <v>12493808.939999998</v>
      </c>
      <c r="E57" s="963">
        <f t="shared" si="7"/>
        <v>6201286.3600000041</v>
      </c>
      <c r="F57" s="963">
        <f t="shared" si="8"/>
        <v>18695095.300000001</v>
      </c>
      <c r="G57" s="1000">
        <f t="shared" si="9"/>
        <v>0.13090264537726903</v>
      </c>
      <c r="H57" s="104"/>
      <c r="I57" s="104"/>
      <c r="J57" s="157"/>
      <c r="K57" s="109"/>
    </row>
    <row r="58" spans="1:11" ht="15" customHeight="1">
      <c r="A58" s="102"/>
      <c r="B58" s="999">
        <v>44</v>
      </c>
      <c r="C58" s="963" t="str">
        <f t="shared" si="5"/>
        <v/>
      </c>
      <c r="D58" s="963" t="str">
        <f t="shared" si="6"/>
        <v/>
      </c>
      <c r="E58" s="963" t="str">
        <f t="shared" si="7"/>
        <v/>
      </c>
      <c r="F58" s="963" t="str">
        <f t="shared" si="8"/>
        <v/>
      </c>
      <c r="G58" s="1000" t="str">
        <f t="shared" si="9"/>
        <v/>
      </c>
      <c r="H58" s="104"/>
      <c r="I58" s="104"/>
      <c r="J58" s="157"/>
      <c r="K58" s="109"/>
    </row>
    <row r="59" spans="1:11" ht="15" customHeight="1">
      <c r="A59" s="102"/>
      <c r="B59" s="999">
        <v>45</v>
      </c>
      <c r="C59" s="963" t="str">
        <f t="shared" si="5"/>
        <v/>
      </c>
      <c r="D59" s="963" t="str">
        <f t="shared" si="6"/>
        <v/>
      </c>
      <c r="E59" s="963" t="str">
        <f t="shared" si="7"/>
        <v/>
      </c>
      <c r="F59" s="963" t="str">
        <f t="shared" si="8"/>
        <v/>
      </c>
      <c r="G59" s="1000" t="str">
        <f t="shared" si="9"/>
        <v/>
      </c>
      <c r="H59" s="104"/>
      <c r="I59" s="104"/>
      <c r="J59" s="157"/>
      <c r="K59" s="109"/>
    </row>
    <row r="60" spans="1:11" ht="15" customHeight="1">
      <c r="A60" s="102"/>
      <c r="B60" s="999">
        <v>46</v>
      </c>
      <c r="C60" s="963" t="str">
        <f t="shared" si="5"/>
        <v/>
      </c>
      <c r="D60" s="963" t="str">
        <f t="shared" si="6"/>
        <v/>
      </c>
      <c r="E60" s="963" t="str">
        <f t="shared" si="7"/>
        <v/>
      </c>
      <c r="F60" s="963" t="str">
        <f t="shared" si="8"/>
        <v/>
      </c>
      <c r="G60" s="1000" t="str">
        <f t="shared" si="9"/>
        <v/>
      </c>
      <c r="H60" s="104"/>
      <c r="I60" s="104"/>
      <c r="J60" s="104"/>
      <c r="K60" s="109"/>
    </row>
    <row r="61" spans="1:11" ht="15" customHeight="1">
      <c r="A61" s="102"/>
      <c r="B61" s="999">
        <v>47</v>
      </c>
      <c r="C61" s="963" t="str">
        <f t="shared" si="5"/>
        <v/>
      </c>
      <c r="D61" s="963" t="str">
        <f t="shared" si="6"/>
        <v/>
      </c>
      <c r="E61" s="963" t="str">
        <f t="shared" si="7"/>
        <v/>
      </c>
      <c r="F61" s="963" t="str">
        <f t="shared" si="8"/>
        <v/>
      </c>
      <c r="G61" s="1000" t="str">
        <f t="shared" si="9"/>
        <v/>
      </c>
      <c r="H61" s="104"/>
      <c r="I61" s="104"/>
      <c r="J61" s="104"/>
      <c r="K61" s="109"/>
    </row>
    <row r="62" spans="1:11" ht="15" customHeight="1">
      <c r="A62" s="102"/>
      <c r="B62" s="999">
        <v>48</v>
      </c>
      <c r="C62" s="963" t="str">
        <f t="shared" si="5"/>
        <v/>
      </c>
      <c r="D62" s="963" t="str">
        <f t="shared" si="6"/>
        <v/>
      </c>
      <c r="E62" s="963" t="str">
        <f t="shared" si="7"/>
        <v/>
      </c>
      <c r="F62" s="963" t="str">
        <f t="shared" si="8"/>
        <v/>
      </c>
      <c r="G62" s="1000" t="str">
        <f t="shared" si="9"/>
        <v/>
      </c>
      <c r="H62" s="104"/>
      <c r="I62" s="104"/>
      <c r="J62" s="104"/>
      <c r="K62" s="109"/>
    </row>
    <row r="63" spans="1:11" ht="15" customHeight="1">
      <c r="A63" s="102"/>
      <c r="B63" s="999">
        <v>49</v>
      </c>
      <c r="C63" s="963" t="str">
        <f t="shared" si="5"/>
        <v/>
      </c>
      <c r="D63" s="963" t="str">
        <f t="shared" si="6"/>
        <v/>
      </c>
      <c r="E63" s="963" t="str">
        <f t="shared" si="7"/>
        <v/>
      </c>
      <c r="F63" s="963" t="str">
        <f t="shared" si="8"/>
        <v/>
      </c>
      <c r="G63" s="1000" t="str">
        <f t="shared" si="9"/>
        <v/>
      </c>
      <c r="H63" s="104"/>
      <c r="I63" s="104"/>
      <c r="J63" s="104"/>
      <c r="K63" s="109"/>
    </row>
    <row r="64" spans="1:11" ht="15" customHeight="1">
      <c r="A64" s="102"/>
      <c r="B64" s="999">
        <v>50</v>
      </c>
      <c r="C64" s="963" t="str">
        <f t="shared" si="5"/>
        <v/>
      </c>
      <c r="D64" s="963" t="str">
        <f t="shared" si="6"/>
        <v/>
      </c>
      <c r="E64" s="963" t="str">
        <f t="shared" si="7"/>
        <v/>
      </c>
      <c r="F64" s="963" t="str">
        <f t="shared" si="8"/>
        <v/>
      </c>
      <c r="G64" s="1000" t="str">
        <f t="shared" si="9"/>
        <v/>
      </c>
      <c r="H64" s="104"/>
      <c r="I64" s="104"/>
      <c r="J64" s="104"/>
      <c r="K64" s="109"/>
    </row>
    <row r="65" spans="1:11" ht="15" customHeight="1">
      <c r="A65" s="102"/>
      <c r="B65" s="999">
        <v>51</v>
      </c>
      <c r="C65" s="963" t="str">
        <f t="shared" si="5"/>
        <v/>
      </c>
      <c r="D65" s="963" t="str">
        <f t="shared" si="6"/>
        <v/>
      </c>
      <c r="E65" s="963" t="str">
        <f t="shared" si="7"/>
        <v/>
      </c>
      <c r="F65" s="963" t="str">
        <f t="shared" si="8"/>
        <v/>
      </c>
      <c r="G65" s="1000" t="str">
        <f t="shared" si="9"/>
        <v/>
      </c>
      <c r="H65" s="104"/>
      <c r="I65" s="104"/>
      <c r="J65" s="104"/>
      <c r="K65" s="109"/>
    </row>
    <row r="66" spans="1:11" ht="15" customHeight="1">
      <c r="A66" s="102"/>
      <c r="B66" s="999">
        <v>52</v>
      </c>
      <c r="C66" s="963" t="str">
        <f t="shared" si="5"/>
        <v/>
      </c>
      <c r="D66" s="963" t="str">
        <f t="shared" si="6"/>
        <v/>
      </c>
      <c r="E66" s="963" t="str">
        <f t="shared" si="7"/>
        <v/>
      </c>
      <c r="F66" s="963" t="str">
        <f t="shared" si="8"/>
        <v/>
      </c>
      <c r="G66" s="1000" t="str">
        <f t="shared" si="9"/>
        <v/>
      </c>
      <c r="H66" s="104"/>
      <c r="I66" s="104"/>
      <c r="J66" s="104"/>
      <c r="K66" s="109"/>
    </row>
    <row r="67" spans="1:11" ht="15" customHeight="1">
      <c r="A67" s="102"/>
      <c r="B67" s="999">
        <v>53</v>
      </c>
      <c r="C67" s="963" t="str">
        <f t="shared" si="5"/>
        <v/>
      </c>
      <c r="D67" s="963" t="str">
        <f t="shared" si="6"/>
        <v/>
      </c>
      <c r="E67" s="963" t="str">
        <f t="shared" si="7"/>
        <v/>
      </c>
      <c r="F67" s="963" t="str">
        <f t="shared" si="8"/>
        <v/>
      </c>
      <c r="G67" s="1000" t="str">
        <f t="shared" si="9"/>
        <v/>
      </c>
      <c r="H67" s="104"/>
      <c r="I67" s="104"/>
      <c r="J67" s="104"/>
      <c r="K67" s="109"/>
    </row>
    <row r="68" spans="1:11" ht="15" customHeight="1">
      <c r="A68" s="102"/>
      <c r="B68" s="999">
        <v>54</v>
      </c>
      <c r="C68" s="963" t="str">
        <f t="shared" si="5"/>
        <v/>
      </c>
      <c r="D68" s="963" t="str">
        <f t="shared" si="6"/>
        <v/>
      </c>
      <c r="E68" s="963" t="str">
        <f t="shared" si="7"/>
        <v/>
      </c>
      <c r="F68" s="963" t="str">
        <f t="shared" si="8"/>
        <v/>
      </c>
      <c r="G68" s="1000" t="str">
        <f t="shared" si="9"/>
        <v/>
      </c>
      <c r="H68" s="104"/>
      <c r="I68" s="104"/>
      <c r="J68" s="104"/>
      <c r="K68" s="109"/>
    </row>
    <row r="69" spans="1:11" ht="15" customHeight="1">
      <c r="A69" s="102"/>
      <c r="B69" s="999">
        <v>55</v>
      </c>
      <c r="C69" s="963" t="str">
        <f t="shared" si="5"/>
        <v/>
      </c>
      <c r="D69" s="963" t="str">
        <f t="shared" si="6"/>
        <v/>
      </c>
      <c r="E69" s="963" t="str">
        <f t="shared" si="7"/>
        <v/>
      </c>
      <c r="F69" s="963" t="str">
        <f t="shared" si="8"/>
        <v/>
      </c>
      <c r="G69" s="1000" t="str">
        <f t="shared" si="9"/>
        <v/>
      </c>
      <c r="H69" s="104"/>
      <c r="I69" s="104"/>
      <c r="J69" s="104"/>
      <c r="K69" s="109"/>
    </row>
    <row r="70" spans="1:11" ht="15" customHeight="1">
      <c r="A70" s="102"/>
      <c r="B70" s="999">
        <v>56</v>
      </c>
      <c r="C70" s="963" t="str">
        <f t="shared" si="5"/>
        <v/>
      </c>
      <c r="D70" s="963" t="str">
        <f t="shared" si="6"/>
        <v/>
      </c>
      <c r="E70" s="963" t="str">
        <f t="shared" si="7"/>
        <v/>
      </c>
      <c r="F70" s="963" t="str">
        <f t="shared" si="8"/>
        <v/>
      </c>
      <c r="G70" s="1000" t="str">
        <f t="shared" si="9"/>
        <v/>
      </c>
      <c r="H70" s="104"/>
      <c r="I70" s="104"/>
      <c r="J70" s="104"/>
      <c r="K70" s="109"/>
    </row>
    <row r="71" spans="1:11" ht="15" customHeight="1">
      <c r="A71" s="102"/>
      <c r="B71" s="999">
        <v>57</v>
      </c>
      <c r="C71" s="963" t="str">
        <f t="shared" si="5"/>
        <v/>
      </c>
      <c r="D71" s="963" t="str">
        <f t="shared" si="6"/>
        <v/>
      </c>
      <c r="E71" s="963" t="str">
        <f t="shared" si="7"/>
        <v/>
      </c>
      <c r="F71" s="963" t="str">
        <f t="shared" si="8"/>
        <v/>
      </c>
      <c r="G71" s="1000" t="str">
        <f t="shared" si="9"/>
        <v/>
      </c>
      <c r="H71" s="104"/>
      <c r="I71" s="104"/>
      <c r="J71" s="104"/>
      <c r="K71" s="109"/>
    </row>
    <row r="72" spans="1:11" ht="15" customHeight="1">
      <c r="A72" s="102"/>
      <c r="B72" s="999">
        <v>58</v>
      </c>
      <c r="C72" s="963" t="str">
        <f t="shared" si="5"/>
        <v/>
      </c>
      <c r="D72" s="963" t="str">
        <f t="shared" si="6"/>
        <v/>
      </c>
      <c r="E72" s="963" t="str">
        <f t="shared" si="7"/>
        <v/>
      </c>
      <c r="F72" s="963" t="str">
        <f t="shared" si="8"/>
        <v/>
      </c>
      <c r="G72" s="1000" t="str">
        <f t="shared" si="9"/>
        <v/>
      </c>
      <c r="H72" s="104"/>
      <c r="I72" s="104"/>
      <c r="J72" s="104"/>
      <c r="K72" s="109"/>
    </row>
    <row r="73" spans="1:11" ht="15" customHeight="1">
      <c r="A73" s="102"/>
      <c r="B73" s="999">
        <v>59</v>
      </c>
      <c r="C73" s="963" t="str">
        <f t="shared" si="5"/>
        <v/>
      </c>
      <c r="D73" s="963" t="str">
        <f t="shared" si="6"/>
        <v/>
      </c>
      <c r="E73" s="963" t="str">
        <f t="shared" si="7"/>
        <v/>
      </c>
      <c r="F73" s="963" t="str">
        <f t="shared" si="8"/>
        <v/>
      </c>
      <c r="G73" s="1000" t="str">
        <f t="shared" si="9"/>
        <v/>
      </c>
      <c r="H73" s="104"/>
      <c r="I73" s="104"/>
      <c r="J73" s="104"/>
      <c r="K73" s="109"/>
    </row>
    <row r="74" spans="1:11" ht="15" customHeight="1">
      <c r="A74" s="102"/>
      <c r="B74" s="999">
        <v>60</v>
      </c>
      <c r="C74" s="963" t="str">
        <f t="shared" si="5"/>
        <v/>
      </c>
      <c r="D74" s="963" t="str">
        <f t="shared" si="6"/>
        <v/>
      </c>
      <c r="E74" s="963" t="str">
        <f t="shared" si="7"/>
        <v/>
      </c>
      <c r="F74" s="963" t="str">
        <f t="shared" si="8"/>
        <v/>
      </c>
      <c r="G74" s="1000" t="str">
        <f t="shared" si="9"/>
        <v/>
      </c>
      <c r="H74" s="104"/>
      <c r="I74" s="104"/>
      <c r="J74" s="104"/>
      <c r="K74" s="109"/>
    </row>
    <row r="75" spans="1:11" ht="15" customHeight="1">
      <c r="A75" s="102"/>
      <c r="B75" s="999">
        <v>61</v>
      </c>
      <c r="C75" s="963" t="str">
        <f t="shared" si="5"/>
        <v/>
      </c>
      <c r="D75" s="963" t="str">
        <f t="shared" si="6"/>
        <v/>
      </c>
      <c r="E75" s="963" t="str">
        <f t="shared" si="7"/>
        <v/>
      </c>
      <c r="F75" s="963" t="str">
        <f t="shared" si="8"/>
        <v/>
      </c>
      <c r="G75" s="1000" t="str">
        <f t="shared" si="9"/>
        <v/>
      </c>
      <c r="H75" s="104"/>
      <c r="I75" s="104"/>
      <c r="J75" s="104"/>
      <c r="K75" s="109"/>
    </row>
    <row r="76" spans="1:11" ht="15" customHeight="1">
      <c r="A76" s="102"/>
      <c r="B76" s="999">
        <v>62</v>
      </c>
      <c r="C76" s="963" t="str">
        <f t="shared" si="5"/>
        <v/>
      </c>
      <c r="D76" s="963" t="str">
        <f t="shared" si="6"/>
        <v/>
      </c>
      <c r="E76" s="963" t="str">
        <f t="shared" si="7"/>
        <v/>
      </c>
      <c r="F76" s="963" t="str">
        <f t="shared" si="8"/>
        <v/>
      </c>
      <c r="G76" s="1000" t="str">
        <f t="shared" si="9"/>
        <v/>
      </c>
      <c r="H76" s="104"/>
      <c r="I76" s="104"/>
      <c r="J76" s="104"/>
      <c r="K76" s="109"/>
    </row>
    <row r="77" spans="1:11" ht="15" customHeight="1">
      <c r="A77" s="102"/>
      <c r="B77" s="999">
        <v>63</v>
      </c>
      <c r="C77" s="963" t="str">
        <f t="shared" si="5"/>
        <v/>
      </c>
      <c r="D77" s="963" t="str">
        <f t="shared" si="6"/>
        <v/>
      </c>
      <c r="E77" s="963" t="str">
        <f t="shared" si="7"/>
        <v/>
      </c>
      <c r="F77" s="963" t="str">
        <f t="shared" si="8"/>
        <v/>
      </c>
      <c r="G77" s="1000" t="str">
        <f t="shared" si="9"/>
        <v/>
      </c>
      <c r="H77" s="104"/>
      <c r="I77" s="104"/>
      <c r="J77" s="104"/>
      <c r="K77" s="109"/>
    </row>
    <row r="78" spans="1:11" ht="15" customHeight="1">
      <c r="A78" s="102"/>
      <c r="B78" s="999">
        <v>64</v>
      </c>
      <c r="C78" s="963" t="str">
        <f t="shared" si="5"/>
        <v/>
      </c>
      <c r="D78" s="963" t="str">
        <f t="shared" si="6"/>
        <v/>
      </c>
      <c r="E78" s="963" t="str">
        <f t="shared" si="7"/>
        <v/>
      </c>
      <c r="F78" s="963" t="str">
        <f t="shared" si="8"/>
        <v/>
      </c>
      <c r="G78" s="1000" t="str">
        <f t="shared" si="9"/>
        <v/>
      </c>
      <c r="H78" s="104"/>
      <c r="I78" s="104"/>
      <c r="J78" s="104"/>
      <c r="K78" s="109"/>
    </row>
    <row r="79" spans="1:11" ht="15" customHeight="1">
      <c r="A79" s="102"/>
      <c r="B79" s="999">
        <v>65</v>
      </c>
      <c r="C79" s="963" t="str">
        <f t="shared" ref="C79:C94" si="10">IF($F$4&gt;=B79,VLOOKUP(CONCATENATE("portfolio_",$B79),portfolio_p.p_21,2,0),"")</f>
        <v/>
      </c>
      <c r="D79" s="963" t="str">
        <f t="shared" ref="D79:D94" si="11">IF($F$4&gt;=B79,VLOOKUP(CONCATENATE("portfolio_",$B79),portfolio_p.p_21,3,0),"")</f>
        <v/>
      </c>
      <c r="E79" s="963" t="str">
        <f t="shared" ref="E79:E94" si="12">IF($F$4&gt;=B79,VLOOKUP(CONCATENATE("portfolio_",$B79),portfolio_p.p_21,4,0),"")</f>
        <v/>
      </c>
      <c r="F79" s="963" t="str">
        <f t="shared" ref="F79:F94" si="13">IF($F$4&gt;=B79,VLOOKUP(CONCATENATE("portfolio_",$B79),portfolio_p.p_21,5,0),"")</f>
        <v/>
      </c>
      <c r="G79" s="1000" t="str">
        <f t="shared" ref="G79:G94" si="14">IF($F$4&gt;=B79,VLOOKUP(CONCATENATE("portfolio_",$B79),portfolio_p.p_21,6,0),"")</f>
        <v/>
      </c>
      <c r="H79" s="104"/>
      <c r="I79" s="104"/>
      <c r="J79" s="104"/>
      <c r="K79" s="109"/>
    </row>
    <row r="80" spans="1:11" ht="15" customHeight="1">
      <c r="A80" s="102"/>
      <c r="B80" s="999">
        <v>66</v>
      </c>
      <c r="C80" s="963" t="str">
        <f t="shared" si="10"/>
        <v/>
      </c>
      <c r="D80" s="963" t="str">
        <f t="shared" si="11"/>
        <v/>
      </c>
      <c r="E80" s="963" t="str">
        <f t="shared" si="12"/>
        <v/>
      </c>
      <c r="F80" s="963" t="str">
        <f t="shared" si="13"/>
        <v/>
      </c>
      <c r="G80" s="1000" t="str">
        <f t="shared" si="14"/>
        <v/>
      </c>
      <c r="H80" s="104"/>
      <c r="I80" s="104"/>
      <c r="J80" s="104"/>
      <c r="K80" s="109"/>
    </row>
    <row r="81" spans="1:11" ht="15" customHeight="1">
      <c r="A81" s="102"/>
      <c r="B81" s="999">
        <v>67</v>
      </c>
      <c r="C81" s="963" t="str">
        <f t="shared" si="10"/>
        <v/>
      </c>
      <c r="D81" s="963" t="str">
        <f t="shared" si="11"/>
        <v/>
      </c>
      <c r="E81" s="963" t="str">
        <f t="shared" si="12"/>
        <v/>
      </c>
      <c r="F81" s="963" t="str">
        <f t="shared" si="13"/>
        <v/>
      </c>
      <c r="G81" s="1000" t="str">
        <f t="shared" si="14"/>
        <v/>
      </c>
      <c r="H81" s="104"/>
      <c r="I81" s="104"/>
      <c r="J81" s="104"/>
      <c r="K81" s="109"/>
    </row>
    <row r="82" spans="1:11" ht="15" customHeight="1">
      <c r="A82" s="102"/>
      <c r="B82" s="999">
        <v>68</v>
      </c>
      <c r="C82" s="963" t="str">
        <f t="shared" si="10"/>
        <v/>
      </c>
      <c r="D82" s="963" t="str">
        <f t="shared" si="11"/>
        <v/>
      </c>
      <c r="E82" s="963" t="str">
        <f t="shared" si="12"/>
        <v/>
      </c>
      <c r="F82" s="963" t="str">
        <f t="shared" si="13"/>
        <v/>
      </c>
      <c r="G82" s="1000" t="str">
        <f t="shared" si="14"/>
        <v/>
      </c>
      <c r="H82" s="104"/>
      <c r="I82" s="104"/>
      <c r="J82" s="104"/>
      <c r="K82" s="109"/>
    </row>
    <row r="83" spans="1:11" ht="15" customHeight="1">
      <c r="A83" s="102"/>
      <c r="B83" s="999">
        <v>69</v>
      </c>
      <c r="C83" s="963" t="str">
        <f t="shared" si="10"/>
        <v/>
      </c>
      <c r="D83" s="963" t="str">
        <f t="shared" si="11"/>
        <v/>
      </c>
      <c r="E83" s="963" t="str">
        <f t="shared" si="12"/>
        <v/>
      </c>
      <c r="F83" s="963" t="str">
        <f t="shared" si="13"/>
        <v/>
      </c>
      <c r="G83" s="1000" t="str">
        <f t="shared" si="14"/>
        <v/>
      </c>
      <c r="H83" s="104"/>
      <c r="I83" s="104"/>
      <c r="J83" s="104"/>
      <c r="K83" s="109"/>
    </row>
    <row r="84" spans="1:11" ht="15" customHeight="1">
      <c r="A84" s="102"/>
      <c r="B84" s="999">
        <v>70</v>
      </c>
      <c r="C84" s="963" t="str">
        <f t="shared" si="10"/>
        <v/>
      </c>
      <c r="D84" s="963" t="str">
        <f t="shared" si="11"/>
        <v/>
      </c>
      <c r="E84" s="963" t="str">
        <f t="shared" si="12"/>
        <v/>
      </c>
      <c r="F84" s="963" t="str">
        <f t="shared" si="13"/>
        <v/>
      </c>
      <c r="G84" s="1000" t="str">
        <f t="shared" si="14"/>
        <v/>
      </c>
      <c r="H84" s="104"/>
      <c r="I84" s="104"/>
      <c r="J84" s="104"/>
      <c r="K84" s="109"/>
    </row>
    <row r="85" spans="1:11" ht="15" customHeight="1">
      <c r="A85" s="102"/>
      <c r="B85" s="999">
        <v>71</v>
      </c>
      <c r="C85" s="963" t="str">
        <f t="shared" si="10"/>
        <v/>
      </c>
      <c r="D85" s="963" t="str">
        <f t="shared" si="11"/>
        <v/>
      </c>
      <c r="E85" s="963" t="str">
        <f t="shared" si="12"/>
        <v/>
      </c>
      <c r="F85" s="963" t="str">
        <f t="shared" si="13"/>
        <v/>
      </c>
      <c r="G85" s="1000" t="str">
        <f t="shared" si="14"/>
        <v/>
      </c>
      <c r="H85" s="104"/>
      <c r="I85" s="104"/>
      <c r="J85" s="104"/>
      <c r="K85" s="109"/>
    </row>
    <row r="86" spans="1:11" ht="15" customHeight="1">
      <c r="A86" s="102"/>
      <c r="B86" s="999">
        <v>72</v>
      </c>
      <c r="C86" s="963" t="str">
        <f t="shared" si="10"/>
        <v/>
      </c>
      <c r="D86" s="963" t="str">
        <f t="shared" si="11"/>
        <v/>
      </c>
      <c r="E86" s="963" t="str">
        <f t="shared" si="12"/>
        <v/>
      </c>
      <c r="F86" s="963" t="str">
        <f t="shared" si="13"/>
        <v/>
      </c>
      <c r="G86" s="1000" t="str">
        <f t="shared" si="14"/>
        <v/>
      </c>
      <c r="H86" s="104"/>
      <c r="I86" s="104"/>
      <c r="J86" s="104"/>
      <c r="K86" s="109"/>
    </row>
    <row r="87" spans="1:11" ht="15" customHeight="1">
      <c r="A87" s="102"/>
      <c r="B87" s="999">
        <v>73</v>
      </c>
      <c r="C87" s="963" t="str">
        <f t="shared" si="10"/>
        <v/>
      </c>
      <c r="D87" s="963" t="str">
        <f t="shared" si="11"/>
        <v/>
      </c>
      <c r="E87" s="963" t="str">
        <f t="shared" si="12"/>
        <v/>
      </c>
      <c r="F87" s="963" t="str">
        <f t="shared" si="13"/>
        <v/>
      </c>
      <c r="G87" s="1000" t="str">
        <f t="shared" si="14"/>
        <v/>
      </c>
      <c r="H87" s="104"/>
      <c r="I87" s="104"/>
      <c r="J87" s="104"/>
      <c r="K87" s="109"/>
    </row>
    <row r="88" spans="1:11" ht="15" customHeight="1">
      <c r="A88" s="102"/>
      <c r="B88" s="999">
        <v>74</v>
      </c>
      <c r="C88" s="963" t="str">
        <f t="shared" si="10"/>
        <v/>
      </c>
      <c r="D88" s="963" t="str">
        <f t="shared" si="11"/>
        <v/>
      </c>
      <c r="E88" s="963" t="str">
        <f t="shared" si="12"/>
        <v/>
      </c>
      <c r="F88" s="963" t="str">
        <f t="shared" si="13"/>
        <v/>
      </c>
      <c r="G88" s="1000" t="str">
        <f t="shared" si="14"/>
        <v/>
      </c>
      <c r="H88" s="104"/>
      <c r="I88" s="104"/>
      <c r="J88" s="104"/>
      <c r="K88" s="109"/>
    </row>
    <row r="89" spans="1:11" ht="15" customHeight="1">
      <c r="A89" s="102"/>
      <c r="B89" s="999">
        <v>75</v>
      </c>
      <c r="C89" s="963" t="str">
        <f t="shared" si="10"/>
        <v/>
      </c>
      <c r="D89" s="963" t="str">
        <f t="shared" si="11"/>
        <v/>
      </c>
      <c r="E89" s="963" t="str">
        <f t="shared" si="12"/>
        <v/>
      </c>
      <c r="F89" s="963" t="str">
        <f t="shared" si="13"/>
        <v/>
      </c>
      <c r="G89" s="1000" t="str">
        <f t="shared" si="14"/>
        <v/>
      </c>
      <c r="H89" s="104"/>
      <c r="I89" s="104"/>
      <c r="J89" s="104"/>
      <c r="K89" s="109"/>
    </row>
    <row r="90" spans="1:11" ht="15" customHeight="1">
      <c r="A90" s="102"/>
      <c r="B90" s="999">
        <v>76</v>
      </c>
      <c r="C90" s="963" t="str">
        <f t="shared" si="10"/>
        <v/>
      </c>
      <c r="D90" s="963" t="str">
        <f t="shared" si="11"/>
        <v/>
      </c>
      <c r="E90" s="963" t="str">
        <f t="shared" si="12"/>
        <v/>
      </c>
      <c r="F90" s="963" t="str">
        <f t="shared" si="13"/>
        <v/>
      </c>
      <c r="G90" s="1000" t="str">
        <f t="shared" si="14"/>
        <v/>
      </c>
      <c r="H90" s="104"/>
      <c r="I90" s="104"/>
      <c r="J90" s="104"/>
      <c r="K90" s="109"/>
    </row>
    <row r="91" spans="1:11" ht="15" customHeight="1">
      <c r="A91" s="102"/>
      <c r="B91" s="999">
        <v>77</v>
      </c>
      <c r="C91" s="963" t="str">
        <f t="shared" si="10"/>
        <v/>
      </c>
      <c r="D91" s="963" t="str">
        <f t="shared" si="11"/>
        <v/>
      </c>
      <c r="E91" s="963" t="str">
        <f t="shared" si="12"/>
        <v/>
      </c>
      <c r="F91" s="963" t="str">
        <f t="shared" si="13"/>
        <v/>
      </c>
      <c r="G91" s="1000" t="str">
        <f t="shared" si="14"/>
        <v/>
      </c>
      <c r="H91" s="104"/>
      <c r="I91" s="104"/>
      <c r="J91" s="104"/>
      <c r="K91" s="109"/>
    </row>
    <row r="92" spans="1:11" ht="15" customHeight="1">
      <c r="A92" s="102"/>
      <c r="B92" s="999">
        <v>78</v>
      </c>
      <c r="C92" s="963" t="str">
        <f t="shared" si="10"/>
        <v/>
      </c>
      <c r="D92" s="963" t="str">
        <f t="shared" si="11"/>
        <v/>
      </c>
      <c r="E92" s="963" t="str">
        <f t="shared" si="12"/>
        <v/>
      </c>
      <c r="F92" s="963" t="str">
        <f t="shared" si="13"/>
        <v/>
      </c>
      <c r="G92" s="1000" t="str">
        <f t="shared" si="14"/>
        <v/>
      </c>
      <c r="H92" s="104"/>
      <c r="I92" s="104"/>
      <c r="J92" s="104"/>
      <c r="K92" s="109"/>
    </row>
    <row r="93" spans="1:11" ht="15" customHeight="1">
      <c r="A93" s="102"/>
      <c r="B93" s="999">
        <v>79</v>
      </c>
      <c r="C93" s="963" t="str">
        <f t="shared" si="10"/>
        <v/>
      </c>
      <c r="D93" s="963" t="str">
        <f t="shared" si="11"/>
        <v/>
      </c>
      <c r="E93" s="963" t="str">
        <f t="shared" si="12"/>
        <v/>
      </c>
      <c r="F93" s="963" t="str">
        <f t="shared" si="13"/>
        <v/>
      </c>
      <c r="G93" s="1000" t="str">
        <f t="shared" si="14"/>
        <v/>
      </c>
      <c r="H93" s="104"/>
      <c r="I93" s="104"/>
      <c r="J93" s="104"/>
      <c r="K93" s="109"/>
    </row>
    <row r="94" spans="1:11" ht="15" customHeight="1">
      <c r="A94" s="102"/>
      <c r="B94" s="1001">
        <v>80</v>
      </c>
      <c r="C94" s="1002" t="str">
        <f t="shared" si="10"/>
        <v/>
      </c>
      <c r="D94" s="1002" t="str">
        <f t="shared" si="11"/>
        <v/>
      </c>
      <c r="E94" s="1002" t="str">
        <f t="shared" si="12"/>
        <v/>
      </c>
      <c r="F94" s="1002" t="str">
        <f t="shared" si="13"/>
        <v/>
      </c>
      <c r="G94" s="1003" t="str">
        <f t="shared" si="14"/>
        <v/>
      </c>
      <c r="H94" s="104"/>
      <c r="I94" s="104"/>
      <c r="J94" s="104"/>
      <c r="K94" s="109"/>
    </row>
    <row r="95" spans="1:11" ht="15" customHeight="1">
      <c r="A95" s="145"/>
      <c r="B95" s="147"/>
      <c r="C95" s="147"/>
      <c r="D95" s="147"/>
      <c r="E95" s="147"/>
      <c r="F95" s="147"/>
      <c r="G95" s="147"/>
      <c r="H95" s="147"/>
      <c r="I95" s="147"/>
      <c r="J95" s="147"/>
      <c r="K95" s="148"/>
    </row>
    <row r="96" spans="1:11" ht="15" customHeight="1">
      <c r="A96" s="995"/>
      <c r="B96" s="995"/>
      <c r="C96" s="995"/>
      <c r="D96" s="995"/>
      <c r="E96" s="995"/>
      <c r="F96" s="995"/>
      <c r="G96" s="995"/>
      <c r="H96" s="995"/>
      <c r="I96" s="995"/>
      <c r="J96" s="995"/>
      <c r="K96" s="995"/>
    </row>
    <row r="97" spans="1:11" ht="15" customHeight="1">
      <c r="A97" s="995"/>
      <c r="B97" s="995"/>
      <c r="C97" s="995"/>
      <c r="D97" s="995"/>
      <c r="E97" s="995"/>
      <c r="F97" s="995"/>
      <c r="G97" s="995"/>
      <c r="H97" s="995"/>
      <c r="I97" s="995"/>
      <c r="J97" s="995"/>
      <c r="K97" s="995"/>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1"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20"/>
  <sheetViews>
    <sheetView workbookViewId="0"/>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9" width="41" customWidth="1"/>
  </cols>
  <sheetData>
    <row r="1" spans="1:19">
      <c r="A1" t="s">
        <v>722</v>
      </c>
      <c r="B1" t="s">
        <v>723</v>
      </c>
      <c r="C1" t="s">
        <v>453</v>
      </c>
      <c r="D1" t="s">
        <v>282</v>
      </c>
      <c r="E1" t="s">
        <v>724</v>
      </c>
      <c r="F1" t="s">
        <v>448</v>
      </c>
      <c r="G1" t="s">
        <v>254</v>
      </c>
      <c r="H1" t="s">
        <v>725</v>
      </c>
      <c r="I1" t="s">
        <v>446</v>
      </c>
      <c r="J1" t="s">
        <v>726</v>
      </c>
      <c r="K1" t="s">
        <v>447</v>
      </c>
      <c r="L1" t="s">
        <v>449</v>
      </c>
      <c r="M1" t="s">
        <v>534</v>
      </c>
      <c r="N1" t="s">
        <v>912</v>
      </c>
      <c r="O1" t="s">
        <v>913</v>
      </c>
      <c r="P1" t="s">
        <v>914</v>
      </c>
      <c r="Q1" t="s">
        <v>915</v>
      </c>
      <c r="R1" t="s">
        <v>727</v>
      </c>
      <c r="S1" t="s">
        <v>728</v>
      </c>
    </row>
    <row r="2" spans="1:19">
      <c r="A2">
        <v>30</v>
      </c>
      <c r="B2" t="s">
        <v>108</v>
      </c>
      <c r="C2" t="s">
        <v>1544</v>
      </c>
      <c r="D2" t="s">
        <v>1545</v>
      </c>
      <c r="E2" t="s">
        <v>1546</v>
      </c>
      <c r="F2" t="s">
        <v>1547</v>
      </c>
      <c r="G2" t="s">
        <v>1548</v>
      </c>
      <c r="H2" t="s">
        <v>426</v>
      </c>
      <c r="I2" t="s">
        <v>426</v>
      </c>
      <c r="J2" t="s">
        <v>427</v>
      </c>
      <c r="K2" t="s">
        <v>427</v>
      </c>
      <c r="L2" t="s">
        <v>1549</v>
      </c>
      <c r="M2" t="s">
        <v>1550</v>
      </c>
      <c r="N2" t="s">
        <v>1551</v>
      </c>
      <c r="O2" t="s">
        <v>1551</v>
      </c>
      <c r="P2" t="s">
        <v>1552</v>
      </c>
      <c r="Q2" t="s">
        <v>1549</v>
      </c>
      <c r="R2" t="s">
        <v>1264</v>
      </c>
      <c r="S2" t="s">
        <v>1264</v>
      </c>
    </row>
    <row r="3" spans="1:19">
      <c r="A3">
        <v>30</v>
      </c>
      <c r="B3" t="s">
        <v>517</v>
      </c>
      <c r="C3" t="s">
        <v>1553</v>
      </c>
      <c r="D3" t="s">
        <v>1554</v>
      </c>
      <c r="E3" t="s">
        <v>1555</v>
      </c>
      <c r="F3" t="s">
        <v>1547</v>
      </c>
      <c r="G3" t="s">
        <v>1549</v>
      </c>
      <c r="H3" t="s">
        <v>1556</v>
      </c>
      <c r="I3" t="s">
        <v>1556</v>
      </c>
      <c r="J3" t="s">
        <v>1557</v>
      </c>
      <c r="K3" t="s">
        <v>1557</v>
      </c>
      <c r="L3" t="s">
        <v>1549</v>
      </c>
      <c r="M3" t="s">
        <v>1558</v>
      </c>
      <c r="N3" t="s">
        <v>1559</v>
      </c>
      <c r="O3" t="s">
        <v>1559</v>
      </c>
      <c r="P3" t="s">
        <v>1560</v>
      </c>
      <c r="Q3" t="s">
        <v>1549</v>
      </c>
      <c r="R3" t="s">
        <v>1264</v>
      </c>
      <c r="S3" t="s">
        <v>1264</v>
      </c>
    </row>
    <row r="4" spans="1:19">
      <c r="A4">
        <v>30</v>
      </c>
      <c r="B4" t="s">
        <v>521</v>
      </c>
      <c r="C4" t="s">
        <v>1553</v>
      </c>
      <c r="D4" t="s">
        <v>35</v>
      </c>
      <c r="E4" t="s">
        <v>1555</v>
      </c>
      <c r="F4" t="s">
        <v>1547</v>
      </c>
      <c r="G4" t="s">
        <v>1549</v>
      </c>
      <c r="H4" t="s">
        <v>35</v>
      </c>
      <c r="I4" t="s">
        <v>1556</v>
      </c>
      <c r="J4" t="s">
        <v>35</v>
      </c>
      <c r="K4" t="s">
        <v>1557</v>
      </c>
      <c r="L4" t="s">
        <v>1549</v>
      </c>
      <c r="M4" t="s">
        <v>35</v>
      </c>
      <c r="N4" t="s">
        <v>1559</v>
      </c>
      <c r="O4" t="s">
        <v>1559</v>
      </c>
      <c r="P4" t="s">
        <v>1560</v>
      </c>
      <c r="Q4" t="s">
        <v>1549</v>
      </c>
      <c r="R4" t="s">
        <v>1264</v>
      </c>
      <c r="S4" t="s">
        <v>1264</v>
      </c>
    </row>
    <row r="5" spans="1:19">
      <c r="A5">
        <v>30</v>
      </c>
      <c r="B5" t="s">
        <v>271</v>
      </c>
      <c r="C5" t="s">
        <v>35</v>
      </c>
      <c r="D5" t="s">
        <v>35</v>
      </c>
      <c r="E5" t="s">
        <v>35</v>
      </c>
      <c r="F5" t="s">
        <v>35</v>
      </c>
      <c r="G5" t="s">
        <v>35</v>
      </c>
      <c r="H5" t="s">
        <v>35</v>
      </c>
      <c r="I5" t="s">
        <v>35</v>
      </c>
      <c r="J5" t="s">
        <v>35</v>
      </c>
      <c r="K5" t="s">
        <v>35</v>
      </c>
      <c r="L5" t="s">
        <v>35</v>
      </c>
      <c r="M5" t="s">
        <v>35</v>
      </c>
      <c r="N5" t="s">
        <v>35</v>
      </c>
      <c r="O5" t="s">
        <v>35</v>
      </c>
      <c r="P5" t="s">
        <v>35</v>
      </c>
      <c r="Q5" t="s">
        <v>35</v>
      </c>
      <c r="R5" t="s">
        <v>1264</v>
      </c>
      <c r="S5" t="s">
        <v>1264</v>
      </c>
    </row>
    <row r="6" spans="1:19">
      <c r="A6">
        <v>30</v>
      </c>
      <c r="B6" t="s">
        <v>482</v>
      </c>
      <c r="C6" t="s">
        <v>1561</v>
      </c>
      <c r="D6" t="s">
        <v>35</v>
      </c>
      <c r="E6" t="s">
        <v>1555</v>
      </c>
      <c r="F6" t="s">
        <v>1547</v>
      </c>
      <c r="G6" t="s">
        <v>1549</v>
      </c>
      <c r="H6" t="s">
        <v>35</v>
      </c>
      <c r="I6" t="s">
        <v>35</v>
      </c>
      <c r="J6" t="s">
        <v>35</v>
      </c>
      <c r="K6" t="s">
        <v>35</v>
      </c>
      <c r="L6" t="s">
        <v>35</v>
      </c>
      <c r="M6" t="s">
        <v>35</v>
      </c>
      <c r="N6" t="s">
        <v>35</v>
      </c>
      <c r="O6" t="s">
        <v>35</v>
      </c>
      <c r="P6" t="s">
        <v>35</v>
      </c>
      <c r="Q6" t="s">
        <v>35</v>
      </c>
      <c r="R6" t="s">
        <v>1264</v>
      </c>
      <c r="S6" t="s">
        <v>1264</v>
      </c>
    </row>
    <row r="7" spans="1:19">
      <c r="A7">
        <v>30</v>
      </c>
      <c r="B7" t="s">
        <v>280</v>
      </c>
      <c r="C7" t="s">
        <v>1562</v>
      </c>
      <c r="D7" t="s">
        <v>1554</v>
      </c>
      <c r="E7" t="s">
        <v>1555</v>
      </c>
      <c r="F7" t="s">
        <v>1547</v>
      </c>
      <c r="G7" t="s">
        <v>1549</v>
      </c>
      <c r="H7" t="s">
        <v>1563</v>
      </c>
      <c r="I7" t="s">
        <v>1563</v>
      </c>
      <c r="J7" t="s">
        <v>1557</v>
      </c>
      <c r="K7" t="s">
        <v>1557</v>
      </c>
      <c r="L7" t="s">
        <v>1549</v>
      </c>
      <c r="M7" t="s">
        <v>1558</v>
      </c>
      <c r="N7" t="s">
        <v>1564</v>
      </c>
      <c r="O7" t="s">
        <v>35</v>
      </c>
      <c r="P7" t="s">
        <v>1552</v>
      </c>
      <c r="Q7" t="s">
        <v>1549</v>
      </c>
      <c r="R7" t="s">
        <v>1264</v>
      </c>
      <c r="S7" t="s">
        <v>1264</v>
      </c>
    </row>
    <row r="8" spans="1:19">
      <c r="A8">
        <v>30</v>
      </c>
      <c r="B8" t="s">
        <v>471</v>
      </c>
      <c r="C8" t="s">
        <v>35</v>
      </c>
      <c r="D8" t="s">
        <v>35</v>
      </c>
      <c r="E8" t="s">
        <v>35</v>
      </c>
      <c r="F8" t="s">
        <v>35</v>
      </c>
      <c r="G8" t="s">
        <v>35</v>
      </c>
      <c r="H8" t="s">
        <v>35</v>
      </c>
      <c r="I8" t="s">
        <v>35</v>
      </c>
      <c r="J8" t="s">
        <v>35</v>
      </c>
      <c r="K8" t="s">
        <v>35</v>
      </c>
      <c r="L8" t="s">
        <v>35</v>
      </c>
      <c r="M8" t="s">
        <v>35</v>
      </c>
      <c r="N8" t="s">
        <v>35</v>
      </c>
      <c r="O8" t="s">
        <v>35</v>
      </c>
      <c r="P8" t="s">
        <v>35</v>
      </c>
      <c r="Q8" t="s">
        <v>35</v>
      </c>
      <c r="R8" t="s">
        <v>1264</v>
      </c>
      <c r="S8" t="s">
        <v>1264</v>
      </c>
    </row>
    <row r="9" spans="1:19">
      <c r="A9">
        <v>30</v>
      </c>
      <c r="B9" t="s">
        <v>1565</v>
      </c>
      <c r="C9" t="s">
        <v>1566</v>
      </c>
      <c r="D9" t="s">
        <v>1567</v>
      </c>
      <c r="E9" t="s">
        <v>1568</v>
      </c>
      <c r="F9" t="s">
        <v>1569</v>
      </c>
      <c r="G9" t="s">
        <v>1570</v>
      </c>
      <c r="H9" t="s">
        <v>1571</v>
      </c>
      <c r="I9" t="s">
        <v>1572</v>
      </c>
      <c r="J9" t="s">
        <v>1573</v>
      </c>
      <c r="K9" t="s">
        <v>1574</v>
      </c>
      <c r="L9" t="s">
        <v>1575</v>
      </c>
      <c r="M9" t="s">
        <v>1576</v>
      </c>
      <c r="N9" t="s">
        <v>1577</v>
      </c>
      <c r="O9" t="s">
        <v>1578</v>
      </c>
      <c r="P9" t="s">
        <v>1579</v>
      </c>
      <c r="Q9" t="s">
        <v>1580</v>
      </c>
      <c r="R9" t="s">
        <v>1581</v>
      </c>
      <c r="S9" t="s">
        <v>1264</v>
      </c>
    </row>
    <row r="10" spans="1:19">
      <c r="A10">
        <v>30</v>
      </c>
      <c r="B10" t="s">
        <v>206</v>
      </c>
      <c r="C10" t="s">
        <v>1582</v>
      </c>
      <c r="D10" t="s">
        <v>1583</v>
      </c>
      <c r="E10" t="s">
        <v>1555</v>
      </c>
      <c r="F10" t="s">
        <v>35</v>
      </c>
      <c r="G10" t="s">
        <v>1549</v>
      </c>
      <c r="H10" t="s">
        <v>35</v>
      </c>
      <c r="I10" t="s">
        <v>426</v>
      </c>
      <c r="J10" t="s">
        <v>427</v>
      </c>
      <c r="K10" t="s">
        <v>427</v>
      </c>
      <c r="L10" t="s">
        <v>1549</v>
      </c>
      <c r="M10" t="s">
        <v>1550</v>
      </c>
      <c r="N10" t="s">
        <v>35</v>
      </c>
      <c r="O10" t="s">
        <v>35</v>
      </c>
      <c r="P10" t="s">
        <v>35</v>
      </c>
      <c r="Q10" t="s">
        <v>35</v>
      </c>
      <c r="R10" t="s">
        <v>1264</v>
      </c>
      <c r="S10" t="s">
        <v>1264</v>
      </c>
    </row>
    <row r="11" spans="1:19">
      <c r="A11">
        <v>30</v>
      </c>
      <c r="B11" t="s">
        <v>114</v>
      </c>
      <c r="C11" t="s">
        <v>1544</v>
      </c>
      <c r="D11" t="s">
        <v>1545</v>
      </c>
      <c r="E11" t="s">
        <v>1546</v>
      </c>
      <c r="F11" t="s">
        <v>1547</v>
      </c>
      <c r="G11" t="s">
        <v>1548</v>
      </c>
      <c r="H11" t="s">
        <v>1584</v>
      </c>
      <c r="I11" t="s">
        <v>426</v>
      </c>
      <c r="J11" t="s">
        <v>427</v>
      </c>
      <c r="K11" t="s">
        <v>427</v>
      </c>
      <c r="L11" t="s">
        <v>1549</v>
      </c>
      <c r="M11" t="s">
        <v>35</v>
      </c>
      <c r="N11" t="s">
        <v>35</v>
      </c>
      <c r="O11" t="s">
        <v>35</v>
      </c>
      <c r="P11" t="s">
        <v>35</v>
      </c>
      <c r="Q11" t="s">
        <v>35</v>
      </c>
      <c r="R11" t="s">
        <v>1264</v>
      </c>
      <c r="S11" t="s">
        <v>1264</v>
      </c>
    </row>
    <row r="12" spans="1:19">
      <c r="A12">
        <v>30</v>
      </c>
      <c r="B12" t="s">
        <v>1585</v>
      </c>
      <c r="C12" t="s">
        <v>1544</v>
      </c>
      <c r="D12" t="s">
        <v>1545</v>
      </c>
      <c r="E12" t="s">
        <v>1546</v>
      </c>
      <c r="F12" t="s">
        <v>1547</v>
      </c>
      <c r="G12" t="s">
        <v>1548</v>
      </c>
      <c r="H12" t="s">
        <v>426</v>
      </c>
      <c r="I12" t="s">
        <v>426</v>
      </c>
      <c r="J12" t="s">
        <v>427</v>
      </c>
      <c r="K12" t="s">
        <v>427</v>
      </c>
      <c r="L12" t="s">
        <v>1549</v>
      </c>
      <c r="M12" t="s">
        <v>1550</v>
      </c>
      <c r="N12" t="s">
        <v>1551</v>
      </c>
      <c r="O12" t="s">
        <v>1551</v>
      </c>
      <c r="P12" t="s">
        <v>1552</v>
      </c>
      <c r="Q12" t="s">
        <v>1549</v>
      </c>
      <c r="R12" t="s">
        <v>1264</v>
      </c>
      <c r="S12" t="s">
        <v>1264</v>
      </c>
    </row>
    <row r="13" spans="1:19">
      <c r="A13">
        <v>30</v>
      </c>
      <c r="B13" t="s">
        <v>267</v>
      </c>
      <c r="C13" t="s">
        <v>1582</v>
      </c>
      <c r="D13" t="s">
        <v>1583</v>
      </c>
      <c r="E13" t="s">
        <v>1555</v>
      </c>
      <c r="F13" t="s">
        <v>1547</v>
      </c>
      <c r="G13" t="s">
        <v>1586</v>
      </c>
      <c r="H13" t="s">
        <v>426</v>
      </c>
      <c r="I13" t="s">
        <v>1587</v>
      </c>
      <c r="J13" t="s">
        <v>427</v>
      </c>
      <c r="K13" t="s">
        <v>427</v>
      </c>
      <c r="L13" t="s">
        <v>1549</v>
      </c>
      <c r="M13" t="s">
        <v>1588</v>
      </c>
      <c r="N13" t="s">
        <v>1551</v>
      </c>
      <c r="O13" t="s">
        <v>1551</v>
      </c>
      <c r="P13" t="s">
        <v>1552</v>
      </c>
      <c r="Q13" t="s">
        <v>1549</v>
      </c>
      <c r="R13" t="s">
        <v>1264</v>
      </c>
      <c r="S13" t="s">
        <v>1264</v>
      </c>
    </row>
    <row r="14" spans="1:19">
      <c r="A14">
        <v>30</v>
      </c>
      <c r="B14" t="s">
        <v>460</v>
      </c>
      <c r="C14" t="s">
        <v>1264</v>
      </c>
      <c r="D14" t="s">
        <v>1264</v>
      </c>
      <c r="E14" t="s">
        <v>1264</v>
      </c>
      <c r="F14" t="s">
        <v>1264</v>
      </c>
      <c r="G14" t="s">
        <v>1264</v>
      </c>
      <c r="H14" t="s">
        <v>1264</v>
      </c>
      <c r="I14" t="s">
        <v>1264</v>
      </c>
      <c r="J14" t="s">
        <v>1264</v>
      </c>
      <c r="K14" t="s">
        <v>1264</v>
      </c>
      <c r="L14" t="s">
        <v>1264</v>
      </c>
      <c r="M14" t="s">
        <v>1264</v>
      </c>
      <c r="N14" t="s">
        <v>1264</v>
      </c>
      <c r="O14" t="s">
        <v>1264</v>
      </c>
      <c r="P14" t="s">
        <v>1264</v>
      </c>
      <c r="Q14" t="s">
        <v>1264</v>
      </c>
      <c r="R14" t="s">
        <v>1264</v>
      </c>
      <c r="S14" t="s">
        <v>1589</v>
      </c>
    </row>
    <row r="15" spans="1:19">
      <c r="A15">
        <v>30</v>
      </c>
      <c r="B15" t="s">
        <v>461</v>
      </c>
      <c r="C15" t="s">
        <v>1264</v>
      </c>
      <c r="D15" t="s">
        <v>1264</v>
      </c>
      <c r="E15" t="s">
        <v>1264</v>
      </c>
      <c r="F15" t="s">
        <v>1264</v>
      </c>
      <c r="G15" t="s">
        <v>1264</v>
      </c>
      <c r="H15" t="s">
        <v>1264</v>
      </c>
      <c r="I15" t="s">
        <v>1264</v>
      </c>
      <c r="J15" t="s">
        <v>1264</v>
      </c>
      <c r="K15" t="s">
        <v>1264</v>
      </c>
      <c r="L15" t="s">
        <v>1264</v>
      </c>
      <c r="M15" t="s">
        <v>1264</v>
      </c>
      <c r="N15" t="s">
        <v>1264</v>
      </c>
      <c r="O15" t="s">
        <v>1264</v>
      </c>
      <c r="P15" t="s">
        <v>1264</v>
      </c>
      <c r="Q15" t="s">
        <v>1264</v>
      </c>
      <c r="R15" t="s">
        <v>1264</v>
      </c>
      <c r="S15" t="s">
        <v>1589</v>
      </c>
    </row>
    <row r="16" spans="1:19">
      <c r="A16">
        <v>30</v>
      </c>
      <c r="B16" t="s">
        <v>462</v>
      </c>
      <c r="C16" t="s">
        <v>1264</v>
      </c>
      <c r="D16" t="s">
        <v>1264</v>
      </c>
      <c r="E16" t="s">
        <v>1264</v>
      </c>
      <c r="F16" t="s">
        <v>1264</v>
      </c>
      <c r="G16" t="s">
        <v>1264</v>
      </c>
      <c r="H16" t="s">
        <v>1264</v>
      </c>
      <c r="I16" t="s">
        <v>1264</v>
      </c>
      <c r="J16" t="s">
        <v>1264</v>
      </c>
      <c r="K16" t="s">
        <v>1264</v>
      </c>
      <c r="L16" t="s">
        <v>1264</v>
      </c>
      <c r="M16" t="s">
        <v>1264</v>
      </c>
      <c r="N16" t="s">
        <v>1264</v>
      </c>
      <c r="O16" t="s">
        <v>1264</v>
      </c>
      <c r="P16" t="s">
        <v>1264</v>
      </c>
      <c r="Q16" t="s">
        <v>1264</v>
      </c>
      <c r="R16" t="s">
        <v>1264</v>
      </c>
      <c r="S16" t="s">
        <v>1590</v>
      </c>
    </row>
    <row r="17" spans="1:19">
      <c r="A17">
        <v>30</v>
      </c>
      <c r="B17" t="s">
        <v>463</v>
      </c>
      <c r="C17" t="s">
        <v>1264</v>
      </c>
      <c r="D17" t="s">
        <v>1264</v>
      </c>
      <c r="E17" t="s">
        <v>1264</v>
      </c>
      <c r="F17" t="s">
        <v>1264</v>
      </c>
      <c r="G17" t="s">
        <v>1264</v>
      </c>
      <c r="H17" t="s">
        <v>1264</v>
      </c>
      <c r="I17" t="s">
        <v>1264</v>
      </c>
      <c r="J17" t="s">
        <v>1264</v>
      </c>
      <c r="K17" t="s">
        <v>1264</v>
      </c>
      <c r="L17" t="s">
        <v>1264</v>
      </c>
      <c r="M17" t="s">
        <v>1264</v>
      </c>
      <c r="N17" t="s">
        <v>1264</v>
      </c>
      <c r="O17" t="s">
        <v>1264</v>
      </c>
      <c r="P17" t="s">
        <v>1264</v>
      </c>
      <c r="Q17" t="s">
        <v>1264</v>
      </c>
      <c r="R17" t="s">
        <v>1264</v>
      </c>
      <c r="S17" t="s">
        <v>1591</v>
      </c>
    </row>
    <row r="18" spans="1:19">
      <c r="A18">
        <v>30</v>
      </c>
      <c r="B18" t="s">
        <v>464</v>
      </c>
      <c r="C18" t="s">
        <v>1264</v>
      </c>
      <c r="D18" t="s">
        <v>1264</v>
      </c>
      <c r="E18" t="s">
        <v>1264</v>
      </c>
      <c r="F18" t="s">
        <v>1264</v>
      </c>
      <c r="G18" t="s">
        <v>1264</v>
      </c>
      <c r="H18" t="s">
        <v>1264</v>
      </c>
      <c r="I18" t="s">
        <v>1264</v>
      </c>
      <c r="J18" t="s">
        <v>1264</v>
      </c>
      <c r="K18" t="s">
        <v>1264</v>
      </c>
      <c r="L18" t="s">
        <v>1264</v>
      </c>
      <c r="M18" t="s">
        <v>1264</v>
      </c>
      <c r="N18" t="s">
        <v>1264</v>
      </c>
      <c r="O18" t="s">
        <v>1264</v>
      </c>
      <c r="P18" t="s">
        <v>1264</v>
      </c>
      <c r="Q18" t="s">
        <v>1264</v>
      </c>
      <c r="R18" t="s">
        <v>1264</v>
      </c>
      <c r="S18" t="s">
        <v>1592</v>
      </c>
    </row>
    <row r="19" spans="1:19">
      <c r="A19">
        <v>30</v>
      </c>
      <c r="B19" t="s">
        <v>465</v>
      </c>
      <c r="C19" t="s">
        <v>1264</v>
      </c>
      <c r="D19" t="s">
        <v>1264</v>
      </c>
      <c r="E19" t="s">
        <v>1264</v>
      </c>
      <c r="F19" t="s">
        <v>1264</v>
      </c>
      <c r="G19" t="s">
        <v>1264</v>
      </c>
      <c r="H19" t="s">
        <v>1264</v>
      </c>
      <c r="I19" t="s">
        <v>1264</v>
      </c>
      <c r="J19" t="s">
        <v>1264</v>
      </c>
      <c r="K19" t="s">
        <v>1264</v>
      </c>
      <c r="L19" t="s">
        <v>1264</v>
      </c>
      <c r="M19" t="s">
        <v>1264</v>
      </c>
      <c r="N19" t="s">
        <v>1264</v>
      </c>
      <c r="O19" t="s">
        <v>1264</v>
      </c>
      <c r="P19" t="s">
        <v>1264</v>
      </c>
      <c r="Q19" t="s">
        <v>1264</v>
      </c>
      <c r="R19" t="s">
        <v>1264</v>
      </c>
      <c r="S19" t="s">
        <v>1593</v>
      </c>
    </row>
    <row r="20" spans="1:19">
      <c r="A20">
        <v>30</v>
      </c>
      <c r="B20" t="s">
        <v>466</v>
      </c>
      <c r="C20" t="s">
        <v>1264</v>
      </c>
      <c r="D20" t="s">
        <v>1264</v>
      </c>
      <c r="E20" t="s">
        <v>1264</v>
      </c>
      <c r="F20" t="s">
        <v>1264</v>
      </c>
      <c r="G20" t="s">
        <v>1264</v>
      </c>
      <c r="H20" t="s">
        <v>1264</v>
      </c>
      <c r="I20" t="s">
        <v>1264</v>
      </c>
      <c r="J20" t="s">
        <v>1264</v>
      </c>
      <c r="K20" t="s">
        <v>1264</v>
      </c>
      <c r="L20" t="s">
        <v>1264</v>
      </c>
      <c r="M20" t="s">
        <v>1264</v>
      </c>
      <c r="N20" t="s">
        <v>1264</v>
      </c>
      <c r="O20" t="s">
        <v>1264</v>
      </c>
      <c r="P20" t="s">
        <v>1264</v>
      </c>
      <c r="Q20" t="s">
        <v>1264</v>
      </c>
      <c r="R20" t="s">
        <v>1264</v>
      </c>
      <c r="S20" t="s">
        <v>1264</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44"/>
  <sheetViews>
    <sheetView workbookViewId="0"/>
  </sheetViews>
  <sheetFormatPr baseColWidth="10" defaultColWidth="8.7265625" defaultRowHeight="12.5"/>
  <cols>
    <col min="1" max="1" width="13" customWidth="1"/>
    <col min="2" max="2" width="41" customWidth="1"/>
    <col min="3" max="7" width="13" customWidth="1"/>
  </cols>
  <sheetData>
    <row r="1" spans="1:7">
      <c r="A1" t="s">
        <v>547</v>
      </c>
      <c r="B1" t="s">
        <v>553</v>
      </c>
      <c r="C1" t="s">
        <v>907</v>
      </c>
      <c r="D1" t="s">
        <v>908</v>
      </c>
      <c r="E1" t="s">
        <v>909</v>
      </c>
      <c r="F1" t="s">
        <v>910</v>
      </c>
      <c r="G1" t="s">
        <v>911</v>
      </c>
    </row>
    <row r="2" spans="1:7">
      <c r="A2">
        <v>30</v>
      </c>
      <c r="B2" t="s">
        <v>1501</v>
      </c>
      <c r="C2">
        <v>1499999993.1400001</v>
      </c>
      <c r="D2">
        <v>6155052.7199999429</v>
      </c>
      <c r="E2">
        <v>24768887.020000059</v>
      </c>
      <c r="F2">
        <v>30923939.740000002</v>
      </c>
      <c r="G2">
        <v>0.18110984648272688</v>
      </c>
    </row>
    <row r="3" spans="1:7">
      <c r="A3">
        <v>30</v>
      </c>
      <c r="B3" t="s">
        <v>1502</v>
      </c>
      <c r="C3">
        <v>1499999987.1500001</v>
      </c>
      <c r="D3">
        <v>20336323.419999957</v>
      </c>
      <c r="E3">
        <v>21804395.160000041</v>
      </c>
      <c r="F3">
        <v>42140718.579999998</v>
      </c>
      <c r="G3">
        <v>0.1611433139233579</v>
      </c>
    </row>
    <row r="4" spans="1:7">
      <c r="A4">
        <v>30</v>
      </c>
      <c r="B4" t="s">
        <v>1503</v>
      </c>
      <c r="C4">
        <v>1499999985.9800003</v>
      </c>
      <c r="D4">
        <v>20706928.990000114</v>
      </c>
      <c r="E4">
        <v>46034738.029999889</v>
      </c>
      <c r="F4">
        <v>66741667.020000003</v>
      </c>
      <c r="G4">
        <v>0.31205573272422171</v>
      </c>
    </row>
    <row r="5" spans="1:7">
      <c r="A5">
        <v>30</v>
      </c>
      <c r="B5" t="s">
        <v>1504</v>
      </c>
      <c r="C5">
        <v>1499999995.73</v>
      </c>
      <c r="D5">
        <v>21033939.659999952</v>
      </c>
      <c r="E5">
        <v>41567085.590000048</v>
      </c>
      <c r="F5">
        <v>62601025.25</v>
      </c>
      <c r="G5">
        <v>0.28625615573520113</v>
      </c>
    </row>
    <row r="6" spans="1:7">
      <c r="A6">
        <v>30</v>
      </c>
      <c r="B6" t="s">
        <v>1505</v>
      </c>
      <c r="C6">
        <v>1499999998.6900001</v>
      </c>
      <c r="D6">
        <v>21318836.679999962</v>
      </c>
      <c r="E6">
        <v>44100171.150000036</v>
      </c>
      <c r="F6">
        <v>65419007.829999998</v>
      </c>
      <c r="G6">
        <v>0.30099089782504962</v>
      </c>
    </row>
    <row r="7" spans="1:7">
      <c r="A7">
        <v>30</v>
      </c>
      <c r="B7" t="s">
        <v>1506</v>
      </c>
      <c r="C7">
        <v>1499999992.23</v>
      </c>
      <c r="D7">
        <v>22160443.989999972</v>
      </c>
      <c r="E7">
        <v>40552897.350000024</v>
      </c>
      <c r="F7">
        <v>62713341.339999996</v>
      </c>
      <c r="G7">
        <v>0.28027730921394223</v>
      </c>
    </row>
    <row r="8" spans="1:7">
      <c r="A8">
        <v>30</v>
      </c>
      <c r="B8" t="s">
        <v>1507</v>
      </c>
      <c r="C8">
        <v>1499999992.5400002</v>
      </c>
      <c r="D8">
        <v>22229969.219999984</v>
      </c>
      <c r="E8">
        <v>44514750.62000002</v>
      </c>
      <c r="F8">
        <v>66744719.840000004</v>
      </c>
      <c r="G8">
        <v>0.30337574469949002</v>
      </c>
    </row>
    <row r="9" spans="1:7">
      <c r="A9">
        <v>30</v>
      </c>
      <c r="B9" t="s">
        <v>1508</v>
      </c>
      <c r="C9">
        <v>1499999979.1100001</v>
      </c>
      <c r="D9">
        <v>21312739.170000076</v>
      </c>
      <c r="E9">
        <v>40284527.729999922</v>
      </c>
      <c r="F9">
        <v>61597266.899999999</v>
      </c>
      <c r="G9">
        <v>0.27868755442403337</v>
      </c>
    </row>
    <row r="10" spans="1:7">
      <c r="A10">
        <v>30</v>
      </c>
      <c r="B10" t="s">
        <v>1509</v>
      </c>
      <c r="C10">
        <v>1499999999.1899998</v>
      </c>
      <c r="D10">
        <v>22137961.549999975</v>
      </c>
      <c r="E10">
        <v>36389346.040000021</v>
      </c>
      <c r="F10">
        <v>58527307.589999996</v>
      </c>
      <c r="G10">
        <v>0.25524807036946373</v>
      </c>
    </row>
    <row r="11" spans="1:7">
      <c r="A11">
        <v>30</v>
      </c>
      <c r="B11" t="s">
        <v>1510</v>
      </c>
      <c r="C11">
        <v>1499999987.2299998</v>
      </c>
      <c r="D11">
        <v>22004535.010000058</v>
      </c>
      <c r="E11">
        <v>34862780.269999944</v>
      </c>
      <c r="F11">
        <v>56867315.280000001</v>
      </c>
      <c r="G11">
        <v>0.2458729762113373</v>
      </c>
    </row>
    <row r="12" spans="1:7">
      <c r="A12">
        <v>30</v>
      </c>
      <c r="B12" t="s">
        <v>1511</v>
      </c>
      <c r="C12">
        <v>1499999983.5799997</v>
      </c>
      <c r="D12">
        <v>21916283.229999997</v>
      </c>
      <c r="E12">
        <v>31044367.070000008</v>
      </c>
      <c r="F12">
        <v>52960650.300000004</v>
      </c>
      <c r="G12">
        <v>0.22194725849070518</v>
      </c>
    </row>
    <row r="13" spans="1:7">
      <c r="A13">
        <v>30</v>
      </c>
      <c r="B13" t="s">
        <v>1512</v>
      </c>
      <c r="C13">
        <v>1499999995.5499997</v>
      </c>
      <c r="D13">
        <v>21706166.02999999</v>
      </c>
      <c r="E13">
        <v>27343026.330000009</v>
      </c>
      <c r="F13">
        <v>49049192.359999999</v>
      </c>
      <c r="G13">
        <v>0.19809287774527362</v>
      </c>
    </row>
    <row r="14" spans="1:7">
      <c r="A14">
        <v>30</v>
      </c>
      <c r="B14" t="s">
        <v>1513</v>
      </c>
      <c r="C14">
        <v>1499999988.1299999</v>
      </c>
      <c r="D14">
        <v>21961381.340000004</v>
      </c>
      <c r="E14">
        <v>26259060.509999998</v>
      </c>
      <c r="F14">
        <v>48220441.850000001</v>
      </c>
      <c r="G14">
        <v>0.19098109992512702</v>
      </c>
    </row>
    <row r="15" spans="1:7">
      <c r="A15">
        <v>30</v>
      </c>
      <c r="B15" t="s">
        <v>1514</v>
      </c>
      <c r="C15">
        <v>1448430826.05</v>
      </c>
      <c r="D15">
        <v>21475334.559999995</v>
      </c>
      <c r="E15">
        <v>16265547.650000004</v>
      </c>
      <c r="F15">
        <v>37740882.210000001</v>
      </c>
      <c r="G15">
        <v>0.12673797158496558</v>
      </c>
    </row>
    <row r="16" spans="1:7">
      <c r="A16">
        <v>30</v>
      </c>
      <c r="B16" t="s">
        <v>1515</v>
      </c>
      <c r="C16">
        <v>1408138828.0799999</v>
      </c>
      <c r="D16">
        <v>21243673.950000022</v>
      </c>
      <c r="E16">
        <v>25341351.639999982</v>
      </c>
      <c r="F16">
        <v>46585025.590000004</v>
      </c>
      <c r="G16">
        <v>0.19581262153820445</v>
      </c>
    </row>
    <row r="17" spans="1:7">
      <c r="A17">
        <v>30</v>
      </c>
      <c r="B17" t="s">
        <v>1516</v>
      </c>
      <c r="C17">
        <v>1357977306.98</v>
      </c>
      <c r="D17">
        <v>20292080.899999958</v>
      </c>
      <c r="E17">
        <v>22566824.390000042</v>
      </c>
      <c r="F17">
        <v>42858905.289999999</v>
      </c>
      <c r="G17">
        <v>0.18216212128812104</v>
      </c>
    </row>
    <row r="18" spans="1:7">
      <c r="A18">
        <v>30</v>
      </c>
      <c r="B18" t="s">
        <v>1517</v>
      </c>
      <c r="C18">
        <v>1311498086.6100001</v>
      </c>
      <c r="D18">
        <v>20386778.350000009</v>
      </c>
      <c r="E18">
        <v>22714315.43999999</v>
      </c>
      <c r="F18">
        <v>43101093.789999999</v>
      </c>
      <c r="G18">
        <v>0.18913460236868695</v>
      </c>
    </row>
    <row r="19" spans="1:7">
      <c r="A19">
        <v>30</v>
      </c>
      <c r="B19" t="s">
        <v>1518</v>
      </c>
      <c r="C19">
        <v>1263657178.0900002</v>
      </c>
      <c r="D19">
        <v>20326877.75</v>
      </c>
      <c r="E19">
        <v>16440117.159999996</v>
      </c>
      <c r="F19">
        <v>36766994.909999996</v>
      </c>
      <c r="G19">
        <v>0.14541888341949194</v>
      </c>
    </row>
    <row r="20" spans="1:7">
      <c r="A20">
        <v>30</v>
      </c>
      <c r="B20" t="s">
        <v>1519</v>
      </c>
      <c r="C20">
        <v>1224289047.1900001</v>
      </c>
      <c r="D20">
        <v>19346145.520000059</v>
      </c>
      <c r="E20">
        <v>17957624.829999942</v>
      </c>
      <c r="F20">
        <v>37303770.350000001</v>
      </c>
      <c r="G20">
        <v>0.16248592459776079</v>
      </c>
    </row>
    <row r="21" spans="1:7">
      <c r="A21">
        <v>30</v>
      </c>
      <c r="B21" t="s">
        <v>1520</v>
      </c>
      <c r="C21">
        <v>1182859822.29</v>
      </c>
      <c r="D21">
        <v>19317317.739999983</v>
      </c>
      <c r="E21">
        <v>18569479.780000012</v>
      </c>
      <c r="F21">
        <v>37886797.519999996</v>
      </c>
      <c r="G21">
        <v>0.17294160392070124</v>
      </c>
    </row>
    <row r="22" spans="1:7">
      <c r="A22">
        <v>30</v>
      </c>
      <c r="B22" t="s">
        <v>1521</v>
      </c>
      <c r="C22">
        <v>1141056211.3399999</v>
      </c>
      <c r="D22">
        <v>18305732.700000025</v>
      </c>
      <c r="E22">
        <v>18717523.169999972</v>
      </c>
      <c r="F22">
        <v>37023255.869999997</v>
      </c>
      <c r="G22">
        <v>0.18002099586933162</v>
      </c>
    </row>
    <row r="23" spans="1:7">
      <c r="A23">
        <v>30</v>
      </c>
      <c r="B23" t="s">
        <v>1522</v>
      </c>
      <c r="C23">
        <v>1100935602.5399997</v>
      </c>
      <c r="D23">
        <v>17817159.50000003</v>
      </c>
      <c r="E23">
        <v>17701594.159999974</v>
      </c>
      <c r="F23">
        <v>35518753.660000004</v>
      </c>
      <c r="G23">
        <v>0.17676383722223166</v>
      </c>
    </row>
    <row r="24" spans="1:7">
      <c r="A24">
        <v>30</v>
      </c>
      <c r="B24" t="s">
        <v>1523</v>
      </c>
      <c r="C24">
        <v>1062469617.3899996</v>
      </c>
      <c r="D24">
        <v>18353063.079999998</v>
      </c>
      <c r="E24">
        <v>12886410.070000006</v>
      </c>
      <c r="F24">
        <v>31239473.150000002</v>
      </c>
      <c r="G24">
        <v>0.13621780635288072</v>
      </c>
    </row>
    <row r="25" spans="1:7">
      <c r="A25">
        <v>30</v>
      </c>
      <c r="B25" t="s">
        <v>1524</v>
      </c>
      <c r="C25">
        <v>1028500235.0399996</v>
      </c>
      <c r="D25">
        <v>17414879.849999994</v>
      </c>
      <c r="E25">
        <v>11301352.250000006</v>
      </c>
      <c r="F25">
        <v>28716232.099999998</v>
      </c>
      <c r="G25">
        <v>0.12417416709526197</v>
      </c>
    </row>
    <row r="26" spans="1:7">
      <c r="A26">
        <v>30</v>
      </c>
      <c r="B26" t="s">
        <v>1525</v>
      </c>
      <c r="C26">
        <v>996314992.65999973</v>
      </c>
      <c r="D26">
        <v>16923257.690000001</v>
      </c>
      <c r="E26">
        <v>11513836.899999999</v>
      </c>
      <c r="F26">
        <v>28437094.59</v>
      </c>
      <c r="G26">
        <v>0.13019358335701492</v>
      </c>
    </row>
    <row r="27" spans="1:7">
      <c r="A27">
        <v>30</v>
      </c>
      <c r="B27" t="s">
        <v>1526</v>
      </c>
      <c r="C27">
        <v>965159527.04999983</v>
      </c>
      <c r="D27">
        <v>16507771.309999999</v>
      </c>
      <c r="E27">
        <v>7064581.3099999977</v>
      </c>
      <c r="F27">
        <v>23572352.619999997</v>
      </c>
      <c r="G27">
        <v>8.4384014489149339E-2</v>
      </c>
    </row>
    <row r="28" spans="1:7">
      <c r="A28">
        <v>30</v>
      </c>
      <c r="B28" t="s">
        <v>1527</v>
      </c>
      <c r="C28">
        <v>938909475.79999983</v>
      </c>
      <c r="D28">
        <v>16895781.130000006</v>
      </c>
      <c r="E28">
        <v>13780316.369999994</v>
      </c>
      <c r="F28">
        <v>30676097.5</v>
      </c>
      <c r="G28">
        <v>0.16257914477630864</v>
      </c>
    </row>
    <row r="29" spans="1:7">
      <c r="A29">
        <v>30</v>
      </c>
      <c r="B29" t="s">
        <v>1528</v>
      </c>
      <c r="C29">
        <v>904913061.13999987</v>
      </c>
      <c r="D29">
        <v>16234694.609999999</v>
      </c>
      <c r="E29">
        <v>10209723.609999999</v>
      </c>
      <c r="F29">
        <v>26444418.219999999</v>
      </c>
      <c r="G29">
        <v>0.12729712111352143</v>
      </c>
    </row>
    <row r="30" spans="1:7">
      <c r="A30">
        <v>30</v>
      </c>
      <c r="B30" t="s">
        <v>1529</v>
      </c>
      <c r="C30">
        <v>876367308.92999983</v>
      </c>
      <c r="D30">
        <v>16226187.909999989</v>
      </c>
      <c r="E30">
        <v>11087676.590000011</v>
      </c>
      <c r="F30">
        <v>27313864.5</v>
      </c>
      <c r="G30">
        <v>0.14169083906346525</v>
      </c>
    </row>
    <row r="31" spans="1:7">
      <c r="A31">
        <v>30</v>
      </c>
      <c r="B31" t="s">
        <v>1530</v>
      </c>
      <c r="C31">
        <v>845897968.15999985</v>
      </c>
      <c r="D31">
        <v>15890480.89000001</v>
      </c>
      <c r="E31">
        <v>9787684.2599999886</v>
      </c>
      <c r="F31">
        <v>25678165.149999999</v>
      </c>
      <c r="G31">
        <v>0.13034499569407743</v>
      </c>
    </row>
    <row r="32" spans="1:7">
      <c r="A32">
        <v>30</v>
      </c>
      <c r="B32" t="s">
        <v>1531</v>
      </c>
      <c r="C32">
        <v>818131957.0999999</v>
      </c>
      <c r="D32">
        <v>15393861.409999993</v>
      </c>
      <c r="E32">
        <v>10104088.530000005</v>
      </c>
      <c r="F32">
        <v>25497949.939999998</v>
      </c>
      <c r="G32">
        <v>0.13853866007011495</v>
      </c>
    </row>
    <row r="33" spans="1:7">
      <c r="A33">
        <v>30</v>
      </c>
      <c r="B33" t="s">
        <v>1532</v>
      </c>
      <c r="C33">
        <v>790155624.61000001</v>
      </c>
      <c r="D33">
        <v>15549361.760000007</v>
      </c>
      <c r="E33">
        <v>8478337.189999992</v>
      </c>
      <c r="F33">
        <v>24027698.949999999</v>
      </c>
      <c r="G33">
        <v>0.12142612053003277</v>
      </c>
    </row>
    <row r="34" spans="1:7">
      <c r="A34">
        <v>30</v>
      </c>
      <c r="B34" t="s">
        <v>1533</v>
      </c>
      <c r="C34">
        <v>763569871.73000002</v>
      </c>
      <c r="D34">
        <v>15015481.48</v>
      </c>
      <c r="E34">
        <v>10203525.949999999</v>
      </c>
      <c r="F34">
        <v>25219007.43</v>
      </c>
      <c r="G34">
        <v>0.14907912403876544</v>
      </c>
    </row>
    <row r="35" spans="1:7">
      <c r="A35">
        <v>30</v>
      </c>
      <c r="B35" t="s">
        <v>1534</v>
      </c>
      <c r="C35">
        <v>735367523.19000006</v>
      </c>
      <c r="D35">
        <v>14468427.459999997</v>
      </c>
      <c r="E35">
        <v>8616340.5100000016</v>
      </c>
      <c r="F35">
        <v>23084767.969999999</v>
      </c>
      <c r="G35">
        <v>0.1318882843772492</v>
      </c>
    </row>
    <row r="36" spans="1:7">
      <c r="A36">
        <v>30</v>
      </c>
      <c r="B36" t="s">
        <v>1535</v>
      </c>
      <c r="C36">
        <v>710172681.25999999</v>
      </c>
      <c r="D36">
        <v>14150944.009999994</v>
      </c>
      <c r="E36">
        <v>8236605.4800000032</v>
      </c>
      <c r="F36">
        <v>22387549.489999998</v>
      </c>
      <c r="G36">
        <v>0.13063286687215625</v>
      </c>
    </row>
    <row r="37" spans="1:7">
      <c r="A37">
        <v>30</v>
      </c>
      <c r="B37" t="s">
        <v>1536</v>
      </c>
      <c r="C37">
        <v>685566657.27999997</v>
      </c>
      <c r="D37">
        <v>14246337.679999992</v>
      </c>
      <c r="E37">
        <v>8264777.400000006</v>
      </c>
      <c r="F37">
        <v>22511115.079999998</v>
      </c>
      <c r="G37">
        <v>0.13544799295389298</v>
      </c>
    </row>
    <row r="38" spans="1:7">
      <c r="A38">
        <v>30</v>
      </c>
      <c r="B38" t="s">
        <v>1537</v>
      </c>
      <c r="C38">
        <v>660901546.08999991</v>
      </c>
      <c r="D38">
        <v>14328361.420000007</v>
      </c>
      <c r="E38">
        <v>6634940.4999999944</v>
      </c>
      <c r="F38">
        <v>20963301.920000002</v>
      </c>
      <c r="G38">
        <v>0.11403649128318849</v>
      </c>
    </row>
    <row r="39" spans="1:7">
      <c r="A39">
        <v>30</v>
      </c>
      <c r="B39" t="s">
        <v>1538</v>
      </c>
      <c r="C39">
        <v>637903729.56999993</v>
      </c>
      <c r="D39">
        <v>13389099.279999999</v>
      </c>
      <c r="E39">
        <v>4492210.6899999995</v>
      </c>
      <c r="F39">
        <v>17881309.969999999</v>
      </c>
      <c r="G39">
        <v>8.1308310478659163E-2</v>
      </c>
    </row>
    <row r="40" spans="1:7">
      <c r="A40">
        <v>30</v>
      </c>
      <c r="B40" t="s">
        <v>1539</v>
      </c>
      <c r="C40">
        <v>618318454.58000004</v>
      </c>
      <c r="D40">
        <v>13700725.689999994</v>
      </c>
      <c r="E40">
        <v>6976923.9200000064</v>
      </c>
      <c r="F40">
        <v>20677649.609999999</v>
      </c>
      <c r="G40">
        <v>0.12730940785729017</v>
      </c>
    </row>
    <row r="41" spans="1:7">
      <c r="A41">
        <v>30</v>
      </c>
      <c r="B41" t="s">
        <v>1540</v>
      </c>
      <c r="C41">
        <v>596063188.09000003</v>
      </c>
      <c r="D41">
        <v>13120514.320000004</v>
      </c>
      <c r="E41">
        <v>6448056.6199999982</v>
      </c>
      <c r="F41">
        <v>19568570.940000001</v>
      </c>
      <c r="G41">
        <v>0.12236117121720602</v>
      </c>
    </row>
    <row r="42" spans="1:7">
      <c r="A42">
        <v>30</v>
      </c>
      <c r="B42" t="s">
        <v>1541</v>
      </c>
      <c r="C42">
        <v>574282915.77999997</v>
      </c>
      <c r="D42">
        <v>12739959.819999993</v>
      </c>
      <c r="E42">
        <v>6355862.2200000063</v>
      </c>
      <c r="F42">
        <v>19095822.039999999</v>
      </c>
      <c r="G42">
        <v>0.12501637807434207</v>
      </c>
    </row>
    <row r="43" spans="1:7">
      <c r="A43">
        <v>30</v>
      </c>
      <c r="B43" t="s">
        <v>1542</v>
      </c>
      <c r="C43">
        <v>553545473.4799999</v>
      </c>
      <c r="D43">
        <v>12678318.619999994</v>
      </c>
      <c r="E43">
        <v>6032932.230000007</v>
      </c>
      <c r="F43">
        <v>18711250.850000001</v>
      </c>
      <c r="G43">
        <v>0.12322286976132346</v>
      </c>
    </row>
    <row r="44" spans="1:7">
      <c r="A44">
        <v>30</v>
      </c>
      <c r="B44" t="s">
        <v>1543</v>
      </c>
      <c r="C44">
        <v>533508450.68999988</v>
      </c>
      <c r="D44">
        <v>12493808.939999998</v>
      </c>
      <c r="E44">
        <v>6201286.3600000041</v>
      </c>
      <c r="F44">
        <v>18695095.300000001</v>
      </c>
      <c r="G44">
        <v>0.13090264537726903</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86"/>
  <sheetViews>
    <sheetView workbookViewId="0"/>
  </sheetViews>
  <sheetFormatPr baseColWidth="10" defaultColWidth="8.7265625" defaultRowHeight="12.5"/>
  <cols>
    <col min="1" max="1" width="13" customWidth="1"/>
    <col min="2" max="2" width="41" customWidth="1"/>
    <col min="3" max="11" width="13" customWidth="1"/>
  </cols>
  <sheetData>
    <row r="1" spans="1:11">
      <c r="A1" t="s">
        <v>547</v>
      </c>
      <c r="B1" t="s">
        <v>553</v>
      </c>
      <c r="C1" t="s">
        <v>450</v>
      </c>
      <c r="D1" t="s">
        <v>429</v>
      </c>
      <c r="E1" t="s">
        <v>729</v>
      </c>
      <c r="F1" t="s">
        <v>730</v>
      </c>
      <c r="G1" t="s">
        <v>731</v>
      </c>
      <c r="H1" t="s">
        <v>732</v>
      </c>
      <c r="I1" t="s">
        <v>733</v>
      </c>
      <c r="J1" t="s">
        <v>734</v>
      </c>
      <c r="K1" t="s">
        <v>735</v>
      </c>
    </row>
    <row r="2" spans="1:11">
      <c r="A2">
        <v>30</v>
      </c>
      <c r="B2" t="s">
        <v>736</v>
      </c>
      <c r="C2" s="512">
        <v>1499999993.1400001</v>
      </c>
      <c r="D2" s="512">
        <v>0</v>
      </c>
      <c r="E2" s="512">
        <v>0</v>
      </c>
      <c r="F2" s="512">
        <v>0</v>
      </c>
      <c r="G2" s="512">
        <v>0</v>
      </c>
      <c r="H2" s="512">
        <v>0</v>
      </c>
      <c r="I2" s="512">
        <v>0</v>
      </c>
      <c r="J2" s="512">
        <v>0</v>
      </c>
      <c r="K2" s="512">
        <v>0</v>
      </c>
    </row>
    <row r="3" spans="1:11">
      <c r="A3">
        <v>30</v>
      </c>
      <c r="B3" t="s">
        <v>737</v>
      </c>
      <c r="C3" s="512">
        <v>1499999987.1500001</v>
      </c>
      <c r="D3" s="512">
        <v>3093997.92</v>
      </c>
      <c r="E3" s="512">
        <v>473721.34</v>
      </c>
      <c r="F3" s="512">
        <v>25764.03</v>
      </c>
      <c r="G3" s="512">
        <v>133791.66</v>
      </c>
      <c r="H3" s="512">
        <v>50519.22</v>
      </c>
      <c r="I3" s="512">
        <v>14850.21</v>
      </c>
      <c r="J3" s="512">
        <v>1018.08</v>
      </c>
      <c r="K3" s="512">
        <v>1546.76</v>
      </c>
    </row>
    <row r="4" spans="1:11">
      <c r="A4">
        <v>30</v>
      </c>
      <c r="B4" t="s">
        <v>738</v>
      </c>
      <c r="C4" s="512">
        <v>1499999985.98</v>
      </c>
      <c r="D4" s="512">
        <v>5002652.16</v>
      </c>
      <c r="E4" s="512">
        <v>2128186.7799999998</v>
      </c>
      <c r="F4" s="512">
        <v>532500.42000000004</v>
      </c>
      <c r="G4" s="512">
        <v>59335.79</v>
      </c>
      <c r="H4" s="512">
        <v>80975.98</v>
      </c>
      <c r="I4" s="512">
        <v>67565.16</v>
      </c>
      <c r="J4" s="512">
        <v>24646.560000000001</v>
      </c>
      <c r="K4" s="512">
        <v>3129.02</v>
      </c>
    </row>
    <row r="5" spans="1:11">
      <c r="A5">
        <v>30</v>
      </c>
      <c r="B5" t="s">
        <v>739</v>
      </c>
      <c r="C5" s="512">
        <v>1499999995.73</v>
      </c>
      <c r="D5" s="512">
        <v>638653.43000000005</v>
      </c>
      <c r="E5" s="512">
        <v>3095149.53</v>
      </c>
      <c r="F5" s="512">
        <v>3745437.9</v>
      </c>
      <c r="G5" s="512">
        <v>2795134.93</v>
      </c>
      <c r="H5" s="512">
        <v>11292.51</v>
      </c>
      <c r="I5" s="512">
        <v>66876.7</v>
      </c>
      <c r="J5" s="512">
        <v>115312.82</v>
      </c>
      <c r="K5" s="512">
        <v>115143.23</v>
      </c>
    </row>
    <row r="6" spans="1:11">
      <c r="A6">
        <v>30</v>
      </c>
      <c r="B6" t="s">
        <v>740</v>
      </c>
      <c r="C6" s="512">
        <v>1499999998.6900001</v>
      </c>
      <c r="D6" s="512">
        <v>3235364.58</v>
      </c>
      <c r="E6" s="512">
        <v>4134580.93</v>
      </c>
      <c r="F6" s="512">
        <v>3063513.26</v>
      </c>
      <c r="G6" s="512">
        <v>2500790.83</v>
      </c>
      <c r="H6" s="512">
        <v>61210.46</v>
      </c>
      <c r="I6" s="512">
        <v>107360.52</v>
      </c>
      <c r="J6" s="512">
        <v>135867.12</v>
      </c>
      <c r="K6" s="512">
        <v>135678.19</v>
      </c>
    </row>
    <row r="7" spans="1:11">
      <c r="A7">
        <v>30</v>
      </c>
      <c r="B7" t="s">
        <v>741</v>
      </c>
      <c r="C7" s="512">
        <v>1499999992.23</v>
      </c>
      <c r="D7" s="512">
        <v>933171.22</v>
      </c>
      <c r="E7" s="512">
        <v>7396351.0099999998</v>
      </c>
      <c r="F7" s="512">
        <v>3430276.31</v>
      </c>
      <c r="G7" s="512">
        <v>3999130.36</v>
      </c>
      <c r="H7" s="512">
        <v>19851.54</v>
      </c>
      <c r="I7" s="512">
        <v>187161.31</v>
      </c>
      <c r="J7" s="512">
        <v>138993.19</v>
      </c>
      <c r="K7" s="512">
        <v>241116.3</v>
      </c>
    </row>
    <row r="8" spans="1:11">
      <c r="A8">
        <v>30</v>
      </c>
      <c r="B8" t="s">
        <v>742</v>
      </c>
      <c r="C8" s="512">
        <v>1499999992.54</v>
      </c>
      <c r="D8" s="512">
        <v>3796457.98</v>
      </c>
      <c r="E8" s="512">
        <v>5109633.29</v>
      </c>
      <c r="F8" s="512">
        <v>3841574.92</v>
      </c>
      <c r="G8" s="512">
        <v>4796991.7300000004</v>
      </c>
      <c r="H8" s="512">
        <v>74492.02</v>
      </c>
      <c r="I8" s="512">
        <v>147583.45000000001</v>
      </c>
      <c r="J8" s="512">
        <v>168522.72</v>
      </c>
      <c r="K8" s="512">
        <v>290882.95</v>
      </c>
    </row>
    <row r="9" spans="1:11">
      <c r="A9">
        <v>30</v>
      </c>
      <c r="B9" t="s">
        <v>743</v>
      </c>
      <c r="C9" s="512">
        <v>1499999979.1099999</v>
      </c>
      <c r="D9" s="512">
        <v>1536147.57</v>
      </c>
      <c r="E9" s="512">
        <v>4386980.5</v>
      </c>
      <c r="F9" s="512">
        <v>5662736.04</v>
      </c>
      <c r="G9" s="512">
        <v>7260818.7699999996</v>
      </c>
      <c r="H9" s="512">
        <v>30144.27</v>
      </c>
      <c r="I9" s="512">
        <v>99579.9</v>
      </c>
      <c r="J9" s="512">
        <v>173804.27</v>
      </c>
      <c r="K9" s="512">
        <v>412590.06</v>
      </c>
    </row>
    <row r="10" spans="1:11">
      <c r="A10">
        <v>30</v>
      </c>
      <c r="B10" t="s">
        <v>744</v>
      </c>
      <c r="C10" s="512">
        <v>1499999999.1900001</v>
      </c>
      <c r="D10" s="512">
        <v>4122467.51</v>
      </c>
      <c r="E10" s="512">
        <v>2049128.04</v>
      </c>
      <c r="F10" s="512">
        <v>4984234.5999999996</v>
      </c>
      <c r="G10" s="512">
        <v>8029562.2400000002</v>
      </c>
      <c r="H10" s="512">
        <v>85036.88</v>
      </c>
      <c r="I10" s="512">
        <v>52295.55</v>
      </c>
      <c r="J10" s="512">
        <v>159910.56</v>
      </c>
      <c r="K10" s="512">
        <v>447401.09</v>
      </c>
    </row>
    <row r="11" spans="1:11">
      <c r="A11">
        <v>30</v>
      </c>
      <c r="B11" t="s">
        <v>745</v>
      </c>
      <c r="C11" s="512">
        <v>1499999987.23</v>
      </c>
      <c r="D11" s="512">
        <v>4661486.04</v>
      </c>
      <c r="E11" s="512">
        <v>5464321.0700000003</v>
      </c>
      <c r="F11" s="512">
        <v>4703791.17</v>
      </c>
      <c r="G11" s="512">
        <v>5415418.2199999997</v>
      </c>
      <c r="H11" s="512">
        <v>99930.16</v>
      </c>
      <c r="I11" s="512">
        <v>164584.72</v>
      </c>
      <c r="J11" s="512">
        <v>187694.71</v>
      </c>
      <c r="K11" s="512">
        <v>363917.18</v>
      </c>
    </row>
    <row r="12" spans="1:11">
      <c r="A12">
        <v>30</v>
      </c>
      <c r="B12" t="s">
        <v>746</v>
      </c>
      <c r="C12" s="512">
        <v>1499999983.5799999</v>
      </c>
      <c r="D12" s="512">
        <v>1680382.43</v>
      </c>
      <c r="E12" s="512">
        <v>4649146.3099999996</v>
      </c>
      <c r="F12" s="512">
        <v>5271569.71</v>
      </c>
      <c r="G12" s="512">
        <v>7457862.1600000001</v>
      </c>
      <c r="H12" s="512">
        <v>32294.28</v>
      </c>
      <c r="I12" s="512">
        <v>115509.59</v>
      </c>
      <c r="J12" s="512">
        <v>175266.72</v>
      </c>
      <c r="K12" s="512">
        <v>433427.97</v>
      </c>
    </row>
    <row r="13" spans="1:11">
      <c r="A13">
        <v>30</v>
      </c>
      <c r="B13" t="s">
        <v>747</v>
      </c>
      <c r="C13" s="512">
        <v>1499999995.55</v>
      </c>
      <c r="D13" s="512">
        <v>5344867.49</v>
      </c>
      <c r="E13" s="512">
        <v>1652849.12</v>
      </c>
      <c r="F13" s="512">
        <v>4448420.55</v>
      </c>
      <c r="G13" s="512">
        <v>7820068.21</v>
      </c>
      <c r="H13" s="512">
        <v>106438.17</v>
      </c>
      <c r="I13" s="512">
        <v>47244.66</v>
      </c>
      <c r="J13" s="512">
        <v>158966.57999999999</v>
      </c>
      <c r="K13" s="512">
        <v>438758</v>
      </c>
    </row>
    <row r="14" spans="1:11">
      <c r="A14">
        <v>30</v>
      </c>
      <c r="B14" t="s">
        <v>748</v>
      </c>
      <c r="C14" s="512">
        <v>1499999988.1300001</v>
      </c>
      <c r="D14" s="512">
        <v>1955755.05</v>
      </c>
      <c r="E14" s="512">
        <v>5201897.6100000003</v>
      </c>
      <c r="F14" s="512">
        <v>5333675.09</v>
      </c>
      <c r="G14" s="512">
        <v>8503803.3300000001</v>
      </c>
      <c r="H14" s="512">
        <v>39315.160000000003</v>
      </c>
      <c r="I14" s="512">
        <v>122693.39</v>
      </c>
      <c r="J14" s="512">
        <v>178752.05</v>
      </c>
      <c r="K14" s="512">
        <v>502035.12</v>
      </c>
    </row>
    <row r="15" spans="1:11">
      <c r="A15">
        <v>30</v>
      </c>
      <c r="B15" t="s">
        <v>749</v>
      </c>
      <c r="C15" s="512">
        <v>1448430826.05</v>
      </c>
      <c r="D15" s="512">
        <v>4982329.04</v>
      </c>
      <c r="E15" s="512">
        <v>2287991.79</v>
      </c>
      <c r="F15" s="512">
        <v>6118204.1100000003</v>
      </c>
      <c r="G15" s="512">
        <v>8565807.1300000008</v>
      </c>
      <c r="H15" s="512">
        <v>102035.23</v>
      </c>
      <c r="I15" s="512">
        <v>63259.97</v>
      </c>
      <c r="J15" s="512">
        <v>211204.25</v>
      </c>
      <c r="K15" s="512">
        <v>495778.61</v>
      </c>
    </row>
    <row r="16" spans="1:11">
      <c r="A16">
        <v>30</v>
      </c>
      <c r="B16" t="s">
        <v>750</v>
      </c>
      <c r="C16" s="512">
        <v>1408138828.0799999</v>
      </c>
      <c r="D16" s="512">
        <v>5972313.1299999999</v>
      </c>
      <c r="E16" s="512">
        <v>5888409.6799999997</v>
      </c>
      <c r="F16" s="512">
        <v>1737522.12</v>
      </c>
      <c r="G16" s="512">
        <v>9888679.4399999995</v>
      </c>
      <c r="H16" s="512">
        <v>117162.43</v>
      </c>
      <c r="I16" s="512">
        <v>175953.71</v>
      </c>
      <c r="J16" s="512">
        <v>81145.88</v>
      </c>
      <c r="K16" s="512">
        <v>697189.46</v>
      </c>
    </row>
    <row r="17" spans="1:11">
      <c r="A17">
        <v>30</v>
      </c>
      <c r="B17" t="s">
        <v>751</v>
      </c>
      <c r="C17" s="512">
        <v>1357977306.98</v>
      </c>
      <c r="D17" s="512">
        <v>2674498.62</v>
      </c>
      <c r="E17" s="512">
        <v>5692945.4199999999</v>
      </c>
      <c r="F17" s="512">
        <v>5170688.72</v>
      </c>
      <c r="G17" s="512">
        <v>9656001.5299999993</v>
      </c>
      <c r="H17" s="512">
        <v>50545.55</v>
      </c>
      <c r="I17" s="512">
        <v>132838.57999999999</v>
      </c>
      <c r="J17" s="512">
        <v>184075</v>
      </c>
      <c r="K17" s="512">
        <v>566286.43999999994</v>
      </c>
    </row>
    <row r="18" spans="1:11">
      <c r="A18">
        <v>30</v>
      </c>
      <c r="B18" t="s">
        <v>752</v>
      </c>
      <c r="C18" s="512">
        <v>1311498086.6099999</v>
      </c>
      <c r="D18" s="512">
        <v>5343071.01</v>
      </c>
      <c r="E18" s="512">
        <v>6558294.6799999997</v>
      </c>
      <c r="F18" s="512">
        <v>5185831.4400000004</v>
      </c>
      <c r="G18" s="512">
        <v>6320068.25</v>
      </c>
      <c r="H18" s="512">
        <v>108630.29</v>
      </c>
      <c r="I18" s="512">
        <v>193561.86</v>
      </c>
      <c r="J18" s="512">
        <v>235983.78</v>
      </c>
      <c r="K18" s="512">
        <v>421135.14</v>
      </c>
    </row>
    <row r="19" spans="1:11">
      <c r="A19">
        <v>30</v>
      </c>
      <c r="B19" t="s">
        <v>753</v>
      </c>
      <c r="C19" s="512">
        <v>1263657178.0899999</v>
      </c>
      <c r="D19" s="512">
        <v>1750949.88</v>
      </c>
      <c r="E19" s="512">
        <v>8528512.1899999995</v>
      </c>
      <c r="F19" s="512">
        <v>5117877.71</v>
      </c>
      <c r="G19" s="512">
        <v>5085544.22</v>
      </c>
      <c r="H19" s="512">
        <v>37593.339999999997</v>
      </c>
      <c r="I19" s="512">
        <v>228607.63</v>
      </c>
      <c r="J19" s="512">
        <v>229886.8</v>
      </c>
      <c r="K19" s="512">
        <v>340474.88</v>
      </c>
    </row>
    <row r="20" spans="1:11">
      <c r="A20">
        <v>30</v>
      </c>
      <c r="B20" t="s">
        <v>754</v>
      </c>
      <c r="C20" s="512">
        <v>1224289047.1900001</v>
      </c>
      <c r="D20" s="512">
        <v>5527606.6900000004</v>
      </c>
      <c r="E20" s="512">
        <v>5418645.9900000002</v>
      </c>
      <c r="F20" s="512">
        <v>5026185.5199999996</v>
      </c>
      <c r="G20" s="512">
        <v>7083757.7599999998</v>
      </c>
      <c r="H20" s="512">
        <v>115728.39</v>
      </c>
      <c r="I20" s="512">
        <v>165977.26</v>
      </c>
      <c r="J20" s="512">
        <v>230218.21</v>
      </c>
      <c r="K20" s="512">
        <v>496830.14</v>
      </c>
    </row>
    <row r="21" spans="1:11">
      <c r="A21">
        <v>30</v>
      </c>
      <c r="B21" t="s">
        <v>755</v>
      </c>
      <c r="C21" s="512">
        <v>1182859822.29</v>
      </c>
      <c r="D21" s="512">
        <v>2192893.2599999998</v>
      </c>
      <c r="E21" s="512">
        <v>5195602.82</v>
      </c>
      <c r="F21" s="512">
        <v>5026481.74</v>
      </c>
      <c r="G21" s="512">
        <v>8932406.3699999992</v>
      </c>
      <c r="H21" s="512">
        <v>44043.46</v>
      </c>
      <c r="I21" s="512">
        <v>130489.71</v>
      </c>
      <c r="J21" s="512">
        <v>174382.2</v>
      </c>
      <c r="K21" s="512">
        <v>536367.35</v>
      </c>
    </row>
    <row r="22" spans="1:11">
      <c r="A22">
        <v>30</v>
      </c>
      <c r="B22" t="s">
        <v>756</v>
      </c>
      <c r="C22" s="512">
        <v>1141056211.3399999</v>
      </c>
      <c r="D22" s="512">
        <v>4842434.1399999997</v>
      </c>
      <c r="E22" s="512">
        <v>2121939.71</v>
      </c>
      <c r="F22" s="512">
        <v>5511311.7199999997</v>
      </c>
      <c r="G22" s="512">
        <v>7772082.4400000004</v>
      </c>
      <c r="H22" s="512">
        <v>100715.41</v>
      </c>
      <c r="I22" s="512">
        <v>63435.46</v>
      </c>
      <c r="J22" s="512">
        <v>192198.21</v>
      </c>
      <c r="K22" s="512">
        <v>474081.91</v>
      </c>
    </row>
    <row r="23" spans="1:11">
      <c r="A23">
        <v>30</v>
      </c>
      <c r="B23" t="s">
        <v>757</v>
      </c>
      <c r="C23" s="512">
        <v>1100935602.54</v>
      </c>
      <c r="D23" s="512">
        <v>2768382.93</v>
      </c>
      <c r="E23" s="512">
        <v>5548537.8600000003</v>
      </c>
      <c r="F23" s="512">
        <v>4943579.22</v>
      </c>
      <c r="G23" s="512">
        <v>8245554.8300000001</v>
      </c>
      <c r="H23" s="512">
        <v>56387.8</v>
      </c>
      <c r="I23" s="512">
        <v>135270.93</v>
      </c>
      <c r="J23" s="512">
        <v>180328.44</v>
      </c>
      <c r="K23" s="512">
        <v>491697.68</v>
      </c>
    </row>
    <row r="24" spans="1:11">
      <c r="A24">
        <v>30</v>
      </c>
      <c r="B24" t="s">
        <v>758</v>
      </c>
      <c r="C24" s="512">
        <v>1062469617.39</v>
      </c>
      <c r="D24" s="512">
        <v>2234285.48</v>
      </c>
      <c r="E24" s="512">
        <v>5491669.3300000001</v>
      </c>
      <c r="F24" s="512">
        <v>4991770.9800000004</v>
      </c>
      <c r="G24" s="512">
        <v>7675243.2699999996</v>
      </c>
      <c r="H24" s="512">
        <v>47295.199999999997</v>
      </c>
      <c r="I24" s="512">
        <v>135409.53</v>
      </c>
      <c r="J24" s="512">
        <v>175449.74</v>
      </c>
      <c r="K24" s="512">
        <v>474440.96000000002</v>
      </c>
    </row>
    <row r="25" spans="1:11">
      <c r="A25">
        <v>30</v>
      </c>
      <c r="B25" t="s">
        <v>759</v>
      </c>
      <c r="C25" s="512">
        <v>1028500235.04</v>
      </c>
      <c r="D25" s="512">
        <v>5155277.34</v>
      </c>
      <c r="E25" s="512">
        <v>5183201.68</v>
      </c>
      <c r="F25" s="512">
        <v>2018965.5</v>
      </c>
      <c r="G25" s="512">
        <v>7972634.9500000002</v>
      </c>
      <c r="H25" s="512">
        <v>112019.35</v>
      </c>
      <c r="I25" s="512">
        <v>159179.43</v>
      </c>
      <c r="J25" s="512">
        <v>87572.49</v>
      </c>
      <c r="K25" s="512">
        <v>471235.28</v>
      </c>
    </row>
    <row r="26" spans="1:11">
      <c r="A26">
        <v>30</v>
      </c>
      <c r="B26" t="s">
        <v>760</v>
      </c>
      <c r="C26" s="512">
        <v>996314992.65999997</v>
      </c>
      <c r="D26" s="512">
        <v>2521677.16</v>
      </c>
      <c r="E26" s="512">
        <v>4392822.6900000004</v>
      </c>
      <c r="F26" s="512">
        <v>4586380.0599999996</v>
      </c>
      <c r="G26" s="512">
        <v>7862413.3700000001</v>
      </c>
      <c r="H26" s="512">
        <v>50923.32</v>
      </c>
      <c r="I26" s="512">
        <v>105799.58</v>
      </c>
      <c r="J26" s="512">
        <v>164754.76999999999</v>
      </c>
      <c r="K26" s="512">
        <v>462625.79</v>
      </c>
    </row>
    <row r="27" spans="1:11">
      <c r="A27">
        <v>30</v>
      </c>
      <c r="B27" t="s">
        <v>761</v>
      </c>
      <c r="C27" s="512">
        <v>965159527.04999995</v>
      </c>
      <c r="D27" s="512">
        <v>5493748.7199999997</v>
      </c>
      <c r="E27" s="512">
        <v>2108428.69</v>
      </c>
      <c r="F27" s="512">
        <v>4258830.7</v>
      </c>
      <c r="G27" s="512">
        <v>7880897.1100000003</v>
      </c>
      <c r="H27" s="512">
        <v>115989.36</v>
      </c>
      <c r="I27" s="512">
        <v>60677.96</v>
      </c>
      <c r="J27" s="512">
        <v>149459.43</v>
      </c>
      <c r="K27" s="512">
        <v>477294.44</v>
      </c>
    </row>
    <row r="28" spans="1:11">
      <c r="A28">
        <v>30</v>
      </c>
      <c r="B28" t="s">
        <v>762</v>
      </c>
      <c r="C28" s="512">
        <v>938909475.79999995</v>
      </c>
      <c r="D28" s="512">
        <v>5179300.79</v>
      </c>
      <c r="E28" s="512">
        <v>4774130.3</v>
      </c>
      <c r="F28" s="512">
        <v>3608967.46</v>
      </c>
      <c r="G28" s="512">
        <v>5020798.5199999996</v>
      </c>
      <c r="H28" s="512">
        <v>114398.25</v>
      </c>
      <c r="I28" s="512">
        <v>155392.14000000001</v>
      </c>
      <c r="J28" s="512">
        <v>169606.05</v>
      </c>
      <c r="K28" s="512">
        <v>343558.63</v>
      </c>
    </row>
    <row r="29" spans="1:11">
      <c r="A29">
        <v>30</v>
      </c>
      <c r="B29" t="s">
        <v>763</v>
      </c>
      <c r="C29" s="512">
        <v>904913061.13999999</v>
      </c>
      <c r="D29" s="512">
        <v>2579210.4500000002</v>
      </c>
      <c r="E29" s="512">
        <v>4489891.66</v>
      </c>
      <c r="F29" s="512">
        <v>4511487.32</v>
      </c>
      <c r="G29" s="512">
        <v>6469726.4100000001</v>
      </c>
      <c r="H29" s="512">
        <v>52523.19</v>
      </c>
      <c r="I29" s="512">
        <v>110111.38</v>
      </c>
      <c r="J29" s="512">
        <v>167490.10999999999</v>
      </c>
      <c r="K29" s="512">
        <v>410293.97</v>
      </c>
    </row>
    <row r="30" spans="1:11">
      <c r="A30">
        <v>30</v>
      </c>
      <c r="B30" t="s">
        <v>764</v>
      </c>
      <c r="C30" s="512">
        <v>876367308.92999995</v>
      </c>
      <c r="D30" s="512">
        <v>5228390.2300000004</v>
      </c>
      <c r="E30" s="512">
        <v>4668837.49</v>
      </c>
      <c r="F30" s="512">
        <v>1280986.3799999999</v>
      </c>
      <c r="G30" s="512">
        <v>7401531.2300000004</v>
      </c>
      <c r="H30" s="512">
        <v>111584.7</v>
      </c>
      <c r="I30" s="512">
        <v>150093.94</v>
      </c>
      <c r="J30" s="512">
        <v>56414.83</v>
      </c>
      <c r="K30" s="512">
        <v>460718.56</v>
      </c>
    </row>
    <row r="31" spans="1:11">
      <c r="A31">
        <v>30</v>
      </c>
      <c r="B31" t="s">
        <v>765</v>
      </c>
      <c r="C31" s="512">
        <v>845897968.15999997</v>
      </c>
      <c r="D31" s="512">
        <v>4841251.5</v>
      </c>
      <c r="E31" s="512">
        <v>4414060.45</v>
      </c>
      <c r="F31" s="512">
        <v>3564825</v>
      </c>
      <c r="G31" s="512">
        <v>5265175.59</v>
      </c>
      <c r="H31" s="512">
        <v>108338.55</v>
      </c>
      <c r="I31" s="512">
        <v>145713.4</v>
      </c>
      <c r="J31" s="512">
        <v>172215.37</v>
      </c>
      <c r="K31" s="512">
        <v>371978.03</v>
      </c>
    </row>
    <row r="32" spans="1:11">
      <c r="A32">
        <v>30</v>
      </c>
      <c r="B32" t="s">
        <v>766</v>
      </c>
      <c r="C32" s="512">
        <v>818131957.10000002</v>
      </c>
      <c r="D32" s="512">
        <v>4411961.95</v>
      </c>
      <c r="E32" s="512">
        <v>1714665.26</v>
      </c>
      <c r="F32" s="512">
        <v>6245036.4500000002</v>
      </c>
      <c r="G32" s="512">
        <v>4663596.8499999996</v>
      </c>
      <c r="H32" s="512">
        <v>97048.34</v>
      </c>
      <c r="I32" s="512">
        <v>55315.95</v>
      </c>
      <c r="J32" s="512">
        <v>266555.14</v>
      </c>
      <c r="K32" s="512">
        <v>340116.93</v>
      </c>
    </row>
    <row r="33" spans="1:11">
      <c r="A33">
        <v>30</v>
      </c>
      <c r="B33" t="s">
        <v>767</v>
      </c>
      <c r="C33" s="512">
        <v>790155624.61000001</v>
      </c>
      <c r="D33" s="512">
        <v>1674815</v>
      </c>
      <c r="E33" s="512">
        <v>3687613.43</v>
      </c>
      <c r="F33" s="512">
        <v>3922732.55</v>
      </c>
      <c r="G33" s="512">
        <v>6915533.4500000002</v>
      </c>
      <c r="H33" s="512">
        <v>37529.33</v>
      </c>
      <c r="I33" s="512">
        <v>101633</v>
      </c>
      <c r="J33" s="512">
        <v>156447.25</v>
      </c>
      <c r="K33" s="512">
        <v>455480.91</v>
      </c>
    </row>
    <row r="34" spans="1:11">
      <c r="A34">
        <v>30</v>
      </c>
      <c r="B34" t="s">
        <v>768</v>
      </c>
      <c r="C34" s="512">
        <v>763569871.73000002</v>
      </c>
      <c r="D34" s="512">
        <v>4900837.3600000003</v>
      </c>
      <c r="E34" s="512">
        <v>4108662.73</v>
      </c>
      <c r="F34" s="512">
        <v>3204503.44</v>
      </c>
      <c r="G34" s="512">
        <v>5138789.68</v>
      </c>
      <c r="H34" s="512">
        <v>110381.05</v>
      </c>
      <c r="I34" s="512">
        <v>145864.57</v>
      </c>
      <c r="J34" s="512">
        <v>165091.60999999999</v>
      </c>
      <c r="K34" s="512">
        <v>379815.44</v>
      </c>
    </row>
    <row r="35" spans="1:11">
      <c r="A35">
        <v>30</v>
      </c>
      <c r="B35" t="s">
        <v>769</v>
      </c>
      <c r="C35" s="512">
        <v>735367523.19000006</v>
      </c>
      <c r="D35" s="512">
        <v>1815190.75</v>
      </c>
      <c r="E35" s="512">
        <v>3423890.68</v>
      </c>
      <c r="F35" s="512">
        <v>3927057.35</v>
      </c>
      <c r="G35" s="512">
        <v>5723960.7999999998</v>
      </c>
      <c r="H35" s="512">
        <v>44011.17</v>
      </c>
      <c r="I35" s="512">
        <v>91296.55</v>
      </c>
      <c r="J35" s="512">
        <v>146564.39000000001</v>
      </c>
      <c r="K35" s="512">
        <v>382359.39</v>
      </c>
    </row>
    <row r="36" spans="1:11">
      <c r="A36">
        <v>30</v>
      </c>
      <c r="B36" t="s">
        <v>770</v>
      </c>
      <c r="C36" s="512">
        <v>710172681.25999999</v>
      </c>
      <c r="D36" s="512">
        <v>4057890.12</v>
      </c>
      <c r="E36" s="512">
        <v>1247238.03</v>
      </c>
      <c r="F36" s="512">
        <v>3290005.38</v>
      </c>
      <c r="G36" s="512">
        <v>6174463.6500000004</v>
      </c>
      <c r="H36" s="512">
        <v>94493.440000000002</v>
      </c>
      <c r="I36" s="512">
        <v>46542.11</v>
      </c>
      <c r="J36" s="512">
        <v>128728.51</v>
      </c>
      <c r="K36" s="512">
        <v>400853.89</v>
      </c>
    </row>
    <row r="37" spans="1:11">
      <c r="A37">
        <v>30</v>
      </c>
      <c r="B37" t="s">
        <v>771</v>
      </c>
      <c r="C37" s="512">
        <v>685566657.27999997</v>
      </c>
      <c r="D37" s="512">
        <v>4798143.22</v>
      </c>
      <c r="E37" s="512">
        <v>1231078.3400000001</v>
      </c>
      <c r="F37" s="512">
        <v>2963340.05</v>
      </c>
      <c r="G37" s="512">
        <v>5921167.7400000002</v>
      </c>
      <c r="H37" s="512">
        <v>110402.6</v>
      </c>
      <c r="I37" s="512">
        <v>38901.72</v>
      </c>
      <c r="J37" s="512">
        <v>119210.1</v>
      </c>
      <c r="K37" s="512">
        <v>376333.49</v>
      </c>
    </row>
    <row r="38" spans="1:11">
      <c r="A38">
        <v>30</v>
      </c>
      <c r="B38" t="s">
        <v>772</v>
      </c>
      <c r="C38" s="512">
        <v>660901546.09000003</v>
      </c>
      <c r="D38" s="512">
        <v>1602710.3</v>
      </c>
      <c r="E38" s="512">
        <v>3973521.95</v>
      </c>
      <c r="F38" s="512">
        <v>3298702.65</v>
      </c>
      <c r="G38" s="512">
        <v>5744240.8799999999</v>
      </c>
      <c r="H38" s="512">
        <v>39054</v>
      </c>
      <c r="I38" s="512">
        <v>103749.27</v>
      </c>
      <c r="J38" s="512">
        <v>122414.48</v>
      </c>
      <c r="K38" s="512">
        <v>372902.83</v>
      </c>
    </row>
    <row r="39" spans="1:11">
      <c r="A39">
        <v>30</v>
      </c>
      <c r="B39" t="s">
        <v>773</v>
      </c>
      <c r="C39" s="512">
        <v>637903729.57000005</v>
      </c>
      <c r="D39" s="512">
        <v>5063587.3</v>
      </c>
      <c r="E39" s="512">
        <v>3874881.86</v>
      </c>
      <c r="F39" s="512">
        <v>2690910.61</v>
      </c>
      <c r="G39" s="512">
        <v>3371049.05</v>
      </c>
      <c r="H39" s="512">
        <v>113283.53</v>
      </c>
      <c r="I39" s="512">
        <v>141075.57999999999</v>
      </c>
      <c r="J39" s="512">
        <v>139055.91</v>
      </c>
      <c r="K39" s="512">
        <v>233931.3</v>
      </c>
    </row>
    <row r="40" spans="1:11">
      <c r="A40">
        <v>30</v>
      </c>
      <c r="B40" t="s">
        <v>774</v>
      </c>
      <c r="C40" s="512">
        <v>618318454.58000004</v>
      </c>
      <c r="D40" s="512">
        <v>4024053.24</v>
      </c>
      <c r="E40" s="512">
        <v>3614218.6</v>
      </c>
      <c r="F40" s="512">
        <v>992381.23</v>
      </c>
      <c r="G40" s="512">
        <v>5382294.1900000004</v>
      </c>
      <c r="H40" s="512">
        <v>95235.03</v>
      </c>
      <c r="I40" s="512">
        <v>123180.98</v>
      </c>
      <c r="J40" s="512">
        <v>46114.35</v>
      </c>
      <c r="K40" s="512">
        <v>393826.54</v>
      </c>
    </row>
    <row r="41" spans="1:11">
      <c r="A41">
        <v>30</v>
      </c>
      <c r="B41" t="s">
        <v>775</v>
      </c>
      <c r="C41" s="512">
        <v>596063188.09000003</v>
      </c>
      <c r="D41" s="512">
        <v>1546831.52</v>
      </c>
      <c r="E41" s="512">
        <v>3753103.57</v>
      </c>
      <c r="F41" s="512">
        <v>2799555.96</v>
      </c>
      <c r="G41" s="512">
        <v>5208181.5199999996</v>
      </c>
      <c r="H41" s="512">
        <v>38153.46</v>
      </c>
      <c r="I41" s="512">
        <v>102565.52</v>
      </c>
      <c r="J41" s="512">
        <v>114923.3</v>
      </c>
      <c r="K41" s="512">
        <v>351670.71</v>
      </c>
    </row>
    <row r="42" spans="1:11">
      <c r="A42">
        <v>30</v>
      </c>
      <c r="B42" t="s">
        <v>776</v>
      </c>
      <c r="C42" s="512">
        <v>574282915.77999997</v>
      </c>
      <c r="D42" s="512">
        <v>3820113.38</v>
      </c>
      <c r="E42" s="512">
        <v>3211164.61</v>
      </c>
      <c r="F42" s="512">
        <v>2405734.46</v>
      </c>
      <c r="G42" s="512">
        <v>3289481.82</v>
      </c>
      <c r="H42" s="512">
        <v>97644.71</v>
      </c>
      <c r="I42" s="512">
        <v>102724.72</v>
      </c>
      <c r="J42" s="512">
        <v>128077.07</v>
      </c>
      <c r="K42" s="512">
        <v>249250.57</v>
      </c>
    </row>
    <row r="43" spans="1:11">
      <c r="A43">
        <v>30</v>
      </c>
      <c r="B43" t="s">
        <v>777</v>
      </c>
      <c r="C43" s="512">
        <v>553545473.48000002</v>
      </c>
      <c r="D43" s="512">
        <v>1996790.45</v>
      </c>
      <c r="E43" s="512">
        <v>4622123.4000000004</v>
      </c>
      <c r="F43" s="512">
        <v>2370174.44</v>
      </c>
      <c r="G43" s="512">
        <v>3350161.35</v>
      </c>
      <c r="H43" s="512">
        <v>49619.58</v>
      </c>
      <c r="I43" s="512">
        <v>147652.84</v>
      </c>
      <c r="J43" s="512">
        <v>120589.88</v>
      </c>
      <c r="K43" s="512">
        <v>249984.84</v>
      </c>
    </row>
    <row r="44" spans="1:11">
      <c r="A44">
        <v>30</v>
      </c>
      <c r="B44" t="s">
        <v>778</v>
      </c>
      <c r="C44" s="512">
        <v>533508450.69</v>
      </c>
      <c r="D44" s="512">
        <v>3699913.14</v>
      </c>
      <c r="E44" s="512">
        <v>1303908.3400000001</v>
      </c>
      <c r="F44" s="512">
        <v>3775634.27</v>
      </c>
      <c r="G44" s="512">
        <v>3319759.27</v>
      </c>
      <c r="H44" s="512">
        <v>87426.4</v>
      </c>
      <c r="I44" s="512">
        <v>48654.09</v>
      </c>
      <c r="J44" s="512">
        <v>170796.19</v>
      </c>
      <c r="K44" s="512">
        <v>255303.27</v>
      </c>
    </row>
    <row r="45" spans="1:11">
      <c r="A45">
        <v>30</v>
      </c>
      <c r="B45" t="s">
        <v>779</v>
      </c>
    </row>
    <row r="46" spans="1:11">
      <c r="A46">
        <v>30</v>
      </c>
      <c r="B46" t="s">
        <v>780</v>
      </c>
    </row>
    <row r="47" spans="1:11">
      <c r="A47">
        <v>30</v>
      </c>
      <c r="B47" t="s">
        <v>781</v>
      </c>
    </row>
    <row r="48" spans="1:11">
      <c r="A48">
        <v>30</v>
      </c>
      <c r="B48" t="s">
        <v>782</v>
      </c>
    </row>
    <row r="49" spans="1:2">
      <c r="A49">
        <v>30</v>
      </c>
      <c r="B49" t="s">
        <v>783</v>
      </c>
    </row>
    <row r="50" spans="1:2">
      <c r="A50">
        <v>30</v>
      </c>
      <c r="B50" t="s">
        <v>784</v>
      </c>
    </row>
    <row r="51" spans="1:2">
      <c r="A51">
        <v>30</v>
      </c>
      <c r="B51" t="s">
        <v>785</v>
      </c>
    </row>
    <row r="52" spans="1:2">
      <c r="A52">
        <v>30</v>
      </c>
      <c r="B52" t="s">
        <v>786</v>
      </c>
    </row>
    <row r="53" spans="1:2">
      <c r="A53">
        <v>30</v>
      </c>
      <c r="B53" t="s">
        <v>787</v>
      </c>
    </row>
    <row r="54" spans="1:2">
      <c r="A54">
        <v>30</v>
      </c>
      <c r="B54" t="s">
        <v>788</v>
      </c>
    </row>
    <row r="55" spans="1:2">
      <c r="A55">
        <v>30</v>
      </c>
      <c r="B55" t="s">
        <v>789</v>
      </c>
    </row>
    <row r="56" spans="1:2">
      <c r="A56">
        <v>30</v>
      </c>
      <c r="B56" t="s">
        <v>790</v>
      </c>
    </row>
    <row r="57" spans="1:2">
      <c r="A57">
        <v>30</v>
      </c>
      <c r="B57" t="s">
        <v>791</v>
      </c>
    </row>
    <row r="58" spans="1:2">
      <c r="A58">
        <v>30</v>
      </c>
      <c r="B58" t="s">
        <v>792</v>
      </c>
    </row>
    <row r="59" spans="1:2">
      <c r="A59">
        <v>30</v>
      </c>
      <c r="B59" t="s">
        <v>793</v>
      </c>
    </row>
    <row r="60" spans="1:2">
      <c r="A60">
        <v>30</v>
      </c>
      <c r="B60" t="s">
        <v>794</v>
      </c>
    </row>
    <row r="61" spans="1:2">
      <c r="A61">
        <v>30</v>
      </c>
      <c r="B61" t="s">
        <v>795</v>
      </c>
    </row>
    <row r="62" spans="1:2">
      <c r="A62">
        <v>30</v>
      </c>
      <c r="B62" t="s">
        <v>796</v>
      </c>
    </row>
    <row r="63" spans="1:2">
      <c r="A63">
        <v>30</v>
      </c>
      <c r="B63" t="s">
        <v>797</v>
      </c>
    </row>
    <row r="64" spans="1:2">
      <c r="A64">
        <v>30</v>
      </c>
      <c r="B64" t="s">
        <v>798</v>
      </c>
    </row>
    <row r="65" spans="1:2">
      <c r="A65">
        <v>30</v>
      </c>
      <c r="B65" t="s">
        <v>799</v>
      </c>
    </row>
    <row r="66" spans="1:2">
      <c r="A66">
        <v>30</v>
      </c>
      <c r="B66" t="s">
        <v>800</v>
      </c>
    </row>
    <row r="67" spans="1:2">
      <c r="A67">
        <v>30</v>
      </c>
      <c r="B67" t="s">
        <v>801</v>
      </c>
    </row>
    <row r="68" spans="1:2">
      <c r="A68">
        <v>30</v>
      </c>
      <c r="B68" t="s">
        <v>802</v>
      </c>
    </row>
    <row r="69" spans="1:2">
      <c r="A69">
        <v>30</v>
      </c>
      <c r="B69" t="s">
        <v>803</v>
      </c>
    </row>
    <row r="70" spans="1:2">
      <c r="A70">
        <v>30</v>
      </c>
      <c r="B70" t="s">
        <v>804</v>
      </c>
    </row>
    <row r="71" spans="1:2">
      <c r="A71">
        <v>30</v>
      </c>
      <c r="B71" t="s">
        <v>805</v>
      </c>
    </row>
    <row r="72" spans="1:2">
      <c r="A72">
        <v>30</v>
      </c>
      <c r="B72" t="s">
        <v>806</v>
      </c>
    </row>
    <row r="73" spans="1:2">
      <c r="A73">
        <v>30</v>
      </c>
      <c r="B73" t="s">
        <v>807</v>
      </c>
    </row>
    <row r="74" spans="1:2">
      <c r="A74">
        <v>30</v>
      </c>
      <c r="B74" t="s">
        <v>808</v>
      </c>
    </row>
    <row r="75" spans="1:2">
      <c r="A75">
        <v>30</v>
      </c>
      <c r="B75" t="s">
        <v>809</v>
      </c>
    </row>
    <row r="76" spans="1:2">
      <c r="A76">
        <v>30</v>
      </c>
      <c r="B76" t="s">
        <v>810</v>
      </c>
    </row>
    <row r="77" spans="1:2">
      <c r="A77">
        <v>30</v>
      </c>
      <c r="B77" t="s">
        <v>811</v>
      </c>
    </row>
    <row r="78" spans="1:2">
      <c r="A78">
        <v>30</v>
      </c>
      <c r="B78" t="s">
        <v>812</v>
      </c>
    </row>
    <row r="79" spans="1:2">
      <c r="A79">
        <v>30</v>
      </c>
      <c r="B79" t="s">
        <v>813</v>
      </c>
    </row>
    <row r="80" spans="1:2">
      <c r="A80">
        <v>30</v>
      </c>
      <c r="B80" t="s">
        <v>814</v>
      </c>
    </row>
    <row r="81" spans="1:2">
      <c r="A81">
        <v>30</v>
      </c>
      <c r="B81" t="s">
        <v>815</v>
      </c>
    </row>
    <row r="82" spans="1:2">
      <c r="A82">
        <v>30</v>
      </c>
      <c r="B82" t="s">
        <v>905</v>
      </c>
    </row>
    <row r="83" spans="1:2">
      <c r="A83">
        <v>30</v>
      </c>
      <c r="B83" t="s">
        <v>905</v>
      </c>
    </row>
    <row r="84" spans="1:2">
      <c r="A84">
        <v>30</v>
      </c>
      <c r="B84" t="s">
        <v>905</v>
      </c>
    </row>
    <row r="85" spans="1:2">
      <c r="A85">
        <v>30</v>
      </c>
      <c r="B85" t="s">
        <v>905</v>
      </c>
    </row>
    <row r="86" spans="1:2">
      <c r="A86">
        <v>30</v>
      </c>
      <c r="B86" t="s">
        <v>905</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88"/>
  <sheetViews>
    <sheetView workbookViewId="0">
      <selection activeCell="C44" sqref="C44"/>
    </sheetView>
  </sheetViews>
  <sheetFormatPr baseColWidth="10" defaultColWidth="8.7265625" defaultRowHeight="12.5"/>
  <cols>
    <col min="1" max="1" width="13" customWidth="1"/>
    <col min="2" max="2" width="41" customWidth="1"/>
    <col min="3" max="11" width="13" customWidth="1"/>
  </cols>
  <sheetData>
    <row r="1" spans="1:11">
      <c r="A1" t="s">
        <v>547</v>
      </c>
      <c r="B1" t="s">
        <v>553</v>
      </c>
      <c r="C1" t="s">
        <v>450</v>
      </c>
      <c r="D1" t="s">
        <v>429</v>
      </c>
      <c r="E1" t="s">
        <v>729</v>
      </c>
      <c r="F1" t="s">
        <v>730</v>
      </c>
      <c r="G1" t="s">
        <v>731</v>
      </c>
      <c r="H1" t="s">
        <v>732</v>
      </c>
      <c r="I1" t="s">
        <v>733</v>
      </c>
      <c r="J1" t="s">
        <v>734</v>
      </c>
      <c r="K1" t="s">
        <v>735</v>
      </c>
    </row>
    <row r="2" spans="1:11">
      <c r="A2">
        <v>30</v>
      </c>
      <c r="B2" t="s">
        <v>816</v>
      </c>
      <c r="C2">
        <v>0</v>
      </c>
      <c r="D2" s="512">
        <v>0</v>
      </c>
      <c r="E2" s="512">
        <v>0</v>
      </c>
      <c r="F2" s="512">
        <v>1530923926.8900001</v>
      </c>
      <c r="G2">
        <v>0</v>
      </c>
      <c r="H2" s="512">
        <v>0</v>
      </c>
      <c r="I2" s="512">
        <v>0</v>
      </c>
      <c r="J2" s="512">
        <v>0</v>
      </c>
      <c r="K2">
        <v>0</v>
      </c>
    </row>
    <row r="3" spans="1:11">
      <c r="A3">
        <v>30</v>
      </c>
      <c r="B3" t="s">
        <v>817</v>
      </c>
      <c r="C3">
        <v>0</v>
      </c>
      <c r="D3" s="512">
        <v>0</v>
      </c>
      <c r="E3" s="512">
        <v>0</v>
      </c>
      <c r="F3" s="512">
        <v>1573064644.3</v>
      </c>
      <c r="G3">
        <v>0</v>
      </c>
      <c r="H3" s="512">
        <v>0</v>
      </c>
      <c r="I3" s="512">
        <v>0</v>
      </c>
      <c r="J3" s="512">
        <v>0</v>
      </c>
      <c r="K3">
        <v>0</v>
      </c>
    </row>
    <row r="4" spans="1:11">
      <c r="A4">
        <v>30</v>
      </c>
      <c r="B4" t="s">
        <v>818</v>
      </c>
      <c r="C4">
        <v>4</v>
      </c>
      <c r="D4" s="512">
        <v>46022.55</v>
      </c>
      <c r="E4" s="512">
        <v>46022.55</v>
      </c>
      <c r="F4" s="512">
        <v>1639852343.6199999</v>
      </c>
      <c r="G4">
        <v>2.8065057307784487E-5</v>
      </c>
      <c r="H4" s="512">
        <v>-115.04</v>
      </c>
      <c r="I4" s="512">
        <v>-115.04</v>
      </c>
      <c r="J4" s="512">
        <v>46137.59</v>
      </c>
      <c r="K4">
        <v>2.8135209965398801E-5</v>
      </c>
    </row>
    <row r="5" spans="1:11">
      <c r="A5">
        <v>30</v>
      </c>
      <c r="B5" t="s">
        <v>819</v>
      </c>
      <c r="C5">
        <v>49</v>
      </c>
      <c r="D5" s="512">
        <v>798889.37</v>
      </c>
      <c r="E5" s="512">
        <v>844911.92</v>
      </c>
      <c r="F5" s="512">
        <v>1703252261.2</v>
      </c>
      <c r="G5">
        <v>4.9605800576171279E-4</v>
      </c>
      <c r="H5" s="512">
        <v>-427.84</v>
      </c>
      <c r="I5" s="512">
        <v>-542.88</v>
      </c>
      <c r="J5" s="512">
        <v>845454.8</v>
      </c>
      <c r="K5">
        <v>4.9637673717476706E-4</v>
      </c>
    </row>
    <row r="6" spans="1:11">
      <c r="A6">
        <v>30</v>
      </c>
      <c r="B6" t="s">
        <v>820</v>
      </c>
      <c r="C6">
        <v>114</v>
      </c>
      <c r="D6" s="512">
        <v>942733.47</v>
      </c>
      <c r="E6" s="512">
        <v>1787645.39</v>
      </c>
      <c r="F6" s="512">
        <v>1769613996.04</v>
      </c>
      <c r="G6">
        <v>1.0101894503549082E-3</v>
      </c>
      <c r="H6" s="512">
        <v>-2610.54</v>
      </c>
      <c r="I6" s="512">
        <v>-3153.42</v>
      </c>
      <c r="J6" s="512">
        <v>1790798.81</v>
      </c>
      <c r="K6">
        <v>1.0119714321922221E-3</v>
      </c>
    </row>
    <row r="7" spans="1:11">
      <c r="A7">
        <v>30</v>
      </c>
      <c r="B7" t="s">
        <v>821</v>
      </c>
      <c r="C7">
        <v>281</v>
      </c>
      <c r="D7" s="512">
        <v>2476697.0099999998</v>
      </c>
      <c r="E7" s="512">
        <v>4264342.4000000004</v>
      </c>
      <c r="F7" s="512">
        <v>1834804034.7</v>
      </c>
      <c r="G7">
        <v>2.3241405181983056E-3</v>
      </c>
      <c r="H7" s="512">
        <v>-3716.66</v>
      </c>
      <c r="I7" s="512">
        <v>-6870.08</v>
      </c>
      <c r="J7" s="512">
        <v>4271212.4800000004</v>
      </c>
      <c r="K7">
        <v>2.3278848308715245E-3</v>
      </c>
    </row>
    <row r="8" spans="1:11">
      <c r="A8">
        <v>30</v>
      </c>
      <c r="B8" t="s">
        <v>822</v>
      </c>
      <c r="C8">
        <v>450</v>
      </c>
      <c r="D8" s="512">
        <v>2769354.19</v>
      </c>
      <c r="E8" s="512">
        <v>7033696.5899999999</v>
      </c>
      <c r="F8" s="512">
        <v>1904318095.3</v>
      </c>
      <c r="G8">
        <v>3.6935513070845104E-3</v>
      </c>
      <c r="H8" s="512">
        <v>-282.43</v>
      </c>
      <c r="I8" s="512">
        <v>-7152.51</v>
      </c>
      <c r="J8" s="512">
        <v>7040849.0999999996</v>
      </c>
      <c r="K8">
        <v>3.6973072499690801E-3</v>
      </c>
    </row>
    <row r="9" spans="1:11">
      <c r="A9">
        <v>30</v>
      </c>
      <c r="B9" t="s">
        <v>823</v>
      </c>
      <c r="C9">
        <v>620</v>
      </c>
      <c r="D9" s="512">
        <v>2339166.89</v>
      </c>
      <c r="E9" s="512">
        <v>9372863.4800000004</v>
      </c>
      <c r="F9" s="512">
        <v>1968254549.1700001</v>
      </c>
      <c r="G9">
        <v>4.762017943234261E-3</v>
      </c>
      <c r="H9" s="512">
        <v>31600.55</v>
      </c>
      <c r="I9" s="512">
        <v>24448.04</v>
      </c>
      <c r="J9" s="512">
        <v>9348415.4399999995</v>
      </c>
      <c r="K9">
        <v>4.7495967652873795E-3</v>
      </c>
    </row>
    <row r="10" spans="1:11">
      <c r="A10">
        <v>30</v>
      </c>
      <c r="B10" t="s">
        <v>824</v>
      </c>
      <c r="C10">
        <v>857</v>
      </c>
      <c r="D10" s="512">
        <v>3512656.23</v>
      </c>
      <c r="E10" s="512">
        <v>12885519.710000001</v>
      </c>
      <c r="F10" s="512">
        <v>2030294501.03</v>
      </c>
      <c r="G10">
        <v>6.3466259222309755E-3</v>
      </c>
      <c r="H10" s="512">
        <v>54215.38</v>
      </c>
      <c r="I10" s="512">
        <v>78663.42</v>
      </c>
      <c r="J10" s="512">
        <v>12806856.289999999</v>
      </c>
      <c r="K10">
        <v>6.307881089912269E-3</v>
      </c>
    </row>
    <row r="11" spans="1:11">
      <c r="A11">
        <v>30</v>
      </c>
      <c r="B11" t="s">
        <v>825</v>
      </c>
      <c r="C11">
        <v>1135</v>
      </c>
      <c r="D11" s="512">
        <v>4005510.7</v>
      </c>
      <c r="E11" s="512">
        <v>16891030.41</v>
      </c>
      <c r="F11" s="512">
        <v>2091167323.3599999</v>
      </c>
      <c r="G11">
        <v>8.0773213225521345E-3</v>
      </c>
      <c r="H11" s="512">
        <v>44602.91</v>
      </c>
      <c r="I11" s="512">
        <v>123266.33</v>
      </c>
      <c r="J11" s="512">
        <v>16767764.08</v>
      </c>
      <c r="K11">
        <v>8.018375140377702E-3</v>
      </c>
    </row>
    <row r="12" spans="1:11">
      <c r="A12">
        <v>30</v>
      </c>
      <c r="B12" t="s">
        <v>826</v>
      </c>
      <c r="C12">
        <v>1384</v>
      </c>
      <c r="D12" s="512">
        <v>3472587.05</v>
      </c>
      <c r="E12" s="512">
        <v>20363617.460000001</v>
      </c>
      <c r="F12" s="512">
        <v>2147600572.6799998</v>
      </c>
      <c r="G12">
        <v>9.4820320496507206E-3</v>
      </c>
      <c r="H12" s="512">
        <v>53112.1</v>
      </c>
      <c r="I12" s="512">
        <v>176378.43</v>
      </c>
      <c r="J12" s="512">
        <v>20187239.030000001</v>
      </c>
      <c r="K12">
        <v>9.3999039145385675E-3</v>
      </c>
    </row>
    <row r="13" spans="1:11">
      <c r="A13">
        <v>30</v>
      </c>
      <c r="B13" t="s">
        <v>827</v>
      </c>
      <c r="C13">
        <v>1618</v>
      </c>
      <c r="D13" s="512">
        <v>3202444.37</v>
      </c>
      <c r="E13" s="512">
        <v>23566061.829999998</v>
      </c>
      <c r="F13" s="512">
        <v>2199852201.9899998</v>
      </c>
      <c r="G13">
        <v>1.0712565966332646E-2</v>
      </c>
      <c r="H13" s="512">
        <v>57580.25</v>
      </c>
      <c r="I13" s="512">
        <v>233958.68</v>
      </c>
      <c r="J13" s="512">
        <v>23332103.149999999</v>
      </c>
      <c r="K13">
        <v>1.0606213966962708E-2</v>
      </c>
    </row>
    <row r="14" spans="1:11">
      <c r="A14">
        <v>30</v>
      </c>
      <c r="B14" t="s">
        <v>828</v>
      </c>
      <c r="C14">
        <v>1884</v>
      </c>
      <c r="D14" s="512">
        <v>3348720.23</v>
      </c>
      <c r="E14" s="512">
        <v>26914782.059999999</v>
      </c>
      <c r="F14" s="512">
        <v>2199852201.9899998</v>
      </c>
      <c r="G14">
        <v>1.2234813791423226E-2</v>
      </c>
      <c r="H14" s="512">
        <v>116940.7</v>
      </c>
      <c r="I14" s="512">
        <v>350899.38</v>
      </c>
      <c r="J14" s="512">
        <v>26563882.68</v>
      </c>
      <c r="K14">
        <v>1.2075303357184703E-2</v>
      </c>
    </row>
    <row r="15" spans="1:11">
      <c r="A15">
        <v>30</v>
      </c>
      <c r="B15" t="s">
        <v>829</v>
      </c>
      <c r="C15">
        <v>2106</v>
      </c>
      <c r="D15" s="512">
        <v>2551115.7599999998</v>
      </c>
      <c r="E15" s="512">
        <v>29465897.82</v>
      </c>
      <c r="F15" s="512">
        <v>2199852201.9899998</v>
      </c>
      <c r="G15">
        <v>1.3394489772242411E-2</v>
      </c>
      <c r="H15" s="512">
        <v>107420.03</v>
      </c>
      <c r="I15" s="512">
        <v>458319.41</v>
      </c>
      <c r="J15" s="512">
        <v>29007578.41</v>
      </c>
      <c r="K15">
        <v>1.3186148771158156E-2</v>
      </c>
    </row>
    <row r="16" spans="1:11">
      <c r="A16">
        <v>30</v>
      </c>
      <c r="B16" t="s">
        <v>830</v>
      </c>
      <c r="C16">
        <v>2361</v>
      </c>
      <c r="D16" s="512">
        <v>3576495.51</v>
      </c>
      <c r="E16" s="512">
        <v>33042393.329999998</v>
      </c>
      <c r="F16" s="512">
        <v>2199852201.9899998</v>
      </c>
      <c r="G16">
        <v>1.5020278771505489E-2</v>
      </c>
      <c r="H16" s="512">
        <v>125351.28</v>
      </c>
      <c r="I16" s="512">
        <v>583670.68999999994</v>
      </c>
      <c r="J16" s="512">
        <v>32458722.640000001</v>
      </c>
      <c r="K16">
        <v>1.4754956087794278E-2</v>
      </c>
    </row>
    <row r="17" spans="1:11">
      <c r="A17">
        <v>30</v>
      </c>
      <c r="B17" t="s">
        <v>831</v>
      </c>
      <c r="C17">
        <v>2626</v>
      </c>
      <c r="D17" s="512">
        <v>3620315.08</v>
      </c>
      <c r="E17" s="512">
        <v>36662708.409999996</v>
      </c>
      <c r="F17" s="512">
        <v>2199852201.9899998</v>
      </c>
      <c r="G17">
        <v>1.6665987095330626E-2</v>
      </c>
      <c r="H17" s="512">
        <v>148305.12</v>
      </c>
      <c r="I17" s="512">
        <v>731975.81</v>
      </c>
      <c r="J17" s="512">
        <v>35930732.600000001</v>
      </c>
      <c r="K17">
        <v>1.6333248464372667E-2</v>
      </c>
    </row>
    <row r="18" spans="1:11">
      <c r="A18">
        <v>30</v>
      </c>
      <c r="B18" t="s">
        <v>832</v>
      </c>
      <c r="C18">
        <v>2922</v>
      </c>
      <c r="D18" s="512">
        <v>4739814.7300000004</v>
      </c>
      <c r="E18" s="512">
        <v>41402523.140000001</v>
      </c>
      <c r="F18" s="512">
        <v>2199852201.9899998</v>
      </c>
      <c r="G18">
        <v>1.8820593084638605E-2</v>
      </c>
      <c r="H18" s="512">
        <v>161562.97</v>
      </c>
      <c r="I18" s="512">
        <v>893538.78</v>
      </c>
      <c r="J18" s="512">
        <v>40508984.359999999</v>
      </c>
      <c r="K18">
        <v>1.8414411806100119E-2</v>
      </c>
    </row>
    <row r="19" spans="1:11">
      <c r="A19">
        <v>30</v>
      </c>
      <c r="B19" t="s">
        <v>833</v>
      </c>
      <c r="C19">
        <v>3114</v>
      </c>
      <c r="D19" s="512">
        <v>2601135.9900000002</v>
      </c>
      <c r="E19" s="512">
        <v>44003659.130000003</v>
      </c>
      <c r="F19" s="512">
        <v>2199852201.9899998</v>
      </c>
      <c r="G19">
        <v>2.0003007061198941E-2</v>
      </c>
      <c r="H19" s="512">
        <v>183618.21</v>
      </c>
      <c r="I19" s="512">
        <v>1077156.99</v>
      </c>
      <c r="J19" s="512">
        <v>42926502.140000001</v>
      </c>
      <c r="K19">
        <v>1.9513357352447781E-2</v>
      </c>
    </row>
    <row r="20" spans="1:11">
      <c r="A20">
        <v>30</v>
      </c>
      <c r="B20" t="s">
        <v>834</v>
      </c>
      <c r="C20">
        <v>3294</v>
      </c>
      <c r="D20" s="512">
        <v>4125454.55</v>
      </c>
      <c r="E20" s="512">
        <v>48129113.68</v>
      </c>
      <c r="F20" s="512">
        <v>2199852201.9899998</v>
      </c>
      <c r="G20">
        <v>2.1878339661392757E-2</v>
      </c>
      <c r="H20" s="512">
        <v>123736.46</v>
      </c>
      <c r="I20" s="512">
        <v>1200893.45</v>
      </c>
      <c r="J20" s="512">
        <v>46928220.229999997</v>
      </c>
      <c r="K20">
        <v>2.1332442328420263E-2</v>
      </c>
    </row>
    <row r="21" spans="1:11">
      <c r="A21">
        <v>30</v>
      </c>
      <c r="B21" t="s">
        <v>835</v>
      </c>
      <c r="C21">
        <v>3462</v>
      </c>
      <c r="D21" s="512">
        <v>3916813.43</v>
      </c>
      <c r="E21" s="512">
        <v>52045927.109999999</v>
      </c>
      <c r="F21" s="512">
        <v>2199852201.9899998</v>
      </c>
      <c r="G21">
        <v>2.3658829017203491E-2</v>
      </c>
      <c r="H21" s="512">
        <v>195382</v>
      </c>
      <c r="I21" s="512">
        <v>1396275.45</v>
      </c>
      <c r="J21" s="512">
        <v>50649651.659999996</v>
      </c>
      <c r="K21">
        <v>2.3024115717493208E-2</v>
      </c>
    </row>
    <row r="22" spans="1:11">
      <c r="A22">
        <v>30</v>
      </c>
      <c r="B22" t="s">
        <v>836</v>
      </c>
      <c r="C22">
        <v>3582</v>
      </c>
      <c r="D22" s="512">
        <v>3097352.93</v>
      </c>
      <c r="E22" s="512">
        <v>55143280.039999999</v>
      </c>
      <c r="F22" s="512">
        <v>2199852201.9899998</v>
      </c>
      <c r="G22">
        <v>2.5066811302194326E-2</v>
      </c>
      <c r="H22" s="512">
        <v>182808.87</v>
      </c>
      <c r="I22" s="512">
        <v>1579084.32</v>
      </c>
      <c r="J22" s="512">
        <v>53564195.719999999</v>
      </c>
      <c r="K22">
        <v>2.434899747880585E-2</v>
      </c>
    </row>
    <row r="23" spans="1:11">
      <c r="A23">
        <v>30</v>
      </c>
      <c r="B23" t="s">
        <v>837</v>
      </c>
      <c r="C23">
        <v>3839</v>
      </c>
      <c r="D23" s="512">
        <v>2947231.49</v>
      </c>
      <c r="E23" s="512">
        <v>58090511.530000001</v>
      </c>
      <c r="F23" s="512">
        <v>2199852201.9899998</v>
      </c>
      <c r="G23">
        <v>2.6406551984470124E-2</v>
      </c>
      <c r="H23" s="512">
        <v>188633.92</v>
      </c>
      <c r="I23" s="512">
        <v>1767718.24</v>
      </c>
      <c r="J23" s="512">
        <v>56322793.289999999</v>
      </c>
      <c r="K23">
        <v>2.5602989709513236E-2</v>
      </c>
    </row>
    <row r="24" spans="1:11">
      <c r="A24">
        <v>30</v>
      </c>
      <c r="B24" t="s">
        <v>838</v>
      </c>
      <c r="C24">
        <v>4049</v>
      </c>
      <c r="D24" s="512">
        <v>2729909.2</v>
      </c>
      <c r="E24" s="512">
        <v>60820420.729999997</v>
      </c>
      <c r="F24" s="512">
        <v>2199852201.9899998</v>
      </c>
      <c r="G24">
        <v>2.7647503170886427E-2</v>
      </c>
      <c r="H24" s="512">
        <v>177264.11</v>
      </c>
      <c r="I24" s="512">
        <v>1944982.35</v>
      </c>
      <c r="J24" s="512">
        <v>58875438.380000003</v>
      </c>
      <c r="K24">
        <v>2.6763360887036375E-2</v>
      </c>
    </row>
    <row r="25" spans="1:11">
      <c r="A25">
        <v>30</v>
      </c>
      <c r="B25" t="s">
        <v>839</v>
      </c>
      <c r="C25">
        <v>4292</v>
      </c>
      <c r="D25" s="512">
        <v>3469010.28</v>
      </c>
      <c r="E25" s="512">
        <v>64289431.009999998</v>
      </c>
      <c r="F25" s="512">
        <v>2199852201.9899998</v>
      </c>
      <c r="G25">
        <v>2.9224431964949005E-2</v>
      </c>
      <c r="H25" s="512">
        <v>855695.09</v>
      </c>
      <c r="I25" s="512">
        <v>2800677.44</v>
      </c>
      <c r="J25" s="512">
        <v>61488753.57</v>
      </c>
      <c r="K25">
        <v>2.7951311235535237E-2</v>
      </c>
    </row>
    <row r="26" spans="1:11">
      <c r="A26">
        <v>30</v>
      </c>
      <c r="B26" t="s">
        <v>840</v>
      </c>
      <c r="C26">
        <v>4509</v>
      </c>
      <c r="D26" s="512">
        <v>2718371.02</v>
      </c>
      <c r="E26" s="512">
        <v>67007802.030000001</v>
      </c>
      <c r="F26" s="512">
        <v>2199852201.9899998</v>
      </c>
      <c r="G26">
        <v>3.0460138171730055E-2</v>
      </c>
      <c r="H26" s="512">
        <v>323814.90000000002</v>
      </c>
      <c r="I26" s="512">
        <v>3124492.34</v>
      </c>
      <c r="J26" s="512">
        <v>63883309.689999998</v>
      </c>
      <c r="K26">
        <v>2.9039818962478835E-2</v>
      </c>
    </row>
    <row r="27" spans="1:11">
      <c r="A27">
        <v>30</v>
      </c>
      <c r="B27" t="s">
        <v>841</v>
      </c>
      <c r="C27">
        <v>4715</v>
      </c>
      <c r="D27" s="512">
        <v>2677698.63</v>
      </c>
      <c r="E27" s="512">
        <v>69685500.659999996</v>
      </c>
      <c r="F27" s="512">
        <v>2199852201.9899998</v>
      </c>
      <c r="G27">
        <v>3.167735568642388E-2</v>
      </c>
      <c r="H27" s="512">
        <v>211420.52</v>
      </c>
      <c r="I27" s="512">
        <v>3335912.86</v>
      </c>
      <c r="J27" s="512">
        <v>66349587.799999997</v>
      </c>
      <c r="K27">
        <v>3.0160929784273583E-2</v>
      </c>
    </row>
    <row r="28" spans="1:11">
      <c r="A28">
        <v>30</v>
      </c>
      <c r="B28" t="s">
        <v>842</v>
      </c>
      <c r="C28">
        <v>4952</v>
      </c>
      <c r="D28" s="512">
        <v>3320317.16</v>
      </c>
      <c r="E28" s="512">
        <v>73005817.819999993</v>
      </c>
      <c r="F28" s="512">
        <v>2199852201.9899998</v>
      </c>
      <c r="G28">
        <v>3.3186692157754279E-2</v>
      </c>
      <c r="H28" s="512">
        <v>222497.58</v>
      </c>
      <c r="I28" s="512">
        <v>3558410.44</v>
      </c>
      <c r="J28" s="512">
        <v>69447407.379999995</v>
      </c>
      <c r="K28">
        <v>3.1569124197151729E-2</v>
      </c>
    </row>
    <row r="29" spans="1:11">
      <c r="A29">
        <v>30</v>
      </c>
      <c r="B29" t="s">
        <v>843</v>
      </c>
      <c r="C29">
        <v>5121</v>
      </c>
      <c r="D29" s="512">
        <v>2101333.9900000002</v>
      </c>
      <c r="E29" s="512">
        <v>75107151.810000002</v>
      </c>
      <c r="F29" s="512">
        <v>2199852201.9899998</v>
      </c>
      <c r="G29">
        <v>3.4141908143673294E-2</v>
      </c>
      <c r="H29" s="512">
        <v>267936.64000000001</v>
      </c>
      <c r="I29" s="512">
        <v>3826347.08</v>
      </c>
      <c r="J29" s="512">
        <v>71280804.730000004</v>
      </c>
      <c r="K29">
        <v>3.2402542618780915E-2</v>
      </c>
    </row>
    <row r="30" spans="1:11">
      <c r="A30">
        <v>30</v>
      </c>
      <c r="B30" t="s">
        <v>844</v>
      </c>
      <c r="C30">
        <v>5317</v>
      </c>
      <c r="D30" s="512">
        <v>3155476.27</v>
      </c>
      <c r="E30" s="512">
        <v>78262628.079999998</v>
      </c>
      <c r="F30" s="512">
        <v>2199852201.9899998</v>
      </c>
      <c r="G30">
        <v>3.5576311903682961E-2</v>
      </c>
      <c r="H30" s="512">
        <v>298845.23</v>
      </c>
      <c r="I30" s="512">
        <v>4125192.31</v>
      </c>
      <c r="J30" s="512">
        <v>74137435.769999996</v>
      </c>
      <c r="K30">
        <v>3.3701098511497642E-2</v>
      </c>
    </row>
    <row r="31" spans="1:11">
      <c r="A31">
        <v>30</v>
      </c>
      <c r="B31" t="s">
        <v>845</v>
      </c>
      <c r="C31">
        <v>5480</v>
      </c>
      <c r="D31" s="512">
        <v>2087845.91</v>
      </c>
      <c r="E31" s="512">
        <v>80350473.989999995</v>
      </c>
      <c r="F31" s="512">
        <v>2199852201.9899998</v>
      </c>
      <c r="G31">
        <v>3.6525396532237242E-2</v>
      </c>
      <c r="H31" s="512">
        <v>251055.72</v>
      </c>
      <c r="I31" s="512">
        <v>4376248.03</v>
      </c>
      <c r="J31" s="512">
        <v>75974225.959999993</v>
      </c>
      <c r="K31">
        <v>3.4536059236740198E-2</v>
      </c>
    </row>
    <row r="32" spans="1:11">
      <c r="A32">
        <v>30</v>
      </c>
      <c r="B32" t="s">
        <v>846</v>
      </c>
      <c r="C32">
        <v>5645</v>
      </c>
      <c r="D32" s="512">
        <v>2478382.5499999998</v>
      </c>
      <c r="E32" s="512">
        <v>82828856.540000007</v>
      </c>
      <c r="F32" s="512">
        <v>2199852201.9899998</v>
      </c>
      <c r="G32">
        <v>3.7652009741869247E-2</v>
      </c>
      <c r="H32" s="512">
        <v>290789.95</v>
      </c>
      <c r="I32" s="512">
        <v>4667037.9800000004</v>
      </c>
      <c r="J32" s="512">
        <v>78161818.560000002</v>
      </c>
      <c r="K32">
        <v>3.5530486315987195E-2</v>
      </c>
    </row>
    <row r="33" spans="1:11">
      <c r="A33">
        <v>30</v>
      </c>
      <c r="B33" t="s">
        <v>847</v>
      </c>
      <c r="C33">
        <v>5793</v>
      </c>
      <c r="D33" s="512">
        <v>2558053.9300000002</v>
      </c>
      <c r="E33" s="512">
        <v>85386910.469999999</v>
      </c>
      <c r="F33" s="512">
        <v>2199852201.9899998</v>
      </c>
      <c r="G33">
        <v>3.88148396482084E-2</v>
      </c>
      <c r="H33" s="512">
        <v>251172.82</v>
      </c>
      <c r="I33" s="512">
        <v>4918210.8</v>
      </c>
      <c r="J33" s="512">
        <v>80468699.670000002</v>
      </c>
      <c r="K33">
        <v>3.6579139088165798E-2</v>
      </c>
    </row>
    <row r="34" spans="1:11">
      <c r="A34">
        <v>30</v>
      </c>
      <c r="B34" t="s">
        <v>848</v>
      </c>
      <c r="C34">
        <v>5972</v>
      </c>
      <c r="D34" s="512">
        <v>2983341.11</v>
      </c>
      <c r="E34" s="512">
        <v>88370251.579999998</v>
      </c>
      <c r="F34" s="512">
        <v>2199852201.9899998</v>
      </c>
      <c r="G34">
        <v>4.0170994896866132E-2</v>
      </c>
      <c r="H34" s="512">
        <v>268948.33</v>
      </c>
      <c r="I34" s="512">
        <v>5187159.13</v>
      </c>
      <c r="J34" s="512">
        <v>83183092.450000003</v>
      </c>
      <c r="K34">
        <v>3.781303688254696E-2</v>
      </c>
    </row>
    <row r="35" spans="1:11">
      <c r="A35">
        <v>30</v>
      </c>
      <c r="B35" t="s">
        <v>849</v>
      </c>
      <c r="C35">
        <v>6149</v>
      </c>
      <c r="D35" s="512">
        <v>2110073.96</v>
      </c>
      <c r="E35" s="512">
        <v>90480325.540000007</v>
      </c>
      <c r="F35" s="512">
        <v>2199852201.9899998</v>
      </c>
      <c r="G35">
        <v>4.1130183863329971E-2</v>
      </c>
      <c r="H35" s="512">
        <v>264450.23</v>
      </c>
      <c r="I35" s="512">
        <v>5451609.3600000003</v>
      </c>
      <c r="J35" s="512">
        <v>85028716.180000007</v>
      </c>
      <c r="K35">
        <v>3.8652013123010032E-2</v>
      </c>
    </row>
    <row r="36" spans="1:11">
      <c r="A36">
        <v>30</v>
      </c>
      <c r="B36" t="s">
        <v>850</v>
      </c>
      <c r="C36">
        <v>6323</v>
      </c>
      <c r="D36" s="512">
        <v>2218474.4900000002</v>
      </c>
      <c r="E36" s="512">
        <v>92698800.030000001</v>
      </c>
      <c r="F36" s="512">
        <v>2199852201.9899998</v>
      </c>
      <c r="G36">
        <v>4.2138649108401045E-2</v>
      </c>
      <c r="H36" s="512">
        <v>255064.08</v>
      </c>
      <c r="I36" s="512">
        <v>5706673.4400000004</v>
      </c>
      <c r="J36" s="512">
        <v>86992126.590000004</v>
      </c>
      <c r="K36">
        <v>3.9544532360540577E-2</v>
      </c>
    </row>
    <row r="37" spans="1:11">
      <c r="A37">
        <v>30</v>
      </c>
      <c r="B37" t="s">
        <v>851</v>
      </c>
      <c r="C37">
        <v>6507</v>
      </c>
      <c r="D37" s="512">
        <v>2153996.11</v>
      </c>
      <c r="E37" s="512">
        <v>94852796.140000001</v>
      </c>
      <c r="F37" s="512">
        <v>2199852201.9899998</v>
      </c>
      <c r="G37">
        <v>4.3117804029832354E-2</v>
      </c>
      <c r="H37" s="512">
        <v>318452.77</v>
      </c>
      <c r="I37" s="512">
        <v>6025126.21</v>
      </c>
      <c r="J37" s="512">
        <v>88827669.930000007</v>
      </c>
      <c r="K37">
        <v>4.0378926297705793E-2</v>
      </c>
    </row>
    <row r="38" spans="1:11">
      <c r="A38">
        <v>30</v>
      </c>
      <c r="B38" t="s">
        <v>852</v>
      </c>
      <c r="C38">
        <v>6683</v>
      </c>
      <c r="D38" s="512">
        <v>2034514.6</v>
      </c>
      <c r="E38" s="512">
        <v>96887310.739999995</v>
      </c>
      <c r="F38" s="512">
        <v>2199852201.9899998</v>
      </c>
      <c r="G38">
        <v>4.404264552516534E-2</v>
      </c>
      <c r="H38" s="512">
        <v>1503687.15</v>
      </c>
      <c r="I38" s="512">
        <v>7528813.3600000003</v>
      </c>
      <c r="J38" s="512">
        <v>89358497.379999995</v>
      </c>
      <c r="K38">
        <v>4.0620227713100789E-2</v>
      </c>
    </row>
    <row r="39" spans="1:11">
      <c r="A39">
        <v>30</v>
      </c>
      <c r="B39" t="s">
        <v>853</v>
      </c>
      <c r="C39">
        <v>6838</v>
      </c>
      <c r="D39" s="512">
        <v>1703965.02</v>
      </c>
      <c r="E39" s="512">
        <v>98591275.760000005</v>
      </c>
      <c r="F39" s="512">
        <v>2199852201.9899998</v>
      </c>
      <c r="G39">
        <v>4.4817227116809806E-2</v>
      </c>
      <c r="H39" s="512">
        <v>299397.59999999998</v>
      </c>
      <c r="I39" s="512">
        <v>7828210.96</v>
      </c>
      <c r="J39" s="512">
        <v>90763064.799999997</v>
      </c>
      <c r="K39">
        <v>4.1258710343310863E-2</v>
      </c>
    </row>
    <row r="40" spans="1:11">
      <c r="A40">
        <v>30</v>
      </c>
      <c r="B40" t="s">
        <v>854</v>
      </c>
      <c r="C40">
        <v>6992</v>
      </c>
      <c r="D40" s="512">
        <v>1577616.88</v>
      </c>
      <c r="E40" s="512">
        <v>100168892.64</v>
      </c>
      <c r="F40" s="512">
        <v>2199852201.9899998</v>
      </c>
      <c r="G40">
        <v>4.5534373877202557E-2</v>
      </c>
      <c r="H40" s="512">
        <v>269998.09000000003</v>
      </c>
      <c r="I40" s="512">
        <v>8098209.0499999998</v>
      </c>
      <c r="J40" s="512">
        <v>92070683.590000004</v>
      </c>
      <c r="K40">
        <v>4.1853122453732239E-2</v>
      </c>
    </row>
    <row r="41" spans="1:11">
      <c r="A41">
        <v>30</v>
      </c>
      <c r="B41" t="s">
        <v>855</v>
      </c>
      <c r="C41">
        <v>7153</v>
      </c>
      <c r="D41" s="512">
        <v>2211701.37</v>
      </c>
      <c r="E41" s="512">
        <v>102380594.01000001</v>
      </c>
      <c r="F41" s="512">
        <v>2199852201.9899998</v>
      </c>
      <c r="G41">
        <v>4.6539760224521387E-2</v>
      </c>
      <c r="H41" s="512">
        <v>357224.63</v>
      </c>
      <c r="I41" s="512">
        <v>8455433.6799999997</v>
      </c>
      <c r="J41" s="512">
        <v>93925160.329999998</v>
      </c>
      <c r="K41">
        <v>4.2696123060010444E-2</v>
      </c>
    </row>
    <row r="42" spans="1:11">
      <c r="A42">
        <v>30</v>
      </c>
      <c r="B42" t="s">
        <v>856</v>
      </c>
      <c r="C42">
        <v>7296</v>
      </c>
      <c r="D42" s="512">
        <v>1641620.26</v>
      </c>
      <c r="E42" s="512">
        <v>104022214.27</v>
      </c>
      <c r="F42" s="512">
        <v>2199852201.9899998</v>
      </c>
      <c r="G42">
        <v>4.7286001384957067E-2</v>
      </c>
      <c r="H42" s="512">
        <v>269193.65999999997</v>
      </c>
      <c r="I42" s="512">
        <v>8724627.3399999999</v>
      </c>
      <c r="J42" s="512">
        <v>95297586.930000007</v>
      </c>
      <c r="K42">
        <v>4.3319995245041099E-2</v>
      </c>
    </row>
    <row r="43" spans="1:11">
      <c r="A43">
        <v>30</v>
      </c>
      <c r="B43" t="s">
        <v>857</v>
      </c>
      <c r="C43">
        <v>7445</v>
      </c>
      <c r="D43" s="512">
        <v>1325771.94</v>
      </c>
      <c r="E43" s="512">
        <v>105347986.20999999</v>
      </c>
      <c r="F43" s="512">
        <v>2199852201.9899998</v>
      </c>
      <c r="G43">
        <v>4.7888665481572598E-2</v>
      </c>
      <c r="H43" s="512">
        <v>388220.05</v>
      </c>
      <c r="I43" s="512">
        <v>9112847.3900000006</v>
      </c>
      <c r="J43" s="512">
        <v>96235138.819999993</v>
      </c>
      <c r="K43">
        <v>4.3746183826779403E-2</v>
      </c>
    </row>
    <row r="44" spans="1:11">
      <c r="A44">
        <v>30</v>
      </c>
      <c r="B44" t="s">
        <v>858</v>
      </c>
      <c r="C44">
        <v>7575</v>
      </c>
      <c r="D44" s="512">
        <v>1410119.14</v>
      </c>
      <c r="E44" s="512">
        <v>106758105.34999999</v>
      </c>
      <c r="F44" s="512">
        <v>2199852201.9899998</v>
      </c>
      <c r="G44">
        <v>4.8529671790416624E-2</v>
      </c>
      <c r="H44" s="512">
        <v>291125.95</v>
      </c>
      <c r="I44" s="512">
        <v>9403973.3399999999</v>
      </c>
      <c r="J44" s="512">
        <v>97354132.010000005</v>
      </c>
      <c r="K44">
        <v>4.4254851267704634E-2</v>
      </c>
    </row>
    <row r="45" spans="1:11">
      <c r="A45">
        <v>30</v>
      </c>
      <c r="B45" t="s">
        <v>859</v>
      </c>
    </row>
    <row r="46" spans="1:11">
      <c r="A46">
        <v>30</v>
      </c>
      <c r="B46" t="s">
        <v>860</v>
      </c>
    </row>
    <row r="47" spans="1:11">
      <c r="A47">
        <v>30</v>
      </c>
      <c r="B47" t="s">
        <v>861</v>
      </c>
    </row>
    <row r="48" spans="1:11">
      <c r="A48">
        <v>30</v>
      </c>
      <c r="B48" t="s">
        <v>862</v>
      </c>
    </row>
    <row r="49" spans="1:2">
      <c r="A49">
        <v>30</v>
      </c>
      <c r="B49" t="s">
        <v>863</v>
      </c>
    </row>
    <row r="50" spans="1:2">
      <c r="A50">
        <v>30</v>
      </c>
      <c r="B50" t="s">
        <v>864</v>
      </c>
    </row>
    <row r="51" spans="1:2">
      <c r="A51">
        <v>30</v>
      </c>
      <c r="B51" t="s">
        <v>865</v>
      </c>
    </row>
    <row r="52" spans="1:2">
      <c r="A52">
        <v>30</v>
      </c>
      <c r="B52" t="s">
        <v>866</v>
      </c>
    </row>
    <row r="53" spans="1:2">
      <c r="A53">
        <v>30</v>
      </c>
      <c r="B53" t="s">
        <v>867</v>
      </c>
    </row>
    <row r="54" spans="1:2">
      <c r="A54">
        <v>30</v>
      </c>
      <c r="B54" t="s">
        <v>868</v>
      </c>
    </row>
    <row r="55" spans="1:2">
      <c r="A55">
        <v>30</v>
      </c>
      <c r="B55" t="s">
        <v>869</v>
      </c>
    </row>
    <row r="56" spans="1:2">
      <c r="A56">
        <v>30</v>
      </c>
      <c r="B56" t="s">
        <v>870</v>
      </c>
    </row>
    <row r="57" spans="1:2">
      <c r="A57">
        <v>30</v>
      </c>
      <c r="B57" t="s">
        <v>871</v>
      </c>
    </row>
    <row r="58" spans="1:2">
      <c r="A58">
        <v>30</v>
      </c>
      <c r="B58" t="s">
        <v>872</v>
      </c>
    </row>
    <row r="59" spans="1:2">
      <c r="A59">
        <v>30</v>
      </c>
      <c r="B59" t="s">
        <v>873</v>
      </c>
    </row>
    <row r="60" spans="1:2">
      <c r="A60">
        <v>30</v>
      </c>
      <c r="B60" t="s">
        <v>874</v>
      </c>
    </row>
    <row r="61" spans="1:2">
      <c r="A61">
        <v>30</v>
      </c>
      <c r="B61" t="s">
        <v>875</v>
      </c>
    </row>
    <row r="62" spans="1:2">
      <c r="A62">
        <v>30</v>
      </c>
      <c r="B62" t="s">
        <v>876</v>
      </c>
    </row>
    <row r="63" spans="1:2">
      <c r="A63">
        <v>30</v>
      </c>
      <c r="B63" t="s">
        <v>877</v>
      </c>
    </row>
    <row r="64" spans="1:2">
      <c r="A64">
        <v>30</v>
      </c>
      <c r="B64" t="s">
        <v>878</v>
      </c>
    </row>
    <row r="65" spans="1:2">
      <c r="A65">
        <v>30</v>
      </c>
      <c r="B65" t="s">
        <v>879</v>
      </c>
    </row>
    <row r="66" spans="1:2">
      <c r="A66">
        <v>30</v>
      </c>
      <c r="B66" t="s">
        <v>880</v>
      </c>
    </row>
    <row r="67" spans="1:2">
      <c r="A67">
        <v>30</v>
      </c>
      <c r="B67" t="s">
        <v>881</v>
      </c>
    </row>
    <row r="68" spans="1:2">
      <c r="A68">
        <v>30</v>
      </c>
      <c r="B68" t="s">
        <v>882</v>
      </c>
    </row>
    <row r="69" spans="1:2">
      <c r="A69">
        <v>30</v>
      </c>
      <c r="B69" t="s">
        <v>883</v>
      </c>
    </row>
    <row r="70" spans="1:2">
      <c r="A70">
        <v>30</v>
      </c>
      <c r="B70" t="s">
        <v>884</v>
      </c>
    </row>
    <row r="71" spans="1:2">
      <c r="A71">
        <v>30</v>
      </c>
      <c r="B71" t="s">
        <v>885</v>
      </c>
    </row>
    <row r="72" spans="1:2">
      <c r="A72">
        <v>30</v>
      </c>
      <c r="B72" t="s">
        <v>886</v>
      </c>
    </row>
    <row r="73" spans="1:2">
      <c r="A73">
        <v>30</v>
      </c>
      <c r="B73" t="s">
        <v>887</v>
      </c>
    </row>
    <row r="74" spans="1:2">
      <c r="A74">
        <v>30</v>
      </c>
      <c r="B74" t="s">
        <v>888</v>
      </c>
    </row>
    <row r="75" spans="1:2">
      <c r="A75">
        <v>30</v>
      </c>
      <c r="B75" t="s">
        <v>889</v>
      </c>
    </row>
    <row r="76" spans="1:2">
      <c r="A76">
        <v>30</v>
      </c>
      <c r="B76" t="s">
        <v>890</v>
      </c>
    </row>
    <row r="77" spans="1:2">
      <c r="A77">
        <v>30</v>
      </c>
      <c r="B77" t="s">
        <v>891</v>
      </c>
    </row>
    <row r="78" spans="1:2">
      <c r="A78">
        <v>30</v>
      </c>
      <c r="B78" t="s">
        <v>892</v>
      </c>
    </row>
    <row r="79" spans="1:2">
      <c r="A79">
        <v>30</v>
      </c>
      <c r="B79" t="s">
        <v>893</v>
      </c>
    </row>
    <row r="80" spans="1:2">
      <c r="A80">
        <v>30</v>
      </c>
      <c r="B80" t="s">
        <v>894</v>
      </c>
    </row>
    <row r="81" spans="1:2">
      <c r="A81">
        <v>30</v>
      </c>
      <c r="B81" t="s">
        <v>895</v>
      </c>
    </row>
    <row r="82" spans="1:2">
      <c r="A82">
        <v>30</v>
      </c>
      <c r="B82" t="s">
        <v>906</v>
      </c>
    </row>
    <row r="83" spans="1:2">
      <c r="A83">
        <v>30</v>
      </c>
      <c r="B83" t="s">
        <v>906</v>
      </c>
    </row>
    <row r="84" spans="1:2">
      <c r="A84">
        <v>30</v>
      </c>
      <c r="B84" t="s">
        <v>906</v>
      </c>
    </row>
    <row r="85" spans="1:2">
      <c r="A85">
        <v>30</v>
      </c>
      <c r="B85" t="s">
        <v>906</v>
      </c>
    </row>
    <row r="86" spans="1:2">
      <c r="A86">
        <v>30</v>
      </c>
      <c r="B86" t="s">
        <v>906</v>
      </c>
    </row>
    <row r="87" spans="1:2">
      <c r="A87">
        <v>30</v>
      </c>
      <c r="B87" t="s">
        <v>906</v>
      </c>
    </row>
    <row r="88" spans="1:2">
      <c r="A88">
        <v>30</v>
      </c>
      <c r="B88" t="s">
        <v>906</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4" customWidth="1"/>
    <col min="2" max="2" width="60.81640625" style="104" customWidth="1"/>
    <col min="3" max="3" width="14.81640625" style="104" customWidth="1"/>
    <col min="4" max="4" width="20.81640625" style="104" customWidth="1"/>
    <col min="5" max="5" width="4.81640625" style="104" customWidth="1"/>
    <col min="6" max="6" width="18.81640625" style="104" customWidth="1"/>
    <col min="7" max="7" width="4.81640625" style="104" customWidth="1"/>
    <col min="8" max="8" width="18.81640625" style="104" customWidth="1"/>
    <col min="9" max="9" width="4.81640625" style="104" customWidth="1"/>
    <col min="10" max="10" width="18.81640625" style="104" customWidth="1"/>
    <col min="11" max="11" width="1.1796875" style="104" customWidth="1"/>
    <col min="12" max="16384" width="9.1796875" style="104"/>
  </cols>
  <sheetData>
    <row r="1" spans="1:13" ht="6" customHeight="1">
      <c r="A1" s="98"/>
      <c r="B1" s="99"/>
      <c r="C1" s="99"/>
      <c r="D1" s="99"/>
      <c r="E1" s="99"/>
      <c r="F1" s="99"/>
      <c r="G1" s="99"/>
      <c r="H1" s="99"/>
      <c r="I1" s="99"/>
      <c r="J1" s="99"/>
      <c r="K1" s="100"/>
    </row>
    <row r="2" spans="1:13" ht="18">
      <c r="A2" s="102"/>
      <c r="B2" s="103" t="str">
        <f>'Cover Sheet'!B2</f>
        <v>SC Germany Consumer 2021-1</v>
      </c>
      <c r="C2" s="103"/>
      <c r="D2" s="105" t="str">
        <f>'Cover Sheet'!D2</f>
        <v>Calculation Date</v>
      </c>
      <c r="E2" s="106"/>
      <c r="F2" s="107">
        <f>'Cover Sheet'!F2</f>
        <v>45820</v>
      </c>
      <c r="G2" s="106"/>
      <c r="H2" s="106"/>
      <c r="I2" s="106"/>
      <c r="J2" s="108"/>
      <c r="K2" s="109"/>
      <c r="L2" s="133"/>
    </row>
    <row r="3" spans="1:13" ht="18">
      <c r="A3" s="102"/>
      <c r="B3" s="103" t="str">
        <f>'Cover Sheet'!B3</f>
        <v>Monthly Investor Report</v>
      </c>
      <c r="C3" s="103"/>
      <c r="D3" s="111" t="str">
        <f>'Cover Sheet'!D3</f>
        <v>Payment Date</v>
      </c>
      <c r="E3" s="112"/>
      <c r="F3" s="113">
        <f>'Cover Sheet'!F3</f>
        <v>45824</v>
      </c>
      <c r="G3" s="112"/>
      <c r="H3" s="112"/>
      <c r="I3" s="112"/>
      <c r="J3" s="114"/>
      <c r="K3" s="109"/>
      <c r="L3" s="134"/>
    </row>
    <row r="4" spans="1:13" ht="13">
      <c r="A4" s="102"/>
      <c r="B4" s="115"/>
      <c r="C4" s="157"/>
      <c r="D4" s="111" t="str">
        <f>'Cover Sheet'!D4</f>
        <v>Period  No</v>
      </c>
      <c r="E4" s="112"/>
      <c r="F4" s="116">
        <f>'Cover Sheet'!F4</f>
        <v>43</v>
      </c>
      <c r="G4" s="112"/>
      <c r="H4" s="117"/>
      <c r="I4" s="112"/>
      <c r="J4" s="118"/>
      <c r="K4" s="109"/>
      <c r="L4" s="133"/>
    </row>
    <row r="5" spans="1:13" ht="18">
      <c r="A5" s="102"/>
      <c r="B5" s="119" t="s">
        <v>44</v>
      </c>
      <c r="C5" s="119"/>
      <c r="D5" s="111" t="str">
        <f>'Cover Sheet'!D5</f>
        <v>Monthly Period</v>
      </c>
      <c r="E5" s="112"/>
      <c r="F5" s="120">
        <f>'Cover Sheet'!F5</f>
        <v>45824</v>
      </c>
      <c r="G5" s="112"/>
      <c r="H5" s="117"/>
      <c r="I5" s="112"/>
      <c r="J5" s="118"/>
      <c r="K5" s="109"/>
      <c r="L5" s="134"/>
    </row>
    <row r="6" spans="1:13" s="101" customFormat="1" ht="15" customHeight="1">
      <c r="A6" s="102"/>
      <c r="B6" s="121"/>
      <c r="C6" s="110"/>
      <c r="D6" s="111" t="str">
        <f>'Cover Sheet'!D6</f>
        <v>Interest Period</v>
      </c>
      <c r="E6" s="122" t="str">
        <f>'Cover Sheet'!E6</f>
        <v>from</v>
      </c>
      <c r="F6" s="113">
        <f>'Cover Sheet'!F6</f>
        <v>45791</v>
      </c>
      <c r="G6" s="122" t="str">
        <f>'Cover Sheet'!G6</f>
        <v>to</v>
      </c>
      <c r="H6" s="113">
        <f>'Cover Sheet'!H6</f>
        <v>45824</v>
      </c>
      <c r="I6" s="122" t="str">
        <f>'Cover Sheet'!I6</f>
        <v>=</v>
      </c>
      <c r="J6" s="123" t="str">
        <f>'Cover Sheet'!J6</f>
        <v>33 days</v>
      </c>
      <c r="K6" s="124"/>
      <c r="M6" s="125"/>
    </row>
    <row r="7" spans="1:13" ht="13">
      <c r="A7" s="102"/>
      <c r="D7" s="126" t="str">
        <f>'Cover Sheet'!D7</f>
        <v>Collection Period</v>
      </c>
      <c r="E7" s="127" t="str">
        <f>'Cover Sheet'!E7</f>
        <v>from</v>
      </c>
      <c r="F7" s="128" t="str">
        <f>'Cover Sheet'!F7</f>
        <v>01.05.2025</v>
      </c>
      <c r="G7" s="127" t="str">
        <f>'Cover Sheet'!G7</f>
        <v>to</v>
      </c>
      <c r="H7" s="128">
        <f>'Cover Sheet'!H7</f>
        <v>45808</v>
      </c>
      <c r="I7" s="359"/>
      <c r="J7" s="165"/>
      <c r="K7" s="109"/>
      <c r="L7" s="134"/>
    </row>
    <row r="8" spans="1:13" ht="13">
      <c r="A8" s="102"/>
      <c r="D8" s="133"/>
      <c r="E8" s="132"/>
      <c r="F8" s="133"/>
      <c r="H8" s="166"/>
      <c r="J8" s="134"/>
      <c r="K8" s="109"/>
    </row>
    <row r="9" spans="1:13">
      <c r="A9" s="102"/>
      <c r="K9" s="109"/>
    </row>
    <row r="10" spans="1:13">
      <c r="A10" s="102"/>
      <c r="K10" s="109"/>
    </row>
    <row r="11" spans="1:13" ht="18" customHeight="1">
      <c r="A11" s="102"/>
      <c r="K11" s="109"/>
    </row>
    <row r="12" spans="1:13">
      <c r="A12" s="102"/>
      <c r="K12" s="109"/>
    </row>
    <row r="13" spans="1:13" ht="18">
      <c r="A13" s="102"/>
      <c r="B13" s="103"/>
      <c r="D13" s="882"/>
      <c r="F13" s="132"/>
      <c r="K13" s="109"/>
    </row>
    <row r="14" spans="1:13">
      <c r="A14" s="102"/>
      <c r="D14" s="883"/>
      <c r="K14" s="109"/>
    </row>
    <row r="15" spans="1:13">
      <c r="A15" s="102"/>
      <c r="D15" s="883"/>
      <c r="K15" s="109"/>
    </row>
    <row r="16" spans="1:13">
      <c r="A16" s="102"/>
      <c r="D16" s="883"/>
      <c r="K16" s="109"/>
    </row>
    <row r="17" spans="1:11" ht="18">
      <c r="A17" s="102"/>
      <c r="B17" s="103" t="s">
        <v>11</v>
      </c>
      <c r="D17" s="883"/>
      <c r="F17" s="132"/>
      <c r="K17" s="109"/>
    </row>
    <row r="18" spans="1:11" ht="13">
      <c r="A18" s="102"/>
      <c r="B18" s="141" t="s">
        <v>189</v>
      </c>
      <c r="C18" s="135" t="s">
        <v>8</v>
      </c>
      <c r="D18" s="882"/>
      <c r="F18" s="134" t="s">
        <v>42</v>
      </c>
      <c r="K18" s="109"/>
    </row>
    <row r="19" spans="1:11">
      <c r="A19" s="102"/>
      <c r="B19" s="104" t="s">
        <v>13</v>
      </c>
      <c r="C19" s="884">
        <f>IF(ISNUMBER('5. Outstanding Notes'!C27),D19/'5. Outstanding Notes'!C27,"")</f>
        <v>9.9777628557538647E-3</v>
      </c>
      <c r="D19" s="885">
        <f>VLOOKUP("Liquidity_Reserve_bop",calcdata_21,2,0)</f>
        <v>4993955.25</v>
      </c>
      <c r="F19" s="132"/>
      <c r="K19" s="109"/>
    </row>
    <row r="20" spans="1:11">
      <c r="A20" s="102"/>
      <c r="B20" s="104" t="s">
        <v>84</v>
      </c>
      <c r="D20" s="885">
        <f>VLOOKUP("Liquidity_Reserve_cashout",calcdata_21,2,0)</f>
        <v>4993955.25</v>
      </c>
      <c r="F20" s="132"/>
      <c r="K20" s="109"/>
    </row>
    <row r="21" spans="1:11">
      <c r="A21" s="102"/>
      <c r="B21" s="104" t="s">
        <v>430</v>
      </c>
      <c r="D21" s="885">
        <f>MAX(0,(D19-D25))</f>
        <v>8955.25</v>
      </c>
      <c r="F21" s="132"/>
      <c r="K21" s="109"/>
    </row>
    <row r="22" spans="1:11">
      <c r="A22" s="102"/>
      <c r="D22" s="885"/>
      <c r="F22" s="132"/>
      <c r="K22" s="109"/>
    </row>
    <row r="23" spans="1:11">
      <c r="A23" s="102"/>
      <c r="B23" s="104" t="s">
        <v>85</v>
      </c>
      <c r="D23" s="885">
        <f>VLOOKUP("Liquidity_Reserve_cashin",calcdata_21,2,0)</f>
        <v>4985000</v>
      </c>
      <c r="F23" s="132"/>
      <c r="K23" s="109"/>
    </row>
    <row r="24" spans="1:11">
      <c r="A24" s="102"/>
      <c r="B24" s="104" t="s">
        <v>14</v>
      </c>
      <c r="C24" s="884">
        <f>IF(ISNUMBER(D24),D24/'5. Outstanding Notes'!C33,"")</f>
        <v>1.0376697630269244E-2</v>
      </c>
      <c r="D24" s="885">
        <f>VLOOKUP("Liquidity_Reserve_eop",calcdata_21,2,0)</f>
        <v>4985000</v>
      </c>
      <c r="F24" s="132"/>
      <c r="K24" s="109"/>
    </row>
    <row r="25" spans="1:11">
      <c r="A25" s="102"/>
      <c r="B25" s="104" t="s">
        <v>351</v>
      </c>
      <c r="C25" s="884">
        <f>IF(ISNUMBER(D25),D25/'5. Outstanding Notes'!C33,"")</f>
        <v>1.0376697630269244E-2</v>
      </c>
      <c r="D25" s="885">
        <f>VLOOKUP("Liquidity_Reserve_fund",calcdata_21,2,0)</f>
        <v>4985000</v>
      </c>
      <c r="F25" s="132"/>
      <c r="K25" s="109"/>
    </row>
    <row r="26" spans="1:11">
      <c r="A26" s="102"/>
      <c r="D26" s="883"/>
      <c r="F26" s="132"/>
      <c r="K26" s="109"/>
    </row>
    <row r="27" spans="1:11" ht="13">
      <c r="A27" s="102"/>
      <c r="B27" s="141" t="s">
        <v>10</v>
      </c>
      <c r="C27" s="135" t="s">
        <v>8</v>
      </c>
      <c r="D27" s="981" t="str">
        <f>VLOOKUP("Com_Reserve_bop",calcdata_21,4,0)</f>
        <v>n/a</v>
      </c>
      <c r="F27" s="132" t="s">
        <v>43</v>
      </c>
      <c r="K27" s="109"/>
    </row>
    <row r="28" spans="1:11">
      <c r="A28" s="102"/>
      <c r="B28" s="104" t="s">
        <v>13</v>
      </c>
      <c r="C28" s="886" t="str">
        <f>IF(AND(ISNUMBER('5. Outstanding Notes'!C27),ISNUMBER(D28)),D28/'5. Outstanding Notes'!C27,"")</f>
        <v/>
      </c>
      <c r="D28" s="309" t="str">
        <f>VLOOKUP("Com_Reserve_cashout",calcdata_21,4,0)</f>
        <v>n/a</v>
      </c>
      <c r="F28" s="132"/>
      <c r="K28" s="109"/>
    </row>
    <row r="29" spans="1:11">
      <c r="A29" s="102"/>
      <c r="B29" s="104" t="s">
        <v>84</v>
      </c>
      <c r="C29" s="886"/>
      <c r="D29" s="309" t="s">
        <v>242</v>
      </c>
      <c r="F29" s="132"/>
      <c r="K29" s="109"/>
    </row>
    <row r="30" spans="1:11">
      <c r="A30" s="102"/>
      <c r="B30" s="104" t="s">
        <v>353</v>
      </c>
      <c r="C30" s="886"/>
      <c r="D30" s="309"/>
      <c r="F30" s="132"/>
      <c r="K30" s="109"/>
    </row>
    <row r="31" spans="1:11">
      <c r="A31" s="102"/>
      <c r="B31" s="104" t="s">
        <v>392</v>
      </c>
      <c r="C31" s="886"/>
      <c r="D31" s="309" t="str">
        <f>VLOOKUP("Com_Reserve_cashin",calcdata_21,4,0)</f>
        <v>n/a</v>
      </c>
      <c r="F31" s="132"/>
      <c r="K31" s="109"/>
    </row>
    <row r="32" spans="1:11">
      <c r="A32" s="102"/>
      <c r="B32" s="104" t="s">
        <v>85</v>
      </c>
      <c r="C32" s="886"/>
      <c r="D32" s="309" t="str">
        <f>VLOOKUP("Com_Reserve_eop",calcdata_21,4,0)</f>
        <v>n/a</v>
      </c>
      <c r="F32" s="132"/>
      <c r="K32" s="109"/>
    </row>
    <row r="33" spans="1:11">
      <c r="A33" s="102"/>
      <c r="B33" s="104" t="s">
        <v>14</v>
      </c>
      <c r="C33" s="886" t="str">
        <f>IF(AND(ISNUMBER('5. Outstanding Notes'!C33),ISNUMBER(D33)),D33/'5. Outstanding Notes'!C33,"")</f>
        <v/>
      </c>
      <c r="D33" s="309" t="s">
        <v>242</v>
      </c>
      <c r="F33" s="132"/>
      <c r="K33" s="109"/>
    </row>
    <row r="34" spans="1:11">
      <c r="A34" s="102"/>
      <c r="B34" s="104" t="s">
        <v>352</v>
      </c>
      <c r="C34" s="886"/>
      <c r="D34" s="309"/>
      <c r="F34" s="132"/>
      <c r="K34" s="109"/>
    </row>
    <row r="35" spans="1:11">
      <c r="A35" s="102"/>
      <c r="B35" s="142"/>
      <c r="D35" s="980"/>
      <c r="F35" s="132"/>
      <c r="K35" s="109"/>
    </row>
    <row r="36" spans="1:11" ht="13">
      <c r="A36" s="102"/>
      <c r="B36" s="141" t="s">
        <v>177</v>
      </c>
      <c r="C36" s="135" t="s">
        <v>8</v>
      </c>
      <c r="D36" s="21"/>
      <c r="F36" s="132" t="s">
        <v>43</v>
      </c>
      <c r="K36" s="109"/>
    </row>
    <row r="37" spans="1:11">
      <c r="A37" s="102"/>
      <c r="B37" s="104" t="s">
        <v>13</v>
      </c>
      <c r="C37" s="886" t="str">
        <f>IF(AND(ISNUMBER('5. Outstanding Notes'!C27),ISNUMBER(D38)),D38/'5. Outstanding Notes'!C27,"")</f>
        <v/>
      </c>
      <c r="D37" s="981" t="str">
        <f>VLOOKUP("Setoff_Reserve_bop",calcdata_21,4,0)</f>
        <v>n/a</v>
      </c>
      <c r="F37" s="887"/>
      <c r="K37" s="109"/>
    </row>
    <row r="38" spans="1:11">
      <c r="A38" s="102"/>
      <c r="B38" s="104" t="s">
        <v>84</v>
      </c>
      <c r="D38" s="309" t="str">
        <f>VLOOKUP("Setoff_Reserve_cashout",calcdata_21,4,0)</f>
        <v>n/a</v>
      </c>
      <c r="F38" s="138"/>
      <c r="K38" s="109"/>
    </row>
    <row r="39" spans="1:11">
      <c r="A39" s="102"/>
      <c r="B39" s="104" t="s">
        <v>390</v>
      </c>
      <c r="D39" s="309"/>
      <c r="F39" s="138"/>
      <c r="K39" s="109"/>
    </row>
    <row r="40" spans="1:11">
      <c r="A40" s="102"/>
      <c r="B40" s="104" t="s">
        <v>391</v>
      </c>
      <c r="D40" s="21"/>
      <c r="F40" s="138"/>
      <c r="K40" s="109"/>
    </row>
    <row r="41" spans="1:11">
      <c r="A41" s="102"/>
      <c r="B41" s="104" t="s">
        <v>85</v>
      </c>
      <c r="D41" s="309" t="str">
        <f>VLOOKUP("Setoff_Reserve_cashin",calcdata_21,4,0)</f>
        <v>n/a</v>
      </c>
      <c r="F41" s="138"/>
      <c r="K41" s="109"/>
    </row>
    <row r="42" spans="1:11">
      <c r="A42" s="102"/>
      <c r="B42" s="104" t="s">
        <v>14</v>
      </c>
      <c r="C42" s="886">
        <f>IF(AND(ISNUMBER('5. Outstanding Notes'!C33),ISNUMBER(D43)),D43/'5. Outstanding Notes'!C33,"")</f>
        <v>0</v>
      </c>
      <c r="D42" s="309" t="str">
        <f>VLOOKUP("Setoff_Reserve_eop",calcdata_21,4,0)</f>
        <v>n/a</v>
      </c>
      <c r="F42" s="138"/>
      <c r="K42" s="109"/>
    </row>
    <row r="43" spans="1:11">
      <c r="A43" s="102"/>
      <c r="B43" s="104" t="s">
        <v>452</v>
      </c>
      <c r="C43" s="886"/>
      <c r="D43" s="309">
        <f>VLOOKUP("Setoff_Reserve_required",calcdata_21,2,0)</f>
        <v>0</v>
      </c>
      <c r="F43" s="138"/>
      <c r="K43" s="109"/>
    </row>
    <row r="44" spans="1:11">
      <c r="A44" s="102"/>
      <c r="D44" s="982"/>
      <c r="F44" s="138"/>
      <c r="K44" s="109"/>
    </row>
    <row r="45" spans="1:11">
      <c r="A45" s="102"/>
      <c r="B45" s="104" t="s">
        <v>505</v>
      </c>
      <c r="D45" s="309"/>
      <c r="F45" s="138"/>
      <c r="K45" s="109"/>
    </row>
    <row r="46" spans="1:11">
      <c r="A46" s="145"/>
      <c r="B46" s="147"/>
      <c r="C46" s="147"/>
      <c r="D46" s="147"/>
      <c r="E46" s="147"/>
      <c r="F46" s="147"/>
      <c r="G46" s="147"/>
      <c r="H46" s="147"/>
      <c r="I46" s="147"/>
      <c r="J46" s="147"/>
      <c r="K46" s="148"/>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3" width="21.81640625" style="33" customWidth="1"/>
    <col min="4" max="4" width="20.81640625" style="33" customWidth="1"/>
    <col min="5" max="8" width="15.54296875" style="33" customWidth="1"/>
    <col min="9" max="12" width="8.81640625" style="33" customWidth="1"/>
    <col min="13" max="13" width="2" style="25" customWidth="1"/>
    <col min="14" max="16384" width="9.1796875" style="33"/>
  </cols>
  <sheetData>
    <row r="1" spans="1:13" ht="6" customHeight="1">
      <c r="A1" s="771"/>
      <c r="B1" s="772"/>
      <c r="C1" s="772"/>
      <c r="D1" s="772"/>
      <c r="E1" s="772"/>
      <c r="F1" s="772"/>
      <c r="G1" s="772"/>
      <c r="H1" s="772"/>
      <c r="I1" s="772"/>
      <c r="J1" s="772"/>
      <c r="K1" s="772"/>
      <c r="L1" s="772"/>
      <c r="M1" s="236"/>
    </row>
    <row r="2" spans="1:13" ht="18">
      <c r="A2" s="238"/>
      <c r="B2" s="239" t="str">
        <f>'Cover Sheet'!B2</f>
        <v>SC Germany Consumer 2021-1</v>
      </c>
      <c r="C2" s="239"/>
      <c r="D2" s="240" t="str">
        <f>'Cover Sheet'!D2</f>
        <v>Calculation Date</v>
      </c>
      <c r="E2" s="241"/>
      <c r="F2" s="242">
        <f>'Cover Sheet'!F2</f>
        <v>45820</v>
      </c>
      <c r="G2" s="241"/>
      <c r="H2" s="241"/>
      <c r="I2" s="241"/>
      <c r="J2" s="241"/>
      <c r="K2" s="241"/>
      <c r="L2" s="243"/>
      <c r="M2" s="313"/>
    </row>
    <row r="3" spans="1:13" ht="18">
      <c r="A3" s="238"/>
      <c r="B3" s="239" t="str">
        <f>'Cover Sheet'!B3</f>
        <v>Monthly Investor Report</v>
      </c>
      <c r="C3" s="239"/>
      <c r="D3" s="247" t="str">
        <f>'Cover Sheet'!D3</f>
        <v>Payment Date</v>
      </c>
      <c r="E3" s="248"/>
      <c r="F3" s="249">
        <f>'Cover Sheet'!F3</f>
        <v>45824</v>
      </c>
      <c r="G3" s="248"/>
      <c r="H3" s="248"/>
      <c r="I3" s="248"/>
      <c r="J3" s="248"/>
      <c r="K3" s="248"/>
      <c r="L3" s="250"/>
      <c r="M3" s="313"/>
    </row>
    <row r="4" spans="1:13">
      <c r="A4" s="238"/>
      <c r="B4" s="863"/>
      <c r="C4" s="327"/>
      <c r="D4" s="247" t="str">
        <f>'Cover Sheet'!D4</f>
        <v>Period  No</v>
      </c>
      <c r="E4" s="248"/>
      <c r="F4" s="253">
        <f>'Cover Sheet'!F4</f>
        <v>43</v>
      </c>
      <c r="G4" s="248"/>
      <c r="H4" s="254"/>
      <c r="I4" s="248"/>
      <c r="J4" s="259"/>
      <c r="K4" s="248"/>
      <c r="L4" s="255"/>
      <c r="M4" s="313"/>
    </row>
    <row r="5" spans="1:13" ht="18">
      <c r="A5" s="238"/>
      <c r="B5" s="328" t="s">
        <v>243</v>
      </c>
      <c r="C5" s="328"/>
      <c r="D5" s="247" t="str">
        <f>'Cover Sheet'!D5</f>
        <v>Monthly Period</v>
      </c>
      <c r="E5" s="248"/>
      <c r="F5" s="120">
        <f>'Cover Sheet'!F5</f>
        <v>45824</v>
      </c>
      <c r="G5" s="248"/>
      <c r="H5" s="254"/>
      <c r="I5" s="248"/>
      <c r="J5" s="259"/>
      <c r="K5" s="248"/>
      <c r="L5" s="255"/>
      <c r="M5" s="313"/>
    </row>
    <row r="6" spans="1:13" s="246" customFormat="1" ht="15" customHeight="1">
      <c r="A6" s="238"/>
      <c r="B6" s="257"/>
      <c r="C6" s="329"/>
      <c r="D6" s="247" t="str">
        <f>'Cover Sheet'!D6</f>
        <v>Interest Period</v>
      </c>
      <c r="E6" s="259" t="s">
        <v>34</v>
      </c>
      <c r="F6" s="249">
        <f>'Cover Sheet'!F6</f>
        <v>45791</v>
      </c>
      <c r="G6" s="259" t="str">
        <f>'Cover Sheet'!G6</f>
        <v>to</v>
      </c>
      <c r="H6" s="249">
        <f>'Cover Sheet'!H6</f>
        <v>45824</v>
      </c>
      <c r="I6" s="259" t="str">
        <f>'Cover Sheet'!I6</f>
        <v>=</v>
      </c>
      <c r="J6" s="834" t="str">
        <f>'Cover Sheet'!J6</f>
        <v>33 days</v>
      </c>
      <c r="K6" s="259"/>
      <c r="L6" s="371"/>
      <c r="M6" s="835"/>
    </row>
    <row r="7" spans="1:13">
      <c r="A7" s="238"/>
      <c r="D7" s="708" t="str">
        <f>'Cover Sheet'!D7</f>
        <v>Collection Period</v>
      </c>
      <c r="E7" s="709" t="s">
        <v>34</v>
      </c>
      <c r="F7" s="263" t="str">
        <f>'Cover Sheet'!F7</f>
        <v>01.05.2025</v>
      </c>
      <c r="G7" s="709" t="str">
        <f>'Cover Sheet'!G7</f>
        <v>to</v>
      </c>
      <c r="H7" s="263">
        <f>'Cover Sheet'!H7</f>
        <v>45808</v>
      </c>
      <c r="I7" s="264"/>
      <c r="J7" s="264"/>
      <c r="K7" s="264"/>
      <c r="L7" s="265"/>
      <c r="M7" s="313"/>
    </row>
    <row r="8" spans="1:13" ht="13">
      <c r="A8" s="238"/>
      <c r="D8" s="836"/>
      <c r="E8" s="266"/>
      <c r="F8" s="244"/>
      <c r="H8" s="267"/>
      <c r="J8" s="267"/>
      <c r="L8" s="251"/>
      <c r="M8" s="313"/>
    </row>
    <row r="9" spans="1:13">
      <c r="A9" s="238"/>
      <c r="D9" s="327"/>
      <c r="M9" s="313"/>
    </row>
    <row r="10" spans="1:13">
      <c r="A10" s="238"/>
      <c r="D10" s="327"/>
      <c r="M10" s="313"/>
    </row>
    <row r="11" spans="1:13" ht="18" customHeight="1">
      <c r="A11" s="238"/>
      <c r="D11" s="327"/>
      <c r="M11" s="313"/>
    </row>
    <row r="12" spans="1:13">
      <c r="A12" s="238"/>
      <c r="D12" s="327"/>
      <c r="M12" s="313"/>
    </row>
    <row r="13" spans="1:13" ht="18">
      <c r="A13" s="238"/>
      <c r="B13" s="239"/>
      <c r="D13" s="837"/>
      <c r="F13" s="239"/>
      <c r="H13" s="25"/>
      <c r="I13" s="25"/>
      <c r="J13" s="274"/>
      <c r="K13" s="25"/>
      <c r="L13" s="25"/>
      <c r="M13" s="313"/>
    </row>
    <row r="14" spans="1:13">
      <c r="A14" s="238"/>
      <c r="D14" s="838"/>
      <c r="H14" s="25"/>
      <c r="I14" s="25"/>
      <c r="J14" s="25"/>
      <c r="K14" s="25"/>
      <c r="L14" s="25"/>
      <c r="M14" s="313"/>
    </row>
    <row r="15" spans="1:13">
      <c r="A15" s="238"/>
      <c r="D15" s="838"/>
      <c r="H15" s="25"/>
      <c r="I15" s="25"/>
      <c r="J15" s="25"/>
      <c r="K15" s="25"/>
      <c r="L15" s="25"/>
      <c r="M15" s="313"/>
    </row>
    <row r="16" spans="1:13">
      <c r="A16" s="238"/>
      <c r="D16" s="839"/>
      <c r="H16" s="25"/>
      <c r="I16" s="25"/>
      <c r="J16" s="25"/>
      <c r="K16" s="25"/>
      <c r="L16" s="25"/>
      <c r="M16" s="313"/>
    </row>
    <row r="17" spans="1:23" ht="18">
      <c r="A17" s="238"/>
      <c r="B17" s="274" t="s">
        <v>180</v>
      </c>
      <c r="C17" s="840"/>
      <c r="D17" s="841"/>
      <c r="E17" s="841"/>
      <c r="F17" s="823"/>
      <c r="G17" s="823"/>
      <c r="H17" s="874"/>
      <c r="J17" s="841"/>
      <c r="K17" s="25"/>
      <c r="L17" s="841"/>
      <c r="M17" s="313"/>
    </row>
    <row r="18" spans="1:23" ht="18">
      <c r="A18" s="238"/>
      <c r="B18" s="239"/>
      <c r="C18" s="840"/>
      <c r="D18" s="840"/>
      <c r="E18" s="840"/>
      <c r="F18" s="837"/>
      <c r="G18" s="837"/>
      <c r="H18" s="840"/>
      <c r="J18" s="841"/>
      <c r="K18" s="25"/>
      <c r="L18" s="25"/>
      <c r="M18" s="313"/>
    </row>
    <row r="19" spans="1:23" ht="13.5" thickBot="1">
      <c r="A19" s="238"/>
      <c r="B19" s="825"/>
      <c r="K19" s="758"/>
      <c r="L19" s="818"/>
      <c r="M19" s="313"/>
    </row>
    <row r="20" spans="1:23" ht="15" thickBot="1">
      <c r="A20" s="238"/>
      <c r="B20" s="1013" t="s">
        <v>115</v>
      </c>
      <c r="C20" s="1013" t="s">
        <v>457</v>
      </c>
      <c r="D20" s="1019" t="s">
        <v>257</v>
      </c>
      <c r="E20" s="1020"/>
      <c r="F20" s="1020"/>
      <c r="G20" s="1021"/>
      <c r="H20" s="1013" t="s">
        <v>258</v>
      </c>
      <c r="I20" s="1019" t="s">
        <v>257</v>
      </c>
      <c r="J20" s="1020"/>
      <c r="K20" s="1020"/>
      <c r="L20" s="1021"/>
      <c r="M20" s="845"/>
      <c r="O20" s="846"/>
      <c r="P20" s="25"/>
      <c r="Q20" s="847"/>
      <c r="R20" s="848"/>
      <c r="S20" s="848"/>
      <c r="T20" s="25"/>
      <c r="U20" s="25"/>
      <c r="V20" s="758"/>
      <c r="W20" s="849"/>
    </row>
    <row r="21" spans="1:23" ht="14.5">
      <c r="A21" s="238"/>
      <c r="B21" s="1018"/>
      <c r="C21" s="1018"/>
      <c r="D21" s="875" t="s">
        <v>259</v>
      </c>
      <c r="E21" s="875" t="s">
        <v>260</v>
      </c>
      <c r="F21" s="875" t="s">
        <v>261</v>
      </c>
      <c r="G21" s="876" t="s">
        <v>262</v>
      </c>
      <c r="H21" s="1018"/>
      <c r="I21" s="875" t="s">
        <v>259</v>
      </c>
      <c r="J21" s="875" t="s">
        <v>260</v>
      </c>
      <c r="K21" s="875" t="s">
        <v>261</v>
      </c>
      <c r="L21" s="876" t="s">
        <v>262</v>
      </c>
      <c r="M21" s="313"/>
      <c r="N21" s="25"/>
      <c r="O21" s="25"/>
      <c r="P21" s="25"/>
      <c r="Q21" s="847"/>
      <c r="R21" s="848"/>
      <c r="S21" s="847"/>
      <c r="T21" s="25"/>
      <c r="U21" s="713"/>
      <c r="V21" s="25"/>
      <c r="W21" s="25"/>
    </row>
    <row r="22" spans="1:23" ht="13">
      <c r="A22" s="238"/>
      <c r="B22" s="877">
        <v>1</v>
      </c>
      <c r="C22" s="913">
        <f t="shared" ref="C22:C53" si="0">IF($F$4&gt;=$B22,VLOOKUP(CONCATENATE("delinquency_",$B22),delinquencies_21,2,0),"")</f>
        <v>1499999993.1400001</v>
      </c>
      <c r="D22" s="914">
        <f t="shared" ref="D22:D53" si="1">IF($F$4&gt;=$B22,VLOOKUP(CONCATENATE("delinquency_",$B22),delinquencies_21,3,0),"")</f>
        <v>0</v>
      </c>
      <c r="E22" s="914">
        <f t="shared" ref="E22:E53" si="2">IF($F$4&gt;=$B22,VLOOKUP(CONCATENATE("delinquency_",$B22),delinquencies_21,4,0),"")</f>
        <v>0</v>
      </c>
      <c r="F22" s="914">
        <f t="shared" ref="F22:F53" si="3">IF($F$4&gt;=$B22,VLOOKUP(CONCATENATE("delinquency_",$B22),delinquencies_21,5,0),"")</f>
        <v>0</v>
      </c>
      <c r="G22" s="914">
        <f t="shared" ref="G22:G53" si="4">IF($F$4&gt;=$B22,VLOOKUP(CONCATENATE("delinquency_",$B22),delinquencies_21,6,0),"")</f>
        <v>0</v>
      </c>
      <c r="H22" s="878">
        <f t="shared" ref="H22:H59" si="5">IF(ISNUMBER(C22),(C22-D22-E22-F22-G22)/C22,"")</f>
        <v>1</v>
      </c>
      <c r="I22" s="879">
        <f>IF(ISNUMBER($C22),D22/$C22,"")</f>
        <v>0</v>
      </c>
      <c r="J22" s="879">
        <f t="shared" ref="J22:L37" si="6">IF(ISNUMBER($C22),E22/$C22,"")</f>
        <v>0</v>
      </c>
      <c r="K22" s="879">
        <f t="shared" si="6"/>
        <v>0</v>
      </c>
      <c r="L22" s="880">
        <f t="shared" si="6"/>
        <v>0</v>
      </c>
      <c r="M22" s="313"/>
      <c r="N22" s="25"/>
      <c r="O22" s="25"/>
      <c r="P22" s="25"/>
      <c r="Q22" s="847"/>
      <c r="R22" s="848"/>
      <c r="S22" s="847"/>
      <c r="T22" s="25"/>
      <c r="U22" s="713"/>
      <c r="V22" s="25"/>
      <c r="W22" s="25"/>
    </row>
    <row r="23" spans="1:23" ht="13">
      <c r="A23" s="238"/>
      <c r="B23" s="418">
        <v>2</v>
      </c>
      <c r="C23" s="915">
        <f t="shared" si="0"/>
        <v>1499999987.1500001</v>
      </c>
      <c r="D23" s="916">
        <f t="shared" si="1"/>
        <v>3093997.92</v>
      </c>
      <c r="E23" s="916">
        <f t="shared" si="2"/>
        <v>473721.34</v>
      </c>
      <c r="F23" s="916">
        <f t="shared" si="3"/>
        <v>25764.03</v>
      </c>
      <c r="G23" s="916">
        <f t="shared" si="4"/>
        <v>133791.66</v>
      </c>
      <c r="H23" s="510">
        <f t="shared" si="5"/>
        <v>0.99751515001204638</v>
      </c>
      <c r="I23" s="223">
        <f t="shared" ref="I23:L47" si="7">IF(ISNUMBER($C23),D23/$C23,"")</f>
        <v>2.0626652976701658E-3</v>
      </c>
      <c r="J23" s="223">
        <f t="shared" si="6"/>
        <v>3.1581422937214192E-4</v>
      </c>
      <c r="K23" s="223">
        <f t="shared" si="6"/>
        <v>1.7176020147141238E-5</v>
      </c>
      <c r="L23" s="881">
        <f t="shared" si="6"/>
        <v>8.9194440764099034E-5</v>
      </c>
      <c r="M23" s="313"/>
      <c r="N23" s="25"/>
      <c r="O23" s="851"/>
      <c r="P23" s="25"/>
      <c r="Q23" s="847"/>
      <c r="R23" s="848"/>
      <c r="S23" s="848"/>
      <c r="T23" s="25"/>
      <c r="U23" s="25"/>
      <c r="V23" s="25"/>
      <c r="W23" s="25"/>
    </row>
    <row r="24" spans="1:23" ht="13">
      <c r="A24" s="238"/>
      <c r="B24" s="418">
        <v>3</v>
      </c>
      <c r="C24" s="915">
        <f t="shared" si="0"/>
        <v>1499999985.98</v>
      </c>
      <c r="D24" s="916">
        <f t="shared" si="1"/>
        <v>5002652.16</v>
      </c>
      <c r="E24" s="916">
        <f t="shared" si="2"/>
        <v>2128186.7799999998</v>
      </c>
      <c r="F24" s="916">
        <f t="shared" si="3"/>
        <v>532500.42000000004</v>
      </c>
      <c r="G24" s="916">
        <f t="shared" si="4"/>
        <v>59335.79</v>
      </c>
      <c r="H24" s="510">
        <f t="shared" si="5"/>
        <v>0.99485154985187907</v>
      </c>
      <c r="I24" s="223">
        <f t="shared" si="7"/>
        <v>3.3351014711720819E-3</v>
      </c>
      <c r="J24" s="223">
        <f t="shared" si="6"/>
        <v>1.418791199927635E-3</v>
      </c>
      <c r="K24" s="223">
        <f t="shared" si="6"/>
        <v>3.5500028331806932E-4</v>
      </c>
      <c r="L24" s="881">
        <f t="shared" si="6"/>
        <v>3.9557193703061235E-5</v>
      </c>
      <c r="M24" s="852"/>
      <c r="Q24" s="847"/>
      <c r="R24" s="853"/>
      <c r="S24" s="853"/>
      <c r="U24" s="25"/>
      <c r="V24" s="758"/>
      <c r="W24" s="818"/>
    </row>
    <row r="25" spans="1:23" ht="13">
      <c r="A25" s="238"/>
      <c r="B25" s="418">
        <v>4</v>
      </c>
      <c r="C25" s="915">
        <f t="shared" si="0"/>
        <v>1499999995.73</v>
      </c>
      <c r="D25" s="916">
        <f t="shared" si="1"/>
        <v>638653.43000000005</v>
      </c>
      <c r="E25" s="916">
        <f t="shared" si="2"/>
        <v>3095149.53</v>
      </c>
      <c r="F25" s="916">
        <f t="shared" si="3"/>
        <v>3745437.9</v>
      </c>
      <c r="G25" s="916">
        <f t="shared" si="4"/>
        <v>2795134.93</v>
      </c>
      <c r="H25" s="510">
        <f t="shared" si="5"/>
        <v>0.99315041612050137</v>
      </c>
      <c r="I25" s="223">
        <f t="shared" si="7"/>
        <v>4.2576895454535566E-4</v>
      </c>
      <c r="J25" s="223">
        <f t="shared" si="6"/>
        <v>2.0634330258739058E-3</v>
      </c>
      <c r="K25" s="223">
        <f t="shared" si="6"/>
        <v>2.4969586071080089E-3</v>
      </c>
      <c r="L25" s="881">
        <f t="shared" si="6"/>
        <v>1.8634232919712117E-3</v>
      </c>
      <c r="M25" s="845"/>
      <c r="N25" s="815"/>
      <c r="O25" s="818"/>
      <c r="P25" s="815"/>
      <c r="Q25" s="854"/>
      <c r="R25" s="855"/>
      <c r="S25" s="853"/>
      <c r="T25" s="815"/>
      <c r="U25" s="25"/>
      <c r="V25" s="758"/>
      <c r="W25" s="849"/>
    </row>
    <row r="26" spans="1:23" ht="13">
      <c r="A26" s="238"/>
      <c r="B26" s="418">
        <v>5</v>
      </c>
      <c r="C26" s="915">
        <f t="shared" si="0"/>
        <v>1499999998.6900001</v>
      </c>
      <c r="D26" s="916">
        <f t="shared" si="1"/>
        <v>3235364.58</v>
      </c>
      <c r="E26" s="916">
        <f t="shared" si="2"/>
        <v>4134580.93</v>
      </c>
      <c r="F26" s="916">
        <f t="shared" si="3"/>
        <v>3063513.26</v>
      </c>
      <c r="G26" s="916">
        <f t="shared" si="4"/>
        <v>2500790.83</v>
      </c>
      <c r="H26" s="510">
        <f t="shared" si="5"/>
        <v>0.9913771669258028</v>
      </c>
      <c r="I26" s="223">
        <f t="shared" si="7"/>
        <v>2.1569097218837011E-3</v>
      </c>
      <c r="J26" s="223">
        <f t="shared" si="6"/>
        <v>2.7563872890739114E-3</v>
      </c>
      <c r="K26" s="223">
        <f t="shared" si="6"/>
        <v>2.0423421751169786E-3</v>
      </c>
      <c r="L26" s="881">
        <f t="shared" si="6"/>
        <v>1.6671938881226826E-3</v>
      </c>
      <c r="M26" s="313"/>
      <c r="Q26" s="847"/>
      <c r="R26" s="848"/>
      <c r="S26" s="847"/>
      <c r="T26" s="25"/>
      <c r="U26" s="713"/>
      <c r="V26" s="25"/>
      <c r="W26" s="25"/>
    </row>
    <row r="27" spans="1:23" ht="13">
      <c r="A27" s="238"/>
      <c r="B27" s="418">
        <v>6</v>
      </c>
      <c r="C27" s="915">
        <f t="shared" si="0"/>
        <v>1499999992.23</v>
      </c>
      <c r="D27" s="916">
        <f t="shared" si="1"/>
        <v>933171.22</v>
      </c>
      <c r="E27" s="916">
        <f t="shared" si="2"/>
        <v>7396351.0099999998</v>
      </c>
      <c r="F27" s="916">
        <f t="shared" si="3"/>
        <v>3430276.31</v>
      </c>
      <c r="G27" s="916">
        <f t="shared" si="4"/>
        <v>3999130.36</v>
      </c>
      <c r="H27" s="510">
        <f t="shared" si="5"/>
        <v>0.98949404734557922</v>
      </c>
      <c r="I27" s="223">
        <f t="shared" si="7"/>
        <v>6.221141498892179E-4</v>
      </c>
      <c r="J27" s="223">
        <f t="shared" si="6"/>
        <v>4.9309006988753987E-3</v>
      </c>
      <c r="K27" s="223">
        <f t="shared" si="6"/>
        <v>2.2868508851792207E-3</v>
      </c>
      <c r="L27" s="881">
        <f t="shared" si="6"/>
        <v>2.6660869204769969E-3</v>
      </c>
      <c r="M27" s="313"/>
      <c r="Q27" s="847"/>
      <c r="R27" s="848"/>
      <c r="S27" s="847"/>
      <c r="T27" s="25"/>
      <c r="U27" s="713"/>
      <c r="V27" s="25"/>
      <c r="W27" s="25"/>
    </row>
    <row r="28" spans="1:23" ht="13">
      <c r="A28" s="238"/>
      <c r="B28" s="418">
        <v>7</v>
      </c>
      <c r="C28" s="915">
        <f t="shared" si="0"/>
        <v>1499999992.54</v>
      </c>
      <c r="D28" s="916">
        <f t="shared" si="1"/>
        <v>3796457.98</v>
      </c>
      <c r="E28" s="916">
        <f t="shared" si="2"/>
        <v>5109633.29</v>
      </c>
      <c r="F28" s="916">
        <f t="shared" si="3"/>
        <v>3841574.92</v>
      </c>
      <c r="G28" s="916">
        <f t="shared" si="4"/>
        <v>4796991.7300000004</v>
      </c>
      <c r="H28" s="510">
        <f t="shared" si="5"/>
        <v>0.98830356132849628</v>
      </c>
      <c r="I28" s="223">
        <f t="shared" si="7"/>
        <v>2.530971999254034E-3</v>
      </c>
      <c r="J28" s="223">
        <f t="shared" si="6"/>
        <v>3.4064222102746064E-3</v>
      </c>
      <c r="K28" s="223">
        <f t="shared" si="6"/>
        <v>2.5610499594036218E-3</v>
      </c>
      <c r="L28" s="881">
        <f t="shared" si="6"/>
        <v>3.1979945025713595E-3</v>
      </c>
      <c r="M28" s="313"/>
      <c r="O28" s="851"/>
      <c r="Q28" s="847"/>
      <c r="R28" s="853"/>
      <c r="S28" s="853"/>
      <c r="U28" s="25"/>
      <c r="V28" s="25"/>
      <c r="W28" s="25"/>
    </row>
    <row r="29" spans="1:23" ht="13">
      <c r="A29" s="238"/>
      <c r="B29" s="418">
        <v>8</v>
      </c>
      <c r="C29" s="915">
        <f t="shared" si="0"/>
        <v>1499999979.1099999</v>
      </c>
      <c r="D29" s="916">
        <f t="shared" si="1"/>
        <v>1536147.57</v>
      </c>
      <c r="E29" s="916">
        <f t="shared" si="2"/>
        <v>4386980.5</v>
      </c>
      <c r="F29" s="916">
        <f t="shared" si="3"/>
        <v>5662736.04</v>
      </c>
      <c r="G29" s="916">
        <f t="shared" si="4"/>
        <v>7260818.7699999996</v>
      </c>
      <c r="H29" s="510">
        <f t="shared" si="5"/>
        <v>0.98743554457168581</v>
      </c>
      <c r="I29" s="223">
        <f t="shared" si="7"/>
        <v>1.0240983942622771E-3</v>
      </c>
      <c r="J29" s="223">
        <f t="shared" si="6"/>
        <v>2.924653707397344E-3</v>
      </c>
      <c r="K29" s="223">
        <f t="shared" si="6"/>
        <v>3.7751574125753592E-3</v>
      </c>
      <c r="L29" s="881">
        <f t="shared" si="6"/>
        <v>4.8405459140793364E-3</v>
      </c>
      <c r="M29" s="313"/>
      <c r="Q29" s="847"/>
      <c r="R29" s="853"/>
      <c r="S29" s="853"/>
      <c r="U29" s="25"/>
      <c r="V29" s="25"/>
      <c r="W29" s="25"/>
    </row>
    <row r="30" spans="1:23" ht="13">
      <c r="A30" s="238"/>
      <c r="B30" s="418">
        <v>9</v>
      </c>
      <c r="C30" s="915">
        <f t="shared" si="0"/>
        <v>1499999999.1900001</v>
      </c>
      <c r="D30" s="916">
        <f t="shared" si="1"/>
        <v>4122467.51</v>
      </c>
      <c r="E30" s="916">
        <f t="shared" si="2"/>
        <v>2049128.04</v>
      </c>
      <c r="F30" s="916">
        <f t="shared" si="3"/>
        <v>4984234.5999999996</v>
      </c>
      <c r="G30" s="916">
        <f t="shared" si="4"/>
        <v>8029562.2400000002</v>
      </c>
      <c r="H30" s="510">
        <f t="shared" si="5"/>
        <v>0.98720973839976001</v>
      </c>
      <c r="I30" s="223">
        <f t="shared" si="7"/>
        <v>2.7483116748174214E-3</v>
      </c>
      <c r="J30" s="223">
        <f t="shared" si="6"/>
        <v>1.366085360737686E-3</v>
      </c>
      <c r="K30" s="223">
        <f t="shared" si="6"/>
        <v>3.3228230684609907E-3</v>
      </c>
      <c r="L30" s="881">
        <f t="shared" si="6"/>
        <v>5.3530414962239753E-3</v>
      </c>
      <c r="M30" s="845"/>
      <c r="N30" s="815"/>
      <c r="O30" s="818"/>
      <c r="P30" s="815"/>
      <c r="Q30" s="856"/>
      <c r="R30" s="855"/>
      <c r="S30" s="853"/>
      <c r="T30" s="815"/>
      <c r="U30" s="818"/>
      <c r="V30" s="25"/>
      <c r="W30" s="25"/>
    </row>
    <row r="31" spans="1:23" ht="13">
      <c r="A31" s="238"/>
      <c r="B31" s="418">
        <v>10</v>
      </c>
      <c r="C31" s="915">
        <f t="shared" si="0"/>
        <v>1499999987.23</v>
      </c>
      <c r="D31" s="916">
        <f t="shared" si="1"/>
        <v>4661486.04</v>
      </c>
      <c r="E31" s="916">
        <f t="shared" si="2"/>
        <v>5464321.0700000003</v>
      </c>
      <c r="F31" s="916">
        <f t="shared" si="3"/>
        <v>4703791.17</v>
      </c>
      <c r="G31" s="916">
        <f t="shared" si="4"/>
        <v>5415418.2199999997</v>
      </c>
      <c r="H31" s="510">
        <f t="shared" si="5"/>
        <v>0.98650332221843162</v>
      </c>
      <c r="I31" s="223">
        <f t="shared" si="7"/>
        <v>3.1076573864565232E-3</v>
      </c>
      <c r="J31" s="223">
        <f t="shared" si="6"/>
        <v>3.6428807443463916E-3</v>
      </c>
      <c r="K31" s="223">
        <f t="shared" si="6"/>
        <v>3.1358608066966282E-3</v>
      </c>
      <c r="L31" s="881">
        <f t="shared" si="6"/>
        <v>3.6102788440688402E-3</v>
      </c>
      <c r="M31" s="313"/>
      <c r="Q31" s="847"/>
      <c r="R31" s="848"/>
      <c r="S31" s="847"/>
      <c r="T31" s="25"/>
      <c r="U31" s="713"/>
      <c r="V31" s="25"/>
      <c r="W31" s="25"/>
    </row>
    <row r="32" spans="1:23" ht="13">
      <c r="A32" s="238"/>
      <c r="B32" s="418">
        <v>11</v>
      </c>
      <c r="C32" s="915">
        <f t="shared" si="0"/>
        <v>1499999983.5799999</v>
      </c>
      <c r="D32" s="916">
        <f t="shared" si="1"/>
        <v>1680382.43</v>
      </c>
      <c r="E32" s="916">
        <f t="shared" si="2"/>
        <v>4649146.3099999996</v>
      </c>
      <c r="F32" s="916">
        <f t="shared" si="3"/>
        <v>5271569.71</v>
      </c>
      <c r="G32" s="916">
        <f t="shared" si="4"/>
        <v>7457862.1600000001</v>
      </c>
      <c r="H32" s="510">
        <f t="shared" si="5"/>
        <v>0.98729402612091188</v>
      </c>
      <c r="I32" s="223">
        <f t="shared" si="7"/>
        <v>1.120254965596391E-3</v>
      </c>
      <c r="J32" s="223">
        <f t="shared" si="6"/>
        <v>3.0994309072617703E-3</v>
      </c>
      <c r="K32" s="223">
        <f t="shared" si="6"/>
        <v>3.5143798451374116E-3</v>
      </c>
      <c r="L32" s="881">
        <f t="shared" si="6"/>
        <v>4.971908161092488E-3</v>
      </c>
      <c r="M32" s="313"/>
      <c r="Q32" s="847"/>
      <c r="R32" s="848"/>
      <c r="S32" s="847"/>
      <c r="T32" s="25"/>
      <c r="U32" s="713"/>
      <c r="V32" s="25"/>
      <c r="W32" s="25"/>
    </row>
    <row r="33" spans="1:23" ht="13">
      <c r="A33" s="238"/>
      <c r="B33" s="418">
        <v>12</v>
      </c>
      <c r="C33" s="915">
        <f t="shared" si="0"/>
        <v>1499999995.55</v>
      </c>
      <c r="D33" s="916">
        <f t="shared" si="1"/>
        <v>5344867.49</v>
      </c>
      <c r="E33" s="916">
        <f t="shared" si="2"/>
        <v>1652849.12</v>
      </c>
      <c r="F33" s="916">
        <f t="shared" si="3"/>
        <v>4448420.55</v>
      </c>
      <c r="G33" s="916">
        <f t="shared" si="4"/>
        <v>7820068.21</v>
      </c>
      <c r="H33" s="510">
        <f t="shared" si="5"/>
        <v>0.98715586304856251</v>
      </c>
      <c r="I33" s="223">
        <f t="shared" si="7"/>
        <v>3.5632450039042936E-3</v>
      </c>
      <c r="J33" s="223">
        <f t="shared" si="6"/>
        <v>1.1018994166023016E-3</v>
      </c>
      <c r="K33" s="223">
        <f t="shared" si="6"/>
        <v>2.9656137087979875E-3</v>
      </c>
      <c r="L33" s="881">
        <f t="shared" si="6"/>
        <v>5.2133788221330243E-3</v>
      </c>
      <c r="M33" s="313"/>
      <c r="O33" s="851"/>
      <c r="Q33" s="847"/>
      <c r="R33" s="853"/>
      <c r="S33" s="853"/>
      <c r="U33" s="25"/>
      <c r="V33" s="25"/>
      <c r="W33" s="25"/>
    </row>
    <row r="34" spans="1:23" ht="13">
      <c r="A34" s="238"/>
      <c r="B34" s="418">
        <v>13</v>
      </c>
      <c r="C34" s="915">
        <f t="shared" si="0"/>
        <v>1499999988.1300001</v>
      </c>
      <c r="D34" s="916">
        <f t="shared" si="1"/>
        <v>1955755.05</v>
      </c>
      <c r="E34" s="916">
        <f t="shared" si="2"/>
        <v>5201897.6100000003</v>
      </c>
      <c r="F34" s="916">
        <f t="shared" si="3"/>
        <v>5333675.09</v>
      </c>
      <c r="G34" s="916">
        <f t="shared" si="4"/>
        <v>8503803.3300000001</v>
      </c>
      <c r="H34" s="510">
        <f t="shared" si="5"/>
        <v>0.98600324583590593</v>
      </c>
      <c r="I34" s="223">
        <f t="shared" si="7"/>
        <v>1.3038367103176945E-3</v>
      </c>
      <c r="J34" s="223">
        <f t="shared" si="6"/>
        <v>3.4679317674429001E-3</v>
      </c>
      <c r="K34" s="223">
        <f t="shared" si="6"/>
        <v>3.5557834214714323E-3</v>
      </c>
      <c r="L34" s="881">
        <f t="shared" si="6"/>
        <v>5.6692022648622865E-3</v>
      </c>
      <c r="M34" s="313"/>
      <c r="Q34" s="847"/>
      <c r="R34" s="853"/>
      <c r="S34" s="853"/>
      <c r="U34" s="25"/>
      <c r="V34" s="857"/>
      <c r="W34" s="818"/>
    </row>
    <row r="35" spans="1:23" ht="13">
      <c r="A35" s="238"/>
      <c r="B35" s="418">
        <v>14</v>
      </c>
      <c r="C35" s="915">
        <f t="shared" si="0"/>
        <v>1448430826.05</v>
      </c>
      <c r="D35" s="916">
        <f t="shared" si="1"/>
        <v>4982329.04</v>
      </c>
      <c r="E35" s="916">
        <f t="shared" si="2"/>
        <v>2287991.79</v>
      </c>
      <c r="F35" s="916">
        <f t="shared" si="3"/>
        <v>6118204.1100000003</v>
      </c>
      <c r="G35" s="916">
        <f t="shared" si="4"/>
        <v>8565807.1300000008</v>
      </c>
      <c r="H35" s="510">
        <f t="shared" si="5"/>
        <v>0.98484267824520733</v>
      </c>
      <c r="I35" s="223">
        <f t="shared" si="7"/>
        <v>3.4398115190542138E-3</v>
      </c>
      <c r="J35" s="223">
        <f t="shared" si="6"/>
        <v>1.5796348357481162E-3</v>
      </c>
      <c r="K35" s="223">
        <f t="shared" si="6"/>
        <v>4.2240223005228965E-3</v>
      </c>
      <c r="L35" s="881">
        <f t="shared" si="6"/>
        <v>5.913853099467457E-3</v>
      </c>
      <c r="M35" s="845"/>
      <c r="N35" s="815"/>
      <c r="O35" s="818"/>
      <c r="P35" s="815"/>
      <c r="Q35" s="856"/>
      <c r="R35" s="855"/>
      <c r="S35" s="853"/>
      <c r="U35" s="25"/>
      <c r="V35" s="25"/>
      <c r="W35" s="25"/>
    </row>
    <row r="36" spans="1:23" ht="13">
      <c r="A36" s="238"/>
      <c r="B36" s="418">
        <v>15</v>
      </c>
      <c r="C36" s="915">
        <f t="shared" si="0"/>
        <v>1408138828.0799999</v>
      </c>
      <c r="D36" s="916">
        <f t="shared" si="1"/>
        <v>5972313.1299999999</v>
      </c>
      <c r="E36" s="916">
        <f t="shared" si="2"/>
        <v>5888409.6799999997</v>
      </c>
      <c r="F36" s="916">
        <f t="shared" si="3"/>
        <v>1737522.12</v>
      </c>
      <c r="G36" s="916">
        <f t="shared" si="4"/>
        <v>9888679.4399999995</v>
      </c>
      <c r="H36" s="510">
        <f t="shared" si="5"/>
        <v>0.98332059034120622</v>
      </c>
      <c r="I36" s="223">
        <f t="shared" si="7"/>
        <v>4.2412814780082879E-3</v>
      </c>
      <c r="J36" s="223">
        <f t="shared" si="6"/>
        <v>4.1816968345577531E-3</v>
      </c>
      <c r="K36" s="223">
        <f t="shared" si="6"/>
        <v>1.2339139333080638E-3</v>
      </c>
      <c r="L36" s="881">
        <f t="shared" si="6"/>
        <v>7.0225174129196011E-3</v>
      </c>
      <c r="M36" s="313"/>
      <c r="Q36" s="847"/>
      <c r="R36" s="848"/>
      <c r="S36" s="847"/>
      <c r="T36" s="25"/>
      <c r="U36" s="713"/>
      <c r="V36" s="25"/>
      <c r="W36" s="25"/>
    </row>
    <row r="37" spans="1:23" ht="13">
      <c r="A37" s="238"/>
      <c r="B37" s="418">
        <v>16</v>
      </c>
      <c r="C37" s="915">
        <f t="shared" si="0"/>
        <v>1357977306.98</v>
      </c>
      <c r="D37" s="916">
        <f t="shared" si="1"/>
        <v>2674498.62</v>
      </c>
      <c r="E37" s="916">
        <f t="shared" si="2"/>
        <v>5692945.4199999999</v>
      </c>
      <c r="F37" s="916">
        <f t="shared" si="3"/>
        <v>5170688.72</v>
      </c>
      <c r="G37" s="916">
        <f t="shared" si="4"/>
        <v>9656001.5299999993</v>
      </c>
      <c r="H37" s="510">
        <f t="shared" si="5"/>
        <v>0.98292008697731381</v>
      </c>
      <c r="I37" s="223">
        <f t="shared" si="7"/>
        <v>1.9694722483601778E-3</v>
      </c>
      <c r="J37" s="223">
        <f t="shared" si="6"/>
        <v>4.1922242667372083E-3</v>
      </c>
      <c r="K37" s="223">
        <f t="shared" si="6"/>
        <v>3.8076400050447621E-3</v>
      </c>
      <c r="L37" s="881">
        <f t="shared" si="6"/>
        <v>7.1105765025440224E-3</v>
      </c>
      <c r="M37" s="313"/>
      <c r="Q37" s="847"/>
      <c r="R37" s="848"/>
      <c r="S37" s="847"/>
      <c r="T37" s="25"/>
      <c r="U37" s="713"/>
      <c r="V37" s="25"/>
      <c r="W37" s="25"/>
    </row>
    <row r="38" spans="1:23" ht="13">
      <c r="A38" s="238"/>
      <c r="B38" s="418">
        <v>17</v>
      </c>
      <c r="C38" s="915">
        <f t="shared" si="0"/>
        <v>1311498086.6099999</v>
      </c>
      <c r="D38" s="916">
        <f t="shared" si="1"/>
        <v>5343071.01</v>
      </c>
      <c r="E38" s="916">
        <f t="shared" si="2"/>
        <v>6558294.6799999997</v>
      </c>
      <c r="F38" s="916">
        <f t="shared" si="3"/>
        <v>5185831.4400000004</v>
      </c>
      <c r="G38" s="916">
        <f t="shared" si="4"/>
        <v>6320068.25</v>
      </c>
      <c r="H38" s="510">
        <f t="shared" si="5"/>
        <v>0.98215226875358708</v>
      </c>
      <c r="I38" s="223">
        <f t="shared" si="7"/>
        <v>4.0740212010609428E-3</v>
      </c>
      <c r="J38" s="223">
        <f t="shared" si="7"/>
        <v>5.0006132276960305E-3</v>
      </c>
      <c r="K38" s="223">
        <f t="shared" si="7"/>
        <v>3.9541281020123295E-3</v>
      </c>
      <c r="L38" s="881">
        <f t="shared" si="7"/>
        <v>4.8189687156435772E-3</v>
      </c>
      <c r="M38" s="313"/>
      <c r="O38" s="851"/>
      <c r="Q38" s="847"/>
      <c r="R38" s="853"/>
      <c r="S38" s="853"/>
      <c r="U38" s="25"/>
      <c r="V38" s="25"/>
      <c r="W38" s="25"/>
    </row>
    <row r="39" spans="1:23" ht="13">
      <c r="A39" s="238"/>
      <c r="B39" s="418">
        <v>18</v>
      </c>
      <c r="C39" s="915">
        <f t="shared" si="0"/>
        <v>1263657178.0899999</v>
      </c>
      <c r="D39" s="916">
        <f t="shared" si="1"/>
        <v>1750949.88</v>
      </c>
      <c r="E39" s="916">
        <f t="shared" si="2"/>
        <v>8528512.1899999995</v>
      </c>
      <c r="F39" s="916">
        <f t="shared" si="3"/>
        <v>5117877.71</v>
      </c>
      <c r="G39" s="916">
        <f t="shared" si="4"/>
        <v>5085544.22</v>
      </c>
      <c r="H39" s="510">
        <f t="shared" si="5"/>
        <v>0.98379079044922624</v>
      </c>
      <c r="I39" s="223">
        <f t="shared" si="7"/>
        <v>1.3856209661599328E-3</v>
      </c>
      <c r="J39" s="223">
        <f t="shared" si="7"/>
        <v>6.7490711388121308E-3</v>
      </c>
      <c r="K39" s="223">
        <f t="shared" si="7"/>
        <v>4.0500523391443872E-3</v>
      </c>
      <c r="L39" s="881">
        <f t="shared" si="7"/>
        <v>4.0244651066571142E-3</v>
      </c>
      <c r="M39" s="313"/>
      <c r="Q39" s="847"/>
      <c r="R39" s="853"/>
      <c r="S39" s="853"/>
      <c r="U39" s="25"/>
      <c r="V39" s="25"/>
      <c r="W39" s="819"/>
    </row>
    <row r="40" spans="1:23" ht="13">
      <c r="A40" s="238"/>
      <c r="B40" s="418">
        <v>19</v>
      </c>
      <c r="C40" s="915">
        <f t="shared" si="0"/>
        <v>1224289047.1900001</v>
      </c>
      <c r="D40" s="916">
        <f t="shared" si="1"/>
        <v>5527606.6900000004</v>
      </c>
      <c r="E40" s="916">
        <f t="shared" si="2"/>
        <v>5418645.9900000002</v>
      </c>
      <c r="F40" s="916">
        <f t="shared" si="3"/>
        <v>5026185.5199999996</v>
      </c>
      <c r="G40" s="916">
        <f t="shared" si="4"/>
        <v>7083757.7599999998</v>
      </c>
      <c r="H40" s="510">
        <f t="shared" si="5"/>
        <v>0.98116768583945202</v>
      </c>
      <c r="I40" s="223">
        <f t="shared" si="7"/>
        <v>4.5149523331005992E-3</v>
      </c>
      <c r="J40" s="223">
        <f t="shared" si="7"/>
        <v>4.4259531704844771E-3</v>
      </c>
      <c r="K40" s="223">
        <f t="shared" si="7"/>
        <v>4.1053912321899382E-3</v>
      </c>
      <c r="L40" s="881">
        <f t="shared" si="7"/>
        <v>5.7860174247729391E-3</v>
      </c>
      <c r="M40" s="845"/>
      <c r="O40" s="846"/>
      <c r="P40" s="25"/>
      <c r="Q40" s="847"/>
      <c r="R40" s="848"/>
      <c r="S40" s="848"/>
      <c r="T40" s="25"/>
      <c r="U40" s="25"/>
      <c r="V40" s="25"/>
      <c r="W40" s="25"/>
    </row>
    <row r="41" spans="1:23" ht="13">
      <c r="A41" s="238"/>
      <c r="B41" s="418">
        <v>20</v>
      </c>
      <c r="C41" s="915">
        <f t="shared" si="0"/>
        <v>1182859822.29</v>
      </c>
      <c r="D41" s="916">
        <f t="shared" si="1"/>
        <v>2192893.2599999998</v>
      </c>
      <c r="E41" s="916">
        <f t="shared" si="2"/>
        <v>5195602.82</v>
      </c>
      <c r="F41" s="916">
        <f t="shared" si="3"/>
        <v>5026481.74</v>
      </c>
      <c r="G41" s="916">
        <f t="shared" si="4"/>
        <v>8932406.3699999992</v>
      </c>
      <c r="H41" s="510">
        <f t="shared" si="5"/>
        <v>0.98195273540640549</v>
      </c>
      <c r="I41" s="223">
        <f t="shared" si="7"/>
        <v>1.8538910686429345E-3</v>
      </c>
      <c r="J41" s="223">
        <f t="shared" si="7"/>
        <v>4.3924078932205055E-3</v>
      </c>
      <c r="K41" s="223">
        <f t="shared" si="7"/>
        <v>4.2494314586396234E-3</v>
      </c>
      <c r="L41" s="881">
        <f t="shared" si="7"/>
        <v>7.5515341730916065E-3</v>
      </c>
      <c r="M41" s="313"/>
      <c r="N41" s="25"/>
      <c r="O41" s="25"/>
      <c r="P41" s="25"/>
      <c r="Q41" s="847"/>
      <c r="R41" s="848"/>
      <c r="S41" s="847"/>
      <c r="T41" s="25"/>
      <c r="U41" s="713"/>
      <c r="V41" s="25"/>
      <c r="W41" s="25"/>
    </row>
    <row r="42" spans="1:23" ht="13">
      <c r="A42" s="238"/>
      <c r="B42" s="418">
        <v>21</v>
      </c>
      <c r="C42" s="915">
        <f t="shared" si="0"/>
        <v>1141056211.3399999</v>
      </c>
      <c r="D42" s="916">
        <f t="shared" si="1"/>
        <v>4842434.1399999997</v>
      </c>
      <c r="E42" s="916">
        <f t="shared" si="2"/>
        <v>2121939.71</v>
      </c>
      <c r="F42" s="916">
        <f t="shared" si="3"/>
        <v>5511311.7199999997</v>
      </c>
      <c r="G42" s="916">
        <f t="shared" si="4"/>
        <v>7772082.4400000004</v>
      </c>
      <c r="H42" s="510">
        <f t="shared" si="5"/>
        <v>0.98225524053173308</v>
      </c>
      <c r="I42" s="223">
        <f t="shared" si="7"/>
        <v>4.2438173438566051E-3</v>
      </c>
      <c r="J42" s="223">
        <f t="shared" si="7"/>
        <v>1.859627675579715E-3</v>
      </c>
      <c r="K42" s="223">
        <f t="shared" si="7"/>
        <v>4.8300089559372263E-3</v>
      </c>
      <c r="L42" s="881">
        <f t="shared" si="7"/>
        <v>6.8113054928931605E-3</v>
      </c>
      <c r="M42" s="313"/>
      <c r="N42" s="25"/>
      <c r="O42" s="25"/>
      <c r="P42" s="25"/>
      <c r="Q42" s="847"/>
      <c r="R42" s="848"/>
      <c r="S42" s="847"/>
      <c r="T42" s="25"/>
      <c r="U42" s="713"/>
      <c r="V42" s="25"/>
      <c r="W42" s="25"/>
    </row>
    <row r="43" spans="1:23" ht="13">
      <c r="A43" s="238"/>
      <c r="B43" s="418">
        <v>22</v>
      </c>
      <c r="C43" s="915">
        <f t="shared" si="0"/>
        <v>1100935602.54</v>
      </c>
      <c r="D43" s="916">
        <f t="shared" si="1"/>
        <v>2768382.93</v>
      </c>
      <c r="E43" s="916">
        <f t="shared" si="2"/>
        <v>5548537.8600000003</v>
      </c>
      <c r="F43" s="916">
        <f t="shared" si="3"/>
        <v>4943579.22</v>
      </c>
      <c r="G43" s="916">
        <f t="shared" si="4"/>
        <v>8245554.8300000001</v>
      </c>
      <c r="H43" s="510">
        <f t="shared" si="5"/>
        <v>0.9804656559471937</v>
      </c>
      <c r="I43" s="223">
        <f t="shared" si="7"/>
        <v>2.5145729901122145E-3</v>
      </c>
      <c r="J43" s="223">
        <f t="shared" si="7"/>
        <v>5.039838703734179E-3</v>
      </c>
      <c r="K43" s="223">
        <f t="shared" si="7"/>
        <v>4.4903436755015704E-3</v>
      </c>
      <c r="L43" s="881">
        <f t="shared" si="7"/>
        <v>7.4895886834583647E-3</v>
      </c>
      <c r="M43" s="313"/>
      <c r="N43" s="25"/>
      <c r="O43" s="851"/>
      <c r="P43" s="25"/>
      <c r="Q43" s="847"/>
      <c r="R43" s="848"/>
      <c r="S43" s="848"/>
      <c r="T43" s="25"/>
      <c r="U43" s="25"/>
      <c r="V43" s="25"/>
      <c r="W43" s="818"/>
    </row>
    <row r="44" spans="1:23" ht="13">
      <c r="A44" s="238"/>
      <c r="B44" s="418">
        <v>23</v>
      </c>
      <c r="C44" s="915">
        <f t="shared" si="0"/>
        <v>1062469617.39</v>
      </c>
      <c r="D44" s="916">
        <f t="shared" si="1"/>
        <v>2234285.48</v>
      </c>
      <c r="E44" s="916">
        <f t="shared" si="2"/>
        <v>5491669.3300000001</v>
      </c>
      <c r="F44" s="916">
        <f t="shared" si="3"/>
        <v>4991770.9800000004</v>
      </c>
      <c r="G44" s="916">
        <f t="shared" si="4"/>
        <v>7675243.2699999996</v>
      </c>
      <c r="H44" s="510">
        <f t="shared" si="5"/>
        <v>0.98080606849719032</v>
      </c>
      <c r="I44" s="223">
        <f t="shared" si="7"/>
        <v>2.1029170561023794E-3</v>
      </c>
      <c r="J44" s="223">
        <f t="shared" si="7"/>
        <v>5.168777760902481E-3</v>
      </c>
      <c r="K44" s="223">
        <f t="shared" si="7"/>
        <v>4.6982717418898902E-3</v>
      </c>
      <c r="L44" s="881">
        <f t="shared" si="7"/>
        <v>7.2239649439148649E-3</v>
      </c>
      <c r="M44" s="313"/>
      <c r="O44" s="25"/>
      <c r="P44" s="25"/>
      <c r="Q44" s="847"/>
      <c r="R44" s="848"/>
      <c r="S44" s="848"/>
      <c r="T44" s="25"/>
      <c r="U44" s="25"/>
      <c r="V44" s="25"/>
      <c r="W44" s="823"/>
    </row>
    <row r="45" spans="1:23" ht="13">
      <c r="A45" s="238"/>
      <c r="B45" s="418">
        <v>24</v>
      </c>
      <c r="C45" s="915">
        <f t="shared" si="0"/>
        <v>1028500235.04</v>
      </c>
      <c r="D45" s="916">
        <f t="shared" si="1"/>
        <v>5155277.34</v>
      </c>
      <c r="E45" s="916">
        <f t="shared" si="2"/>
        <v>5183201.68</v>
      </c>
      <c r="F45" s="916">
        <f t="shared" si="3"/>
        <v>2018965.5</v>
      </c>
      <c r="G45" s="916">
        <f t="shared" si="4"/>
        <v>7972634.9500000002</v>
      </c>
      <c r="H45" s="510">
        <f t="shared" si="5"/>
        <v>0.98023327678752614</v>
      </c>
      <c r="I45" s="223">
        <f t="shared" si="7"/>
        <v>5.0124221311427346E-3</v>
      </c>
      <c r="J45" s="223">
        <f t="shared" si="7"/>
        <v>5.0395726742818074E-3</v>
      </c>
      <c r="K45" s="223">
        <f t="shared" si="7"/>
        <v>1.9630189971920416E-3</v>
      </c>
      <c r="L45" s="881">
        <f t="shared" si="7"/>
        <v>7.7517094098572877E-3</v>
      </c>
      <c r="M45" s="845"/>
      <c r="O45" s="846"/>
      <c r="P45" s="25"/>
      <c r="Q45" s="847"/>
      <c r="R45" s="848"/>
      <c r="S45" s="848"/>
      <c r="T45" s="25"/>
      <c r="U45" s="25"/>
      <c r="V45" s="25"/>
      <c r="W45" s="713"/>
    </row>
    <row r="46" spans="1:23" ht="13">
      <c r="A46" s="238"/>
      <c r="B46" s="418">
        <v>25</v>
      </c>
      <c r="C46" s="915">
        <f t="shared" si="0"/>
        <v>996314992.65999997</v>
      </c>
      <c r="D46" s="916">
        <f t="shared" si="1"/>
        <v>2521677.16</v>
      </c>
      <c r="E46" s="916">
        <f t="shared" si="2"/>
        <v>4392822.6900000004</v>
      </c>
      <c r="F46" s="916">
        <f t="shared" si="3"/>
        <v>4586380.0599999996</v>
      </c>
      <c r="G46" s="916">
        <f t="shared" si="4"/>
        <v>7862413.3700000001</v>
      </c>
      <c r="H46" s="510">
        <f t="shared" si="5"/>
        <v>0.98056508893005501</v>
      </c>
      <c r="I46" s="223">
        <f t="shared" si="7"/>
        <v>2.5310039280524422E-3</v>
      </c>
      <c r="J46" s="223">
        <f t="shared" si="7"/>
        <v>4.4090701458500327E-3</v>
      </c>
      <c r="K46" s="223">
        <f t="shared" si="7"/>
        <v>4.6033434142701262E-3</v>
      </c>
      <c r="L46" s="881">
        <f t="shared" si="7"/>
        <v>7.8914935817723953E-3</v>
      </c>
      <c r="M46" s="313"/>
      <c r="N46" s="25"/>
      <c r="O46" s="25"/>
      <c r="P46" s="25"/>
      <c r="Q46" s="847"/>
      <c r="R46" s="848"/>
      <c r="S46" s="847"/>
      <c r="T46" s="25"/>
      <c r="U46" s="713"/>
      <c r="V46" s="25"/>
      <c r="W46" s="25"/>
    </row>
    <row r="47" spans="1:23" ht="13">
      <c r="A47" s="238"/>
      <c r="B47" s="418">
        <v>26</v>
      </c>
      <c r="C47" s="915">
        <f t="shared" si="0"/>
        <v>965159527.04999995</v>
      </c>
      <c r="D47" s="916">
        <f t="shared" si="1"/>
        <v>5493748.7199999997</v>
      </c>
      <c r="E47" s="916">
        <f t="shared" si="2"/>
        <v>2108428.69</v>
      </c>
      <c r="F47" s="916">
        <f t="shared" si="3"/>
        <v>4258830.7</v>
      </c>
      <c r="G47" s="916">
        <f t="shared" si="4"/>
        <v>7880897.1100000003</v>
      </c>
      <c r="H47" s="510">
        <f t="shared" si="5"/>
        <v>0.97954544853290615</v>
      </c>
      <c r="I47" s="223">
        <f t="shared" si="7"/>
        <v>5.6920628829014259E-3</v>
      </c>
      <c r="J47" s="223">
        <f t="shared" si="7"/>
        <v>2.1845390641735572E-3</v>
      </c>
      <c r="K47" s="223">
        <f t="shared" si="7"/>
        <v>4.4125666075297129E-3</v>
      </c>
      <c r="L47" s="881">
        <f t="shared" si="7"/>
        <v>8.1653829124889651E-3</v>
      </c>
      <c r="M47" s="313"/>
      <c r="N47" s="25"/>
      <c r="O47" s="25"/>
      <c r="P47" s="25"/>
      <c r="Q47" s="847"/>
      <c r="R47" s="848"/>
      <c r="S47" s="847"/>
      <c r="T47" s="25"/>
      <c r="U47" s="713"/>
      <c r="V47" s="25"/>
      <c r="W47" s="25"/>
    </row>
    <row r="48" spans="1:23" ht="13">
      <c r="A48" s="238"/>
      <c r="B48" s="418">
        <v>27</v>
      </c>
      <c r="C48" s="915">
        <f t="shared" si="0"/>
        <v>938909475.79999995</v>
      </c>
      <c r="D48" s="916">
        <f t="shared" si="1"/>
        <v>5179300.79</v>
      </c>
      <c r="E48" s="916">
        <f t="shared" si="2"/>
        <v>4774130.3</v>
      </c>
      <c r="F48" s="916">
        <f t="shared" si="3"/>
        <v>3608967.46</v>
      </c>
      <c r="G48" s="916">
        <f t="shared" si="4"/>
        <v>5020798.5199999996</v>
      </c>
      <c r="H48" s="510">
        <f t="shared" si="5"/>
        <v>0.9802076797082423</v>
      </c>
      <c r="I48" s="223">
        <f t="shared" ref="I48:L59" si="8">IF(ISNUMBER($C48),D48/$C48,"")</f>
        <v>5.5162940874432702E-3</v>
      </c>
      <c r="J48" s="223">
        <f t="shared" si="8"/>
        <v>5.0847610158926033E-3</v>
      </c>
      <c r="K48" s="223">
        <f t="shared" si="8"/>
        <v>3.8437863851836953E-3</v>
      </c>
      <c r="L48" s="881">
        <f t="shared" si="8"/>
        <v>5.3474788032382104E-3</v>
      </c>
      <c r="M48" s="313"/>
      <c r="N48" s="25"/>
      <c r="O48" s="851"/>
      <c r="P48" s="25"/>
      <c r="Q48" s="847"/>
      <c r="R48" s="848"/>
      <c r="S48" s="848"/>
      <c r="T48" s="25"/>
      <c r="U48" s="25"/>
      <c r="V48" s="25"/>
      <c r="W48" s="25"/>
    </row>
    <row r="49" spans="1:23" ht="12.75" customHeight="1">
      <c r="A49" s="238"/>
      <c r="B49" s="418">
        <v>28</v>
      </c>
      <c r="C49" s="915">
        <f t="shared" si="0"/>
        <v>904913061.13999999</v>
      </c>
      <c r="D49" s="916">
        <f t="shared" si="1"/>
        <v>2579210.4500000002</v>
      </c>
      <c r="E49" s="916">
        <f t="shared" si="2"/>
        <v>4489891.66</v>
      </c>
      <c r="F49" s="916">
        <f t="shared" si="3"/>
        <v>4511487.32</v>
      </c>
      <c r="G49" s="916">
        <f t="shared" si="4"/>
        <v>6469726.4100000001</v>
      </c>
      <c r="H49" s="510">
        <f t="shared" si="5"/>
        <v>0.98005298341338953</v>
      </c>
      <c r="I49" s="223">
        <f t="shared" si="8"/>
        <v>2.8502301058078859E-3</v>
      </c>
      <c r="J49" s="223">
        <f t="shared" si="8"/>
        <v>4.9616828984031698E-3</v>
      </c>
      <c r="K49" s="223">
        <f t="shared" si="8"/>
        <v>4.9855477987205488E-3</v>
      </c>
      <c r="L49" s="881">
        <f t="shared" si="8"/>
        <v>7.1495557836788286E-3</v>
      </c>
      <c r="M49" s="313"/>
      <c r="Q49" s="858"/>
      <c r="S49" s="859"/>
      <c r="U49" s="25"/>
      <c r="V49" s="25"/>
      <c r="W49" s="25"/>
    </row>
    <row r="50" spans="1:23" ht="12.75" customHeight="1">
      <c r="A50" s="238"/>
      <c r="B50" s="418">
        <v>29</v>
      </c>
      <c r="C50" s="915">
        <f t="shared" si="0"/>
        <v>876367308.92999995</v>
      </c>
      <c r="D50" s="916">
        <f t="shared" si="1"/>
        <v>5228390.2300000004</v>
      </c>
      <c r="E50" s="916">
        <f t="shared" si="2"/>
        <v>4668837.49</v>
      </c>
      <c r="F50" s="916">
        <f t="shared" si="3"/>
        <v>1280986.3799999999</v>
      </c>
      <c r="G50" s="916">
        <f t="shared" si="4"/>
        <v>7401531.2300000004</v>
      </c>
      <c r="H50" s="510">
        <f t="shared" si="5"/>
        <v>0.97879913463147661</v>
      </c>
      <c r="I50" s="223">
        <f t="shared" si="8"/>
        <v>5.965980447608891E-3</v>
      </c>
      <c r="J50" s="223">
        <f t="shared" si="8"/>
        <v>5.3274893328693583E-3</v>
      </c>
      <c r="K50" s="223">
        <f t="shared" si="8"/>
        <v>1.4617003246778105E-3</v>
      </c>
      <c r="L50" s="881">
        <f t="shared" si="8"/>
        <v>8.445695263367246E-3</v>
      </c>
      <c r="M50" s="313"/>
      <c r="Q50" s="858"/>
      <c r="S50" s="859"/>
      <c r="U50" s="25"/>
      <c r="V50" s="25"/>
      <c r="W50" s="25"/>
    </row>
    <row r="51" spans="1:23" ht="12.75" customHeight="1">
      <c r="A51" s="238"/>
      <c r="B51" s="418">
        <v>30</v>
      </c>
      <c r="C51" s="915">
        <f t="shared" si="0"/>
        <v>845897968.15999997</v>
      </c>
      <c r="D51" s="916">
        <f t="shared" si="1"/>
        <v>4841251.5</v>
      </c>
      <c r="E51" s="916">
        <f t="shared" si="2"/>
        <v>4414060.45</v>
      </c>
      <c r="F51" s="916">
        <f t="shared" si="3"/>
        <v>3564825</v>
      </c>
      <c r="G51" s="916">
        <f t="shared" si="4"/>
        <v>5265175.59</v>
      </c>
      <c r="H51" s="510">
        <f t="shared" si="5"/>
        <v>0.97861998347231016</v>
      </c>
      <c r="I51" s="223">
        <f t="shared" si="8"/>
        <v>5.7232097513258088E-3</v>
      </c>
      <c r="J51" s="223">
        <f t="shared" si="8"/>
        <v>5.2181948841909138E-3</v>
      </c>
      <c r="K51" s="223">
        <f t="shared" si="8"/>
        <v>4.2142493943497922E-3</v>
      </c>
      <c r="L51" s="881">
        <f t="shared" si="8"/>
        <v>6.2243624978232624E-3</v>
      </c>
      <c r="M51" s="313"/>
      <c r="Q51" s="858"/>
      <c r="S51" s="859"/>
      <c r="U51" s="25"/>
      <c r="V51" s="25"/>
      <c r="W51" s="25"/>
    </row>
    <row r="52" spans="1:23" ht="12.75" customHeight="1">
      <c r="A52" s="238"/>
      <c r="B52" s="418">
        <v>31</v>
      </c>
      <c r="C52" s="915">
        <f t="shared" si="0"/>
        <v>818131957.10000002</v>
      </c>
      <c r="D52" s="916">
        <f t="shared" si="1"/>
        <v>4411961.95</v>
      </c>
      <c r="E52" s="916">
        <f t="shared" si="2"/>
        <v>1714665.26</v>
      </c>
      <c r="F52" s="916">
        <f t="shared" si="3"/>
        <v>6245036.4500000002</v>
      </c>
      <c r="G52" s="916">
        <f t="shared" si="4"/>
        <v>4663596.8499999996</v>
      </c>
      <c r="H52" s="510">
        <f t="shared" si="5"/>
        <v>0.9791778571144143</v>
      </c>
      <c r="I52" s="223">
        <f t="shared" si="8"/>
        <v>5.3927265787769825E-3</v>
      </c>
      <c r="J52" s="223">
        <f t="shared" si="8"/>
        <v>2.0958297070779465E-3</v>
      </c>
      <c r="K52" s="223">
        <f t="shared" si="8"/>
        <v>7.6332875104115645E-3</v>
      </c>
      <c r="L52" s="881">
        <f t="shared" si="8"/>
        <v>5.7002990893191205E-3</v>
      </c>
      <c r="M52" s="313"/>
      <c r="Q52" s="858"/>
      <c r="S52" s="859"/>
      <c r="U52" s="25"/>
      <c r="V52" s="25"/>
      <c r="W52" s="25"/>
    </row>
    <row r="53" spans="1:23" ht="12.75" customHeight="1">
      <c r="A53" s="238"/>
      <c r="B53" s="418">
        <v>32</v>
      </c>
      <c r="C53" s="915">
        <f t="shared" si="0"/>
        <v>790155624.61000001</v>
      </c>
      <c r="D53" s="916">
        <f t="shared" si="1"/>
        <v>1674815</v>
      </c>
      <c r="E53" s="916">
        <f t="shared" si="2"/>
        <v>3687613.43</v>
      </c>
      <c r="F53" s="916">
        <f t="shared" si="3"/>
        <v>3922732.55</v>
      </c>
      <c r="G53" s="916">
        <f t="shared" si="4"/>
        <v>6915533.4500000002</v>
      </c>
      <c r="H53" s="510">
        <f t="shared" si="5"/>
        <v>0.97949683084519434</v>
      </c>
      <c r="I53" s="223">
        <f t="shared" si="8"/>
        <v>2.1196014403196137E-3</v>
      </c>
      <c r="J53" s="223">
        <f t="shared" si="8"/>
        <v>4.6669457447956648E-3</v>
      </c>
      <c r="K53" s="223">
        <f t="shared" si="8"/>
        <v>4.9645062666435575E-3</v>
      </c>
      <c r="L53" s="881">
        <f t="shared" si="8"/>
        <v>8.7521157030468841E-3</v>
      </c>
      <c r="M53" s="313"/>
      <c r="Q53" s="858"/>
      <c r="S53" s="859"/>
      <c r="U53" s="25"/>
      <c r="V53" s="25"/>
      <c r="W53" s="25"/>
    </row>
    <row r="54" spans="1:23" ht="12.75" customHeight="1">
      <c r="A54" s="238"/>
      <c r="B54" s="418">
        <v>33</v>
      </c>
      <c r="C54" s="915">
        <f t="shared" ref="C54:C85" si="9">IF($F$4&gt;=$B54,VLOOKUP(CONCATENATE("delinquency_",$B54),delinquencies_21,2,0),"")</f>
        <v>763569871.73000002</v>
      </c>
      <c r="D54" s="916">
        <f t="shared" ref="D54:D85" si="10">IF($F$4&gt;=$B54,VLOOKUP(CONCATENATE("delinquency_",$B54),delinquencies_21,3,0),"")</f>
        <v>4900837.3600000003</v>
      </c>
      <c r="E54" s="916">
        <f t="shared" ref="E54:E85" si="11">IF($F$4&gt;=$B54,VLOOKUP(CONCATENATE("delinquency_",$B54),delinquencies_21,4,0),"")</f>
        <v>4108662.73</v>
      </c>
      <c r="F54" s="916">
        <f t="shared" ref="F54:F85" si="12">IF($F$4&gt;=$B54,VLOOKUP(CONCATENATE("delinquency_",$B54),delinquencies_21,5,0),"")</f>
        <v>3204503.44</v>
      </c>
      <c r="G54" s="916">
        <f t="shared" ref="G54:G85" si="13">IF($F$4&gt;=$B54,VLOOKUP(CONCATENATE("delinquency_",$B54),delinquencies_21,6,0),"")</f>
        <v>5138789.68</v>
      </c>
      <c r="H54" s="510">
        <f t="shared" si="5"/>
        <v>0.97727412532570956</v>
      </c>
      <c r="I54" s="223">
        <f t="shared" si="8"/>
        <v>6.4183220703775317E-3</v>
      </c>
      <c r="J54" s="223">
        <f t="shared" si="8"/>
        <v>5.3808601964494907E-3</v>
      </c>
      <c r="K54" s="223">
        <f t="shared" si="8"/>
        <v>4.1967389739194939E-3</v>
      </c>
      <c r="L54" s="881">
        <f t="shared" si="8"/>
        <v>6.7299534335439138E-3</v>
      </c>
      <c r="M54" s="313"/>
      <c r="Q54" s="858"/>
      <c r="S54" s="859"/>
      <c r="U54" s="25"/>
      <c r="V54" s="25"/>
      <c r="W54" s="25"/>
    </row>
    <row r="55" spans="1:23" ht="12.75" customHeight="1">
      <c r="A55" s="238"/>
      <c r="B55" s="418">
        <v>34</v>
      </c>
      <c r="C55" s="915">
        <f t="shared" si="9"/>
        <v>735367523.19000006</v>
      </c>
      <c r="D55" s="916">
        <f t="shared" si="10"/>
        <v>1815190.75</v>
      </c>
      <c r="E55" s="916">
        <f t="shared" si="11"/>
        <v>3423890.68</v>
      </c>
      <c r="F55" s="916">
        <f t="shared" si="12"/>
        <v>3927057.35</v>
      </c>
      <c r="G55" s="916">
        <f t="shared" si="13"/>
        <v>5723960.7999999998</v>
      </c>
      <c r="H55" s="510">
        <f t="shared" si="5"/>
        <v>0.97975148601150186</v>
      </c>
      <c r="I55" s="223">
        <f t="shared" si="8"/>
        <v>2.468412994533349E-3</v>
      </c>
      <c r="J55" s="223">
        <f t="shared" si="8"/>
        <v>4.6560265065110238E-3</v>
      </c>
      <c r="K55" s="223">
        <f t="shared" si="8"/>
        <v>5.3402648691426493E-3</v>
      </c>
      <c r="L55" s="881">
        <f t="shared" si="8"/>
        <v>7.7838096183111905E-3</v>
      </c>
      <c r="M55" s="313"/>
      <c r="Q55" s="858"/>
      <c r="S55" s="859"/>
      <c r="U55" s="25"/>
      <c r="V55" s="25"/>
      <c r="W55" s="25"/>
    </row>
    <row r="56" spans="1:23" ht="12.75" customHeight="1">
      <c r="A56" s="238"/>
      <c r="B56" s="418">
        <v>35</v>
      </c>
      <c r="C56" s="915">
        <f t="shared" si="9"/>
        <v>710172681.25999999</v>
      </c>
      <c r="D56" s="916">
        <f t="shared" si="10"/>
        <v>4057890.12</v>
      </c>
      <c r="E56" s="916">
        <f t="shared" si="11"/>
        <v>1247238.03</v>
      </c>
      <c r="F56" s="916">
        <f t="shared" si="12"/>
        <v>3290005.38</v>
      </c>
      <c r="G56" s="916">
        <f t="shared" si="13"/>
        <v>6174463.6500000004</v>
      </c>
      <c r="H56" s="510">
        <f t="shared" si="5"/>
        <v>0.9792028085988953</v>
      </c>
      <c r="I56" s="223">
        <f t="shared" si="8"/>
        <v>5.7139484903874719E-3</v>
      </c>
      <c r="J56" s="223">
        <f t="shared" si="8"/>
        <v>1.7562461397235528E-3</v>
      </c>
      <c r="K56" s="223">
        <f t="shared" si="8"/>
        <v>4.6326836652781662E-3</v>
      </c>
      <c r="L56" s="881">
        <f t="shared" si="8"/>
        <v>8.6943131057155929E-3</v>
      </c>
      <c r="M56" s="313"/>
      <c r="Q56" s="858"/>
      <c r="S56" s="859"/>
      <c r="U56" s="25"/>
      <c r="V56" s="25"/>
      <c r="W56" s="25"/>
    </row>
    <row r="57" spans="1:23" ht="12.75" customHeight="1">
      <c r="A57" s="238"/>
      <c r="B57" s="418">
        <v>36</v>
      </c>
      <c r="C57" s="915">
        <f t="shared" si="9"/>
        <v>685566657.27999997</v>
      </c>
      <c r="D57" s="916">
        <f t="shared" si="10"/>
        <v>4798143.22</v>
      </c>
      <c r="E57" s="916">
        <f t="shared" si="11"/>
        <v>1231078.3400000001</v>
      </c>
      <c r="F57" s="916">
        <f t="shared" si="12"/>
        <v>2963340.05</v>
      </c>
      <c r="G57" s="916">
        <f t="shared" si="13"/>
        <v>5921167.7400000002</v>
      </c>
      <c r="H57" s="510">
        <f t="shared" si="5"/>
        <v>0.97824612794156218</v>
      </c>
      <c r="I57" s="223">
        <f t="shared" si="8"/>
        <v>6.9987989775301112E-3</v>
      </c>
      <c r="J57" s="223">
        <f t="shared" si="8"/>
        <v>1.7957091800297423E-3</v>
      </c>
      <c r="K57" s="223">
        <f t="shared" si="8"/>
        <v>4.3224681634271905E-3</v>
      </c>
      <c r="L57" s="881">
        <f t="shared" si="8"/>
        <v>8.636895737450764E-3</v>
      </c>
      <c r="M57" s="313"/>
      <c r="Q57" s="858"/>
      <c r="S57" s="859"/>
      <c r="U57" s="25"/>
      <c r="V57" s="25"/>
      <c r="W57" s="25"/>
    </row>
    <row r="58" spans="1:23" ht="12.75" customHeight="1">
      <c r="A58" s="238"/>
      <c r="B58" s="418">
        <v>37</v>
      </c>
      <c r="C58" s="915">
        <f t="shared" si="9"/>
        <v>660901546.09000003</v>
      </c>
      <c r="D58" s="916">
        <f t="shared" si="10"/>
        <v>1602710.3</v>
      </c>
      <c r="E58" s="916">
        <f t="shared" si="11"/>
        <v>3973521.95</v>
      </c>
      <c r="F58" s="916">
        <f t="shared" si="12"/>
        <v>3298702.65</v>
      </c>
      <c r="G58" s="916">
        <f t="shared" si="13"/>
        <v>5744240.8799999999</v>
      </c>
      <c r="H58" s="510">
        <f t="shared" si="5"/>
        <v>0.97787994918987653</v>
      </c>
      <c r="I58" s="223">
        <f t="shared" si="8"/>
        <v>2.4250363907935943E-3</v>
      </c>
      <c r="J58" s="223">
        <f t="shared" si="8"/>
        <v>6.0122751618724391E-3</v>
      </c>
      <c r="K58" s="223">
        <f t="shared" si="8"/>
        <v>4.9912164217433838E-3</v>
      </c>
      <c r="L58" s="881">
        <f t="shared" si="8"/>
        <v>8.6915228357141144E-3</v>
      </c>
      <c r="M58" s="313"/>
      <c r="Q58" s="858"/>
      <c r="S58" s="859"/>
      <c r="U58" s="25"/>
      <c r="V58" s="25"/>
      <c r="W58" s="25"/>
    </row>
    <row r="59" spans="1:23" ht="12.75" customHeight="1">
      <c r="A59" s="238"/>
      <c r="B59" s="418">
        <v>38</v>
      </c>
      <c r="C59" s="915">
        <f t="shared" si="9"/>
        <v>637903729.57000005</v>
      </c>
      <c r="D59" s="916">
        <f t="shared" si="10"/>
        <v>5063587.3</v>
      </c>
      <c r="E59" s="916">
        <f t="shared" si="11"/>
        <v>3874881.86</v>
      </c>
      <c r="F59" s="916">
        <f t="shared" si="12"/>
        <v>2690910.61</v>
      </c>
      <c r="G59" s="916">
        <f t="shared" si="13"/>
        <v>3371049.05</v>
      </c>
      <c r="H59" s="510">
        <f t="shared" si="5"/>
        <v>0.97648480777795188</v>
      </c>
      <c r="I59" s="223">
        <f t="shared" si="8"/>
        <v>7.9378549854431431E-3</v>
      </c>
      <c r="J59" s="223">
        <f t="shared" si="8"/>
        <v>6.0743991301195109E-3</v>
      </c>
      <c r="K59" s="223">
        <f t="shared" si="8"/>
        <v>4.2183647551549772E-3</v>
      </c>
      <c r="L59" s="881">
        <f t="shared" si="8"/>
        <v>5.2845733513305626E-3</v>
      </c>
      <c r="M59" s="313"/>
      <c r="Q59" s="858"/>
      <c r="S59" s="859"/>
      <c r="U59" s="25"/>
      <c r="V59" s="25"/>
      <c r="W59" s="25"/>
    </row>
    <row r="60" spans="1:23" ht="12.75" customHeight="1">
      <c r="A60" s="238"/>
      <c r="B60" s="418">
        <v>39</v>
      </c>
      <c r="C60" s="915">
        <f t="shared" si="9"/>
        <v>618318454.58000004</v>
      </c>
      <c r="D60" s="916">
        <f t="shared" si="10"/>
        <v>4024053.24</v>
      </c>
      <c r="E60" s="916">
        <f t="shared" si="11"/>
        <v>3614218.6</v>
      </c>
      <c r="F60" s="916">
        <f t="shared" si="12"/>
        <v>992381.23</v>
      </c>
      <c r="G60" s="916">
        <f t="shared" si="13"/>
        <v>5382294.1900000004</v>
      </c>
      <c r="H60" s="510">
        <f t="shared" ref="H60:H100" si="14">IF(ISNUMBER(C60),(C60-D60-E60-F60-G60)/C60,"")</f>
        <v>0.97733700626885123</v>
      </c>
      <c r="I60" s="223">
        <f t="shared" ref="I60:I100" si="15">IF(ISNUMBER($C60),D60/$C60,"")</f>
        <v>6.5080594153273091E-3</v>
      </c>
      <c r="J60" s="223">
        <f t="shared" ref="J60:J100" si="16">IF(ISNUMBER($C60),E60/$C60,"")</f>
        <v>5.8452381183657209E-3</v>
      </c>
      <c r="K60" s="223">
        <f t="shared" ref="K60:K100" si="17">IF(ISNUMBER($C60),F60/$C60,"")</f>
        <v>1.6049678327555118E-3</v>
      </c>
      <c r="L60" s="881">
        <f t="shared" ref="L60:L100" si="18">IF(ISNUMBER($C60),G60/$C60,"")</f>
        <v>8.7047283647000082E-3</v>
      </c>
      <c r="M60" s="313"/>
      <c r="Q60" s="858"/>
      <c r="S60" s="859"/>
      <c r="U60" s="25"/>
      <c r="V60" s="25"/>
      <c r="W60" s="25"/>
    </row>
    <row r="61" spans="1:23" ht="12.75" customHeight="1">
      <c r="A61" s="238"/>
      <c r="B61" s="418">
        <v>40</v>
      </c>
      <c r="C61" s="915">
        <f t="shared" si="9"/>
        <v>596063188.09000003</v>
      </c>
      <c r="D61" s="916">
        <f t="shared" si="10"/>
        <v>1546831.52</v>
      </c>
      <c r="E61" s="916">
        <f t="shared" si="11"/>
        <v>3753103.57</v>
      </c>
      <c r="F61" s="916">
        <f t="shared" si="12"/>
        <v>2799555.96</v>
      </c>
      <c r="G61" s="916">
        <f t="shared" si="13"/>
        <v>5208181.5199999996</v>
      </c>
      <c r="H61" s="510">
        <f t="shared" si="14"/>
        <v>0.97767405732160273</v>
      </c>
      <c r="I61" s="223">
        <f t="shared" si="15"/>
        <v>2.5950797682316239E-3</v>
      </c>
      <c r="J61" s="223">
        <f t="shared" si="16"/>
        <v>6.2964860856888141E-3</v>
      </c>
      <c r="K61" s="223">
        <f t="shared" si="17"/>
        <v>4.6967435935286999E-3</v>
      </c>
      <c r="L61" s="881">
        <f t="shared" si="18"/>
        <v>8.7376332309480123E-3</v>
      </c>
      <c r="M61" s="313"/>
      <c r="Q61" s="858"/>
      <c r="S61" s="859"/>
      <c r="U61" s="25"/>
      <c r="V61" s="25"/>
      <c r="W61" s="25"/>
    </row>
    <row r="62" spans="1:23" ht="12.75" customHeight="1">
      <c r="A62" s="238"/>
      <c r="B62" s="418">
        <v>41</v>
      </c>
      <c r="C62" s="915">
        <f t="shared" si="9"/>
        <v>574282915.77999997</v>
      </c>
      <c r="D62" s="916">
        <f t="shared" si="10"/>
        <v>3820113.38</v>
      </c>
      <c r="E62" s="916">
        <f t="shared" si="11"/>
        <v>3211164.61</v>
      </c>
      <c r="F62" s="916">
        <f t="shared" si="12"/>
        <v>2405734.46</v>
      </c>
      <c r="G62" s="916">
        <f t="shared" si="13"/>
        <v>3289481.82</v>
      </c>
      <c r="H62" s="510">
        <f t="shared" si="14"/>
        <v>0.97783932984892163</v>
      </c>
      <c r="I62" s="223">
        <f t="shared" si="15"/>
        <v>6.651971136580761E-3</v>
      </c>
      <c r="J62" s="223">
        <f t="shared" si="16"/>
        <v>5.591607414680874E-3</v>
      </c>
      <c r="K62" s="223">
        <f t="shared" si="17"/>
        <v>4.1891102693391007E-3</v>
      </c>
      <c r="L62" s="881">
        <f t="shared" si="18"/>
        <v>5.7279813304774605E-3</v>
      </c>
      <c r="M62" s="313"/>
      <c r="Q62" s="858"/>
      <c r="S62" s="859"/>
      <c r="U62" s="25"/>
      <c r="V62" s="25"/>
      <c r="W62" s="25"/>
    </row>
    <row r="63" spans="1:23" ht="12.75" customHeight="1">
      <c r="A63" s="238"/>
      <c r="B63" s="418">
        <v>42</v>
      </c>
      <c r="C63" s="915">
        <f t="shared" si="9"/>
        <v>553545473.48000002</v>
      </c>
      <c r="D63" s="916">
        <f t="shared" si="10"/>
        <v>1996790.45</v>
      </c>
      <c r="E63" s="916">
        <f t="shared" si="11"/>
        <v>4622123.4000000004</v>
      </c>
      <c r="F63" s="916">
        <f t="shared" si="12"/>
        <v>2370174.44</v>
      </c>
      <c r="G63" s="916">
        <f t="shared" si="13"/>
        <v>3350161.35</v>
      </c>
      <c r="H63" s="510">
        <f t="shared" si="14"/>
        <v>0.97770869742204491</v>
      </c>
      <c r="I63" s="223">
        <f t="shared" si="15"/>
        <v>3.6072744619275537E-3</v>
      </c>
      <c r="J63" s="223">
        <f t="shared" si="16"/>
        <v>8.3500337758014402E-3</v>
      </c>
      <c r="K63" s="223">
        <f t="shared" si="17"/>
        <v>4.2818061994063725E-3</v>
      </c>
      <c r="L63" s="881">
        <f t="shared" si="18"/>
        <v>6.0521881408195522E-3</v>
      </c>
      <c r="M63" s="313"/>
      <c r="Q63" s="858"/>
      <c r="S63" s="859"/>
      <c r="U63" s="25"/>
      <c r="V63" s="25"/>
      <c r="W63" s="25"/>
    </row>
    <row r="64" spans="1:23" ht="12.75" customHeight="1">
      <c r="A64" s="238"/>
      <c r="B64" s="418">
        <v>43</v>
      </c>
      <c r="C64" s="915">
        <f t="shared" si="9"/>
        <v>533508450.69</v>
      </c>
      <c r="D64" s="916">
        <f t="shared" si="10"/>
        <v>3699913.14</v>
      </c>
      <c r="E64" s="916">
        <f t="shared" si="11"/>
        <v>1303908.3400000001</v>
      </c>
      <c r="F64" s="916">
        <f t="shared" si="12"/>
        <v>3775634.27</v>
      </c>
      <c r="G64" s="916">
        <f t="shared" si="13"/>
        <v>3319759.27</v>
      </c>
      <c r="H64" s="510">
        <f t="shared" si="14"/>
        <v>0.97732141823742114</v>
      </c>
      <c r="I64" s="223">
        <f t="shared" si="15"/>
        <v>6.9350600449061463E-3</v>
      </c>
      <c r="J64" s="223">
        <f t="shared" si="16"/>
        <v>2.4440256537897804E-3</v>
      </c>
      <c r="K64" s="223">
        <f t="shared" si="17"/>
        <v>7.0769905614744746E-3</v>
      </c>
      <c r="L64" s="881">
        <f t="shared" si="18"/>
        <v>6.2225055024085771E-3</v>
      </c>
      <c r="M64" s="313"/>
      <c r="Q64" s="858"/>
      <c r="S64" s="859"/>
      <c r="U64" s="25"/>
      <c r="V64" s="25"/>
      <c r="W64" s="25"/>
    </row>
    <row r="65" spans="1:23" ht="12.75" customHeight="1">
      <c r="A65" s="238"/>
      <c r="B65" s="418">
        <v>44</v>
      </c>
      <c r="C65" s="915" t="str">
        <f t="shared" si="9"/>
        <v/>
      </c>
      <c r="D65" s="916" t="str">
        <f t="shared" si="10"/>
        <v/>
      </c>
      <c r="E65" s="916" t="str">
        <f t="shared" si="11"/>
        <v/>
      </c>
      <c r="F65" s="916" t="str">
        <f t="shared" si="12"/>
        <v/>
      </c>
      <c r="G65" s="916" t="str">
        <f t="shared" si="13"/>
        <v/>
      </c>
      <c r="H65" s="510" t="str">
        <f t="shared" si="14"/>
        <v/>
      </c>
      <c r="I65" s="223" t="str">
        <f t="shared" si="15"/>
        <v/>
      </c>
      <c r="J65" s="223" t="str">
        <f t="shared" si="16"/>
        <v/>
      </c>
      <c r="K65" s="223" t="str">
        <f t="shared" si="17"/>
        <v/>
      </c>
      <c r="L65" s="881" t="str">
        <f t="shared" si="18"/>
        <v/>
      </c>
      <c r="M65" s="313"/>
      <c r="Q65" s="858"/>
      <c r="S65" s="859"/>
      <c r="U65" s="25"/>
      <c r="V65" s="25"/>
      <c r="W65" s="25"/>
    </row>
    <row r="66" spans="1:23" ht="12.75" customHeight="1">
      <c r="A66" s="238"/>
      <c r="B66" s="418">
        <v>45</v>
      </c>
      <c r="C66" s="915" t="str">
        <f t="shared" si="9"/>
        <v/>
      </c>
      <c r="D66" s="916" t="str">
        <f t="shared" si="10"/>
        <v/>
      </c>
      <c r="E66" s="916" t="str">
        <f t="shared" si="11"/>
        <v/>
      </c>
      <c r="F66" s="916" t="str">
        <f t="shared" si="12"/>
        <v/>
      </c>
      <c r="G66" s="916" t="str">
        <f t="shared" si="13"/>
        <v/>
      </c>
      <c r="H66" s="510" t="str">
        <f t="shared" si="14"/>
        <v/>
      </c>
      <c r="I66" s="223" t="str">
        <f t="shared" si="15"/>
        <v/>
      </c>
      <c r="J66" s="223" t="str">
        <f t="shared" si="16"/>
        <v/>
      </c>
      <c r="K66" s="223" t="str">
        <f t="shared" si="17"/>
        <v/>
      </c>
      <c r="L66" s="881" t="str">
        <f t="shared" si="18"/>
        <v/>
      </c>
      <c r="M66" s="313"/>
      <c r="Q66" s="858"/>
      <c r="S66" s="859"/>
      <c r="U66" s="25"/>
      <c r="V66" s="25"/>
      <c r="W66" s="25"/>
    </row>
    <row r="67" spans="1:23" ht="12.75" customHeight="1">
      <c r="A67" s="238"/>
      <c r="B67" s="418">
        <v>46</v>
      </c>
      <c r="C67" s="915" t="str">
        <f t="shared" si="9"/>
        <v/>
      </c>
      <c r="D67" s="916" t="str">
        <f t="shared" si="10"/>
        <v/>
      </c>
      <c r="E67" s="916" t="str">
        <f t="shared" si="11"/>
        <v/>
      </c>
      <c r="F67" s="916" t="str">
        <f t="shared" si="12"/>
        <v/>
      </c>
      <c r="G67" s="916" t="str">
        <f t="shared" si="13"/>
        <v/>
      </c>
      <c r="H67" s="510" t="str">
        <f t="shared" si="14"/>
        <v/>
      </c>
      <c r="I67" s="223" t="str">
        <f t="shared" si="15"/>
        <v/>
      </c>
      <c r="J67" s="223" t="str">
        <f t="shared" si="16"/>
        <v/>
      </c>
      <c r="K67" s="223" t="str">
        <f t="shared" si="17"/>
        <v/>
      </c>
      <c r="L67" s="881" t="str">
        <f t="shared" si="18"/>
        <v/>
      </c>
      <c r="M67" s="313"/>
      <c r="Q67" s="858"/>
      <c r="S67" s="859"/>
      <c r="U67" s="25"/>
      <c r="V67" s="25"/>
      <c r="W67" s="25"/>
    </row>
    <row r="68" spans="1:23" ht="12.75" customHeight="1">
      <c r="A68" s="238"/>
      <c r="B68" s="418">
        <v>47</v>
      </c>
      <c r="C68" s="915" t="str">
        <f t="shared" si="9"/>
        <v/>
      </c>
      <c r="D68" s="916" t="str">
        <f t="shared" si="10"/>
        <v/>
      </c>
      <c r="E68" s="916" t="str">
        <f t="shared" si="11"/>
        <v/>
      </c>
      <c r="F68" s="916" t="str">
        <f t="shared" si="12"/>
        <v/>
      </c>
      <c r="G68" s="916" t="str">
        <f t="shared" si="13"/>
        <v/>
      </c>
      <c r="H68" s="510" t="str">
        <f t="shared" si="14"/>
        <v/>
      </c>
      <c r="I68" s="223" t="str">
        <f t="shared" si="15"/>
        <v/>
      </c>
      <c r="J68" s="223" t="str">
        <f t="shared" si="16"/>
        <v/>
      </c>
      <c r="K68" s="223" t="str">
        <f t="shared" si="17"/>
        <v/>
      </c>
      <c r="L68" s="881" t="str">
        <f t="shared" si="18"/>
        <v/>
      </c>
      <c r="M68" s="313"/>
      <c r="Q68" s="858"/>
      <c r="S68" s="859"/>
      <c r="U68" s="25"/>
      <c r="V68" s="25"/>
      <c r="W68" s="25"/>
    </row>
    <row r="69" spans="1:23" ht="12.75" customHeight="1">
      <c r="A69" s="238"/>
      <c r="B69" s="418">
        <v>48</v>
      </c>
      <c r="C69" s="915" t="str">
        <f t="shared" si="9"/>
        <v/>
      </c>
      <c r="D69" s="916" t="str">
        <f t="shared" si="10"/>
        <v/>
      </c>
      <c r="E69" s="916" t="str">
        <f t="shared" si="11"/>
        <v/>
      </c>
      <c r="F69" s="916" t="str">
        <f t="shared" si="12"/>
        <v/>
      </c>
      <c r="G69" s="916" t="str">
        <f t="shared" si="13"/>
        <v/>
      </c>
      <c r="H69" s="510" t="str">
        <f t="shared" si="14"/>
        <v/>
      </c>
      <c r="I69" s="223" t="str">
        <f t="shared" si="15"/>
        <v/>
      </c>
      <c r="J69" s="223" t="str">
        <f t="shared" si="16"/>
        <v/>
      </c>
      <c r="K69" s="223" t="str">
        <f t="shared" si="17"/>
        <v/>
      </c>
      <c r="L69" s="881" t="str">
        <f t="shared" si="18"/>
        <v/>
      </c>
      <c r="M69" s="313"/>
      <c r="Q69" s="858"/>
      <c r="S69" s="859"/>
      <c r="U69" s="25"/>
      <c r="V69" s="25"/>
      <c r="W69" s="25"/>
    </row>
    <row r="70" spans="1:23" ht="12.75" customHeight="1">
      <c r="A70" s="238"/>
      <c r="B70" s="418">
        <v>49</v>
      </c>
      <c r="C70" s="915" t="str">
        <f t="shared" si="9"/>
        <v/>
      </c>
      <c r="D70" s="916" t="str">
        <f t="shared" si="10"/>
        <v/>
      </c>
      <c r="E70" s="916" t="str">
        <f t="shared" si="11"/>
        <v/>
      </c>
      <c r="F70" s="916" t="str">
        <f t="shared" si="12"/>
        <v/>
      </c>
      <c r="G70" s="916" t="str">
        <f t="shared" si="13"/>
        <v/>
      </c>
      <c r="H70" s="510" t="str">
        <f t="shared" si="14"/>
        <v/>
      </c>
      <c r="I70" s="223" t="str">
        <f t="shared" si="15"/>
        <v/>
      </c>
      <c r="J70" s="223" t="str">
        <f t="shared" si="16"/>
        <v/>
      </c>
      <c r="K70" s="223" t="str">
        <f t="shared" si="17"/>
        <v/>
      </c>
      <c r="L70" s="881" t="str">
        <f t="shared" si="18"/>
        <v/>
      </c>
      <c r="M70" s="313"/>
      <c r="Q70" s="858"/>
      <c r="S70" s="859"/>
      <c r="U70" s="25"/>
      <c r="V70" s="25"/>
      <c r="W70" s="25"/>
    </row>
    <row r="71" spans="1:23" ht="12.75" customHeight="1">
      <c r="A71" s="238"/>
      <c r="B71" s="418">
        <v>50</v>
      </c>
      <c r="C71" s="915" t="str">
        <f t="shared" si="9"/>
        <v/>
      </c>
      <c r="D71" s="916" t="str">
        <f t="shared" si="10"/>
        <v/>
      </c>
      <c r="E71" s="916" t="str">
        <f t="shared" si="11"/>
        <v/>
      </c>
      <c r="F71" s="916" t="str">
        <f t="shared" si="12"/>
        <v/>
      </c>
      <c r="G71" s="916" t="str">
        <f t="shared" si="13"/>
        <v/>
      </c>
      <c r="H71" s="510" t="str">
        <f t="shared" si="14"/>
        <v/>
      </c>
      <c r="I71" s="223" t="str">
        <f t="shared" si="15"/>
        <v/>
      </c>
      <c r="J71" s="223" t="str">
        <f t="shared" si="16"/>
        <v/>
      </c>
      <c r="K71" s="223" t="str">
        <f t="shared" si="17"/>
        <v/>
      </c>
      <c r="L71" s="881" t="str">
        <f t="shared" si="18"/>
        <v/>
      </c>
      <c r="M71" s="313"/>
      <c r="Q71" s="858"/>
      <c r="S71" s="859"/>
      <c r="U71" s="25"/>
      <c r="V71" s="25"/>
      <c r="W71" s="25"/>
    </row>
    <row r="72" spans="1:23" ht="12.75" customHeight="1">
      <c r="A72" s="238"/>
      <c r="B72" s="418">
        <v>51</v>
      </c>
      <c r="C72" s="915" t="str">
        <f t="shared" si="9"/>
        <v/>
      </c>
      <c r="D72" s="916" t="str">
        <f t="shared" si="10"/>
        <v/>
      </c>
      <c r="E72" s="916" t="str">
        <f t="shared" si="11"/>
        <v/>
      </c>
      <c r="F72" s="916" t="str">
        <f t="shared" si="12"/>
        <v/>
      </c>
      <c r="G72" s="916" t="str">
        <f t="shared" si="13"/>
        <v/>
      </c>
      <c r="H72" s="510" t="str">
        <f t="shared" si="14"/>
        <v/>
      </c>
      <c r="I72" s="223" t="str">
        <f t="shared" si="15"/>
        <v/>
      </c>
      <c r="J72" s="223" t="str">
        <f t="shared" si="16"/>
        <v/>
      </c>
      <c r="K72" s="223" t="str">
        <f t="shared" si="17"/>
        <v/>
      </c>
      <c r="L72" s="881" t="str">
        <f t="shared" si="18"/>
        <v/>
      </c>
      <c r="M72" s="313"/>
      <c r="Q72" s="858"/>
      <c r="S72" s="859"/>
      <c r="U72" s="25"/>
      <c r="V72" s="25"/>
      <c r="W72" s="25"/>
    </row>
    <row r="73" spans="1:23" ht="12.75" customHeight="1">
      <c r="A73" s="238"/>
      <c r="B73" s="418">
        <v>52</v>
      </c>
      <c r="C73" s="915" t="str">
        <f t="shared" si="9"/>
        <v/>
      </c>
      <c r="D73" s="916" t="str">
        <f t="shared" si="10"/>
        <v/>
      </c>
      <c r="E73" s="916" t="str">
        <f t="shared" si="11"/>
        <v/>
      </c>
      <c r="F73" s="916" t="str">
        <f t="shared" si="12"/>
        <v/>
      </c>
      <c r="G73" s="916" t="str">
        <f t="shared" si="13"/>
        <v/>
      </c>
      <c r="H73" s="510" t="str">
        <f t="shared" si="14"/>
        <v/>
      </c>
      <c r="I73" s="223" t="str">
        <f t="shared" si="15"/>
        <v/>
      </c>
      <c r="J73" s="223" t="str">
        <f t="shared" si="16"/>
        <v/>
      </c>
      <c r="K73" s="223" t="str">
        <f t="shared" si="17"/>
        <v/>
      </c>
      <c r="L73" s="881" t="str">
        <f t="shared" si="18"/>
        <v/>
      </c>
      <c r="M73" s="313"/>
      <c r="Q73" s="858"/>
      <c r="S73" s="859"/>
      <c r="U73" s="25"/>
      <c r="V73" s="25"/>
      <c r="W73" s="25"/>
    </row>
    <row r="74" spans="1:23" ht="12.75" customHeight="1">
      <c r="A74" s="238"/>
      <c r="B74" s="418">
        <v>53</v>
      </c>
      <c r="C74" s="915" t="str">
        <f t="shared" si="9"/>
        <v/>
      </c>
      <c r="D74" s="916" t="str">
        <f t="shared" si="10"/>
        <v/>
      </c>
      <c r="E74" s="916" t="str">
        <f t="shared" si="11"/>
        <v/>
      </c>
      <c r="F74" s="916" t="str">
        <f t="shared" si="12"/>
        <v/>
      </c>
      <c r="G74" s="916" t="str">
        <f t="shared" si="13"/>
        <v/>
      </c>
      <c r="H74" s="510" t="str">
        <f t="shared" si="14"/>
        <v/>
      </c>
      <c r="I74" s="223" t="str">
        <f t="shared" si="15"/>
        <v/>
      </c>
      <c r="J74" s="223" t="str">
        <f t="shared" si="16"/>
        <v/>
      </c>
      <c r="K74" s="223" t="str">
        <f t="shared" si="17"/>
        <v/>
      </c>
      <c r="L74" s="881" t="str">
        <f t="shared" si="18"/>
        <v/>
      </c>
      <c r="M74" s="313"/>
      <c r="Q74" s="858"/>
      <c r="S74" s="859"/>
      <c r="U74" s="25"/>
      <c r="V74" s="25"/>
      <c r="W74" s="25"/>
    </row>
    <row r="75" spans="1:23" ht="12.75" customHeight="1">
      <c r="A75" s="238"/>
      <c r="B75" s="418">
        <v>54</v>
      </c>
      <c r="C75" s="915" t="str">
        <f t="shared" si="9"/>
        <v/>
      </c>
      <c r="D75" s="916" t="str">
        <f t="shared" si="10"/>
        <v/>
      </c>
      <c r="E75" s="916" t="str">
        <f t="shared" si="11"/>
        <v/>
      </c>
      <c r="F75" s="916" t="str">
        <f t="shared" si="12"/>
        <v/>
      </c>
      <c r="G75" s="916" t="str">
        <f t="shared" si="13"/>
        <v/>
      </c>
      <c r="H75" s="510" t="str">
        <f t="shared" si="14"/>
        <v/>
      </c>
      <c r="I75" s="223" t="str">
        <f t="shared" si="15"/>
        <v/>
      </c>
      <c r="J75" s="223" t="str">
        <f t="shared" si="16"/>
        <v/>
      </c>
      <c r="K75" s="223" t="str">
        <f t="shared" si="17"/>
        <v/>
      </c>
      <c r="L75" s="881" t="str">
        <f t="shared" si="18"/>
        <v/>
      </c>
      <c r="M75" s="313"/>
      <c r="Q75" s="858"/>
      <c r="S75" s="859"/>
      <c r="U75" s="25"/>
      <c r="V75" s="25"/>
      <c r="W75" s="25"/>
    </row>
    <row r="76" spans="1:23" ht="12.75" customHeight="1">
      <c r="A76" s="238"/>
      <c r="B76" s="418">
        <v>55</v>
      </c>
      <c r="C76" s="915" t="str">
        <f t="shared" si="9"/>
        <v/>
      </c>
      <c r="D76" s="916" t="str">
        <f t="shared" si="10"/>
        <v/>
      </c>
      <c r="E76" s="916" t="str">
        <f t="shared" si="11"/>
        <v/>
      </c>
      <c r="F76" s="916" t="str">
        <f t="shared" si="12"/>
        <v/>
      </c>
      <c r="G76" s="916" t="str">
        <f t="shared" si="13"/>
        <v/>
      </c>
      <c r="H76" s="510" t="str">
        <f t="shared" si="14"/>
        <v/>
      </c>
      <c r="I76" s="223" t="str">
        <f t="shared" si="15"/>
        <v/>
      </c>
      <c r="J76" s="223" t="str">
        <f t="shared" si="16"/>
        <v/>
      </c>
      <c r="K76" s="223" t="str">
        <f t="shared" si="17"/>
        <v/>
      </c>
      <c r="L76" s="881" t="str">
        <f t="shared" si="18"/>
        <v/>
      </c>
      <c r="M76" s="313"/>
      <c r="Q76" s="858"/>
      <c r="S76" s="859"/>
      <c r="U76" s="25"/>
      <c r="V76" s="25"/>
      <c r="W76" s="25"/>
    </row>
    <row r="77" spans="1:23" ht="12.75" customHeight="1">
      <c r="A77" s="238"/>
      <c r="B77" s="418">
        <v>56</v>
      </c>
      <c r="C77" s="915" t="str">
        <f t="shared" si="9"/>
        <v/>
      </c>
      <c r="D77" s="916" t="str">
        <f t="shared" si="10"/>
        <v/>
      </c>
      <c r="E77" s="916" t="str">
        <f t="shared" si="11"/>
        <v/>
      </c>
      <c r="F77" s="916" t="str">
        <f t="shared" si="12"/>
        <v/>
      </c>
      <c r="G77" s="916" t="str">
        <f t="shared" si="13"/>
        <v/>
      </c>
      <c r="H77" s="510" t="str">
        <f t="shared" si="14"/>
        <v/>
      </c>
      <c r="I77" s="223" t="str">
        <f t="shared" si="15"/>
        <v/>
      </c>
      <c r="J77" s="223" t="str">
        <f t="shared" si="16"/>
        <v/>
      </c>
      <c r="K77" s="223" t="str">
        <f t="shared" si="17"/>
        <v/>
      </c>
      <c r="L77" s="881" t="str">
        <f t="shared" si="18"/>
        <v/>
      </c>
      <c r="M77" s="313"/>
      <c r="Q77" s="858"/>
      <c r="S77" s="859"/>
      <c r="U77" s="25"/>
      <c r="V77" s="25"/>
      <c r="W77" s="25"/>
    </row>
    <row r="78" spans="1:23" ht="12.75" customHeight="1">
      <c r="A78" s="238"/>
      <c r="B78" s="418">
        <v>57</v>
      </c>
      <c r="C78" s="915" t="str">
        <f t="shared" si="9"/>
        <v/>
      </c>
      <c r="D78" s="916" t="str">
        <f t="shared" si="10"/>
        <v/>
      </c>
      <c r="E78" s="916" t="str">
        <f t="shared" si="11"/>
        <v/>
      </c>
      <c r="F78" s="916" t="str">
        <f t="shared" si="12"/>
        <v/>
      </c>
      <c r="G78" s="916" t="str">
        <f t="shared" si="13"/>
        <v/>
      </c>
      <c r="H78" s="510" t="str">
        <f t="shared" si="14"/>
        <v/>
      </c>
      <c r="I78" s="223" t="str">
        <f t="shared" si="15"/>
        <v/>
      </c>
      <c r="J78" s="223" t="str">
        <f t="shared" si="16"/>
        <v/>
      </c>
      <c r="K78" s="223" t="str">
        <f t="shared" si="17"/>
        <v/>
      </c>
      <c r="L78" s="881" t="str">
        <f t="shared" si="18"/>
        <v/>
      </c>
      <c r="M78" s="313"/>
      <c r="Q78" s="858"/>
      <c r="S78" s="859"/>
      <c r="U78" s="25"/>
      <c r="V78" s="25"/>
      <c r="W78" s="25"/>
    </row>
    <row r="79" spans="1:23" ht="12.75" customHeight="1">
      <c r="A79" s="238"/>
      <c r="B79" s="418">
        <v>58</v>
      </c>
      <c r="C79" s="915" t="str">
        <f t="shared" si="9"/>
        <v/>
      </c>
      <c r="D79" s="916" t="str">
        <f t="shared" si="10"/>
        <v/>
      </c>
      <c r="E79" s="916" t="str">
        <f t="shared" si="11"/>
        <v/>
      </c>
      <c r="F79" s="916" t="str">
        <f t="shared" si="12"/>
        <v/>
      </c>
      <c r="G79" s="916" t="str">
        <f t="shared" si="13"/>
        <v/>
      </c>
      <c r="H79" s="510" t="str">
        <f t="shared" si="14"/>
        <v/>
      </c>
      <c r="I79" s="223" t="str">
        <f t="shared" si="15"/>
        <v/>
      </c>
      <c r="J79" s="223" t="str">
        <f t="shared" si="16"/>
        <v/>
      </c>
      <c r="K79" s="223" t="str">
        <f t="shared" si="17"/>
        <v/>
      </c>
      <c r="L79" s="881" t="str">
        <f t="shared" si="18"/>
        <v/>
      </c>
      <c r="M79" s="313"/>
      <c r="Q79" s="858"/>
      <c r="S79" s="859"/>
      <c r="U79" s="25"/>
      <c r="V79" s="25"/>
      <c r="W79" s="25"/>
    </row>
    <row r="80" spans="1:23" ht="12.75" customHeight="1">
      <c r="A80" s="238"/>
      <c r="B80" s="418">
        <v>59</v>
      </c>
      <c r="C80" s="915" t="str">
        <f t="shared" si="9"/>
        <v/>
      </c>
      <c r="D80" s="916" t="str">
        <f t="shared" si="10"/>
        <v/>
      </c>
      <c r="E80" s="916" t="str">
        <f t="shared" si="11"/>
        <v/>
      </c>
      <c r="F80" s="916" t="str">
        <f t="shared" si="12"/>
        <v/>
      </c>
      <c r="G80" s="916" t="str">
        <f t="shared" si="13"/>
        <v/>
      </c>
      <c r="H80" s="510" t="str">
        <f t="shared" si="14"/>
        <v/>
      </c>
      <c r="I80" s="223" t="str">
        <f t="shared" si="15"/>
        <v/>
      </c>
      <c r="J80" s="223" t="str">
        <f t="shared" si="16"/>
        <v/>
      </c>
      <c r="K80" s="223" t="str">
        <f t="shared" si="17"/>
        <v/>
      </c>
      <c r="L80" s="881" t="str">
        <f t="shared" si="18"/>
        <v/>
      </c>
      <c r="M80" s="313"/>
      <c r="Q80" s="858"/>
      <c r="S80" s="859"/>
      <c r="U80" s="25"/>
      <c r="V80" s="25"/>
      <c r="W80" s="25"/>
    </row>
    <row r="81" spans="1:23" ht="12.75" customHeight="1">
      <c r="A81" s="238"/>
      <c r="B81" s="418">
        <v>60</v>
      </c>
      <c r="C81" s="915" t="str">
        <f t="shared" si="9"/>
        <v/>
      </c>
      <c r="D81" s="916" t="str">
        <f t="shared" si="10"/>
        <v/>
      </c>
      <c r="E81" s="916" t="str">
        <f t="shared" si="11"/>
        <v/>
      </c>
      <c r="F81" s="916" t="str">
        <f t="shared" si="12"/>
        <v/>
      </c>
      <c r="G81" s="916" t="str">
        <f t="shared" si="13"/>
        <v/>
      </c>
      <c r="H81" s="510" t="str">
        <f t="shared" si="14"/>
        <v/>
      </c>
      <c r="I81" s="223" t="str">
        <f t="shared" si="15"/>
        <v/>
      </c>
      <c r="J81" s="223" t="str">
        <f t="shared" si="16"/>
        <v/>
      </c>
      <c r="K81" s="223" t="str">
        <f t="shared" si="17"/>
        <v/>
      </c>
      <c r="L81" s="881" t="str">
        <f t="shared" si="18"/>
        <v/>
      </c>
      <c r="M81" s="313"/>
      <c r="Q81" s="858"/>
      <c r="S81" s="859"/>
      <c r="U81" s="25"/>
      <c r="V81" s="25"/>
      <c r="W81" s="25"/>
    </row>
    <row r="82" spans="1:23" ht="12.75" customHeight="1">
      <c r="A82" s="238"/>
      <c r="B82" s="418">
        <v>61</v>
      </c>
      <c r="C82" s="915" t="str">
        <f t="shared" si="9"/>
        <v/>
      </c>
      <c r="D82" s="916" t="str">
        <f t="shared" si="10"/>
        <v/>
      </c>
      <c r="E82" s="916" t="str">
        <f t="shared" si="11"/>
        <v/>
      </c>
      <c r="F82" s="916" t="str">
        <f t="shared" si="12"/>
        <v/>
      </c>
      <c r="G82" s="916" t="str">
        <f t="shared" si="13"/>
        <v/>
      </c>
      <c r="H82" s="510" t="str">
        <f t="shared" si="14"/>
        <v/>
      </c>
      <c r="I82" s="223" t="str">
        <f t="shared" si="15"/>
        <v/>
      </c>
      <c r="J82" s="223" t="str">
        <f t="shared" si="16"/>
        <v/>
      </c>
      <c r="K82" s="223" t="str">
        <f t="shared" si="17"/>
        <v/>
      </c>
      <c r="L82" s="881" t="str">
        <f t="shared" si="18"/>
        <v/>
      </c>
      <c r="M82" s="313"/>
      <c r="Q82" s="858"/>
      <c r="S82" s="859"/>
      <c r="U82" s="25"/>
      <c r="V82" s="25"/>
      <c r="W82" s="25"/>
    </row>
    <row r="83" spans="1:23" ht="12.75" customHeight="1">
      <c r="A83" s="238"/>
      <c r="B83" s="418">
        <v>62</v>
      </c>
      <c r="C83" s="915" t="str">
        <f t="shared" si="9"/>
        <v/>
      </c>
      <c r="D83" s="916" t="str">
        <f t="shared" si="10"/>
        <v/>
      </c>
      <c r="E83" s="916" t="str">
        <f t="shared" si="11"/>
        <v/>
      </c>
      <c r="F83" s="916" t="str">
        <f t="shared" si="12"/>
        <v/>
      </c>
      <c r="G83" s="916" t="str">
        <f t="shared" si="13"/>
        <v/>
      </c>
      <c r="H83" s="510" t="str">
        <f t="shared" si="14"/>
        <v/>
      </c>
      <c r="I83" s="223" t="str">
        <f t="shared" si="15"/>
        <v/>
      </c>
      <c r="J83" s="223" t="str">
        <f t="shared" si="16"/>
        <v/>
      </c>
      <c r="K83" s="223" t="str">
        <f t="shared" si="17"/>
        <v/>
      </c>
      <c r="L83" s="881" t="str">
        <f t="shared" si="18"/>
        <v/>
      </c>
      <c r="M83" s="313"/>
      <c r="Q83" s="858"/>
      <c r="S83" s="859"/>
      <c r="U83" s="25"/>
      <c r="V83" s="25"/>
      <c r="W83" s="25"/>
    </row>
    <row r="84" spans="1:23" ht="12.75" customHeight="1">
      <c r="A84" s="238"/>
      <c r="B84" s="418">
        <v>63</v>
      </c>
      <c r="C84" s="915" t="str">
        <f t="shared" si="9"/>
        <v/>
      </c>
      <c r="D84" s="916" t="str">
        <f t="shared" si="10"/>
        <v/>
      </c>
      <c r="E84" s="916" t="str">
        <f t="shared" si="11"/>
        <v/>
      </c>
      <c r="F84" s="916" t="str">
        <f t="shared" si="12"/>
        <v/>
      </c>
      <c r="G84" s="916" t="str">
        <f t="shared" si="13"/>
        <v/>
      </c>
      <c r="H84" s="510" t="str">
        <f t="shared" si="14"/>
        <v/>
      </c>
      <c r="I84" s="223" t="str">
        <f t="shared" si="15"/>
        <v/>
      </c>
      <c r="J84" s="223" t="str">
        <f t="shared" si="16"/>
        <v/>
      </c>
      <c r="K84" s="223" t="str">
        <f t="shared" si="17"/>
        <v/>
      </c>
      <c r="L84" s="881" t="str">
        <f t="shared" si="18"/>
        <v/>
      </c>
      <c r="M84" s="313"/>
      <c r="Q84" s="858"/>
      <c r="S84" s="859"/>
      <c r="U84" s="25"/>
      <c r="V84" s="25"/>
      <c r="W84" s="25"/>
    </row>
    <row r="85" spans="1:23" ht="12.75" customHeight="1">
      <c r="A85" s="238"/>
      <c r="B85" s="418">
        <v>64</v>
      </c>
      <c r="C85" s="915" t="str">
        <f t="shared" si="9"/>
        <v/>
      </c>
      <c r="D85" s="916" t="str">
        <f t="shared" si="10"/>
        <v/>
      </c>
      <c r="E85" s="916" t="str">
        <f t="shared" si="11"/>
        <v/>
      </c>
      <c r="F85" s="916" t="str">
        <f t="shared" si="12"/>
        <v/>
      </c>
      <c r="G85" s="916" t="str">
        <f t="shared" si="13"/>
        <v/>
      </c>
      <c r="H85" s="510" t="str">
        <f t="shared" si="14"/>
        <v/>
      </c>
      <c r="I85" s="223" t="str">
        <f t="shared" si="15"/>
        <v/>
      </c>
      <c r="J85" s="223" t="str">
        <f t="shared" si="16"/>
        <v/>
      </c>
      <c r="K85" s="223" t="str">
        <f t="shared" si="17"/>
        <v/>
      </c>
      <c r="L85" s="881" t="str">
        <f t="shared" si="18"/>
        <v/>
      </c>
      <c r="M85" s="313"/>
      <c r="Q85" s="858"/>
      <c r="S85" s="859"/>
      <c r="U85" s="25"/>
      <c r="V85" s="25"/>
      <c r="W85" s="25"/>
    </row>
    <row r="86" spans="1:23" ht="12.75" customHeight="1">
      <c r="A86" s="238"/>
      <c r="B86" s="418">
        <v>65</v>
      </c>
      <c r="C86" s="915" t="str">
        <f t="shared" ref="C86:C100" si="19">IF($F$4&gt;=$B86,VLOOKUP(CONCATENATE("delinquency_",$B86),delinquencies_21,2,0),"")</f>
        <v/>
      </c>
      <c r="D86" s="916" t="str">
        <f t="shared" ref="D86:D100" si="20">IF($F$4&gt;=$B86,VLOOKUP(CONCATENATE("delinquency_",$B86),delinquencies_21,3,0),"")</f>
        <v/>
      </c>
      <c r="E86" s="916" t="str">
        <f t="shared" ref="E86:E100" si="21">IF($F$4&gt;=$B86,VLOOKUP(CONCATENATE("delinquency_",$B86),delinquencies_21,4,0),"")</f>
        <v/>
      </c>
      <c r="F86" s="916" t="str">
        <f t="shared" ref="F86:F100" si="22">IF($F$4&gt;=$B86,VLOOKUP(CONCATENATE("delinquency_",$B86),delinquencies_21,5,0),"")</f>
        <v/>
      </c>
      <c r="G86" s="916" t="str">
        <f t="shared" ref="G86:G100" si="23">IF($F$4&gt;=$B86,VLOOKUP(CONCATENATE("delinquency_",$B86),delinquencies_21,6,0),"")</f>
        <v/>
      </c>
      <c r="H86" s="510" t="str">
        <f t="shared" si="14"/>
        <v/>
      </c>
      <c r="I86" s="223" t="str">
        <f t="shared" si="15"/>
        <v/>
      </c>
      <c r="J86" s="223" t="str">
        <f t="shared" si="16"/>
        <v/>
      </c>
      <c r="K86" s="223" t="str">
        <f t="shared" si="17"/>
        <v/>
      </c>
      <c r="L86" s="881" t="str">
        <f t="shared" si="18"/>
        <v/>
      </c>
      <c r="M86" s="313"/>
      <c r="Q86" s="858"/>
      <c r="S86" s="859"/>
      <c r="U86" s="25"/>
      <c r="V86" s="25"/>
      <c r="W86" s="25"/>
    </row>
    <row r="87" spans="1:23" ht="12.75" customHeight="1">
      <c r="A87" s="238"/>
      <c r="B87" s="418">
        <v>66</v>
      </c>
      <c r="C87" s="915" t="str">
        <f t="shared" si="19"/>
        <v/>
      </c>
      <c r="D87" s="916" t="str">
        <f t="shared" si="20"/>
        <v/>
      </c>
      <c r="E87" s="916" t="str">
        <f t="shared" si="21"/>
        <v/>
      </c>
      <c r="F87" s="916" t="str">
        <f t="shared" si="22"/>
        <v/>
      </c>
      <c r="G87" s="916" t="str">
        <f t="shared" si="23"/>
        <v/>
      </c>
      <c r="H87" s="510" t="str">
        <f t="shared" si="14"/>
        <v/>
      </c>
      <c r="I87" s="223" t="str">
        <f t="shared" si="15"/>
        <v/>
      </c>
      <c r="J87" s="223" t="str">
        <f t="shared" si="16"/>
        <v/>
      </c>
      <c r="K87" s="223" t="str">
        <f t="shared" si="17"/>
        <v/>
      </c>
      <c r="L87" s="881" t="str">
        <f t="shared" si="18"/>
        <v/>
      </c>
      <c r="M87" s="313"/>
      <c r="Q87" s="858"/>
      <c r="S87" s="859"/>
      <c r="U87" s="25"/>
      <c r="V87" s="25"/>
      <c r="W87" s="25"/>
    </row>
    <row r="88" spans="1:23" ht="12.75" customHeight="1">
      <c r="A88" s="238"/>
      <c r="B88" s="418">
        <v>67</v>
      </c>
      <c r="C88" s="915" t="str">
        <f t="shared" si="19"/>
        <v/>
      </c>
      <c r="D88" s="916" t="str">
        <f t="shared" si="20"/>
        <v/>
      </c>
      <c r="E88" s="916" t="str">
        <f t="shared" si="21"/>
        <v/>
      </c>
      <c r="F88" s="916" t="str">
        <f t="shared" si="22"/>
        <v/>
      </c>
      <c r="G88" s="916" t="str">
        <f t="shared" si="23"/>
        <v/>
      </c>
      <c r="H88" s="510" t="str">
        <f t="shared" si="14"/>
        <v/>
      </c>
      <c r="I88" s="223" t="str">
        <f t="shared" si="15"/>
        <v/>
      </c>
      <c r="J88" s="223" t="str">
        <f t="shared" si="16"/>
        <v/>
      </c>
      <c r="K88" s="223" t="str">
        <f t="shared" si="17"/>
        <v/>
      </c>
      <c r="L88" s="881" t="str">
        <f t="shared" si="18"/>
        <v/>
      </c>
      <c r="M88" s="313"/>
      <c r="Q88" s="858"/>
      <c r="S88" s="859"/>
      <c r="U88" s="25"/>
      <c r="V88" s="25"/>
      <c r="W88" s="25"/>
    </row>
    <row r="89" spans="1:23" ht="12.75" customHeight="1">
      <c r="A89" s="238"/>
      <c r="B89" s="418">
        <v>68</v>
      </c>
      <c r="C89" s="915" t="str">
        <f t="shared" si="19"/>
        <v/>
      </c>
      <c r="D89" s="916" t="str">
        <f t="shared" si="20"/>
        <v/>
      </c>
      <c r="E89" s="916" t="str">
        <f t="shared" si="21"/>
        <v/>
      </c>
      <c r="F89" s="916" t="str">
        <f t="shared" si="22"/>
        <v/>
      </c>
      <c r="G89" s="916" t="str">
        <f t="shared" si="23"/>
        <v/>
      </c>
      <c r="H89" s="510" t="str">
        <f t="shared" si="14"/>
        <v/>
      </c>
      <c r="I89" s="223" t="str">
        <f t="shared" si="15"/>
        <v/>
      </c>
      <c r="J89" s="223" t="str">
        <f t="shared" si="16"/>
        <v/>
      </c>
      <c r="K89" s="223" t="str">
        <f t="shared" si="17"/>
        <v/>
      </c>
      <c r="L89" s="881" t="str">
        <f t="shared" si="18"/>
        <v/>
      </c>
      <c r="M89" s="313"/>
      <c r="Q89" s="858"/>
      <c r="S89" s="859"/>
      <c r="U89" s="25"/>
      <c r="V89" s="25"/>
      <c r="W89" s="25"/>
    </row>
    <row r="90" spans="1:23" ht="12.75" customHeight="1">
      <c r="A90" s="238"/>
      <c r="B90" s="418">
        <v>69</v>
      </c>
      <c r="C90" s="915" t="str">
        <f t="shared" si="19"/>
        <v/>
      </c>
      <c r="D90" s="916" t="str">
        <f t="shared" si="20"/>
        <v/>
      </c>
      <c r="E90" s="916" t="str">
        <f t="shared" si="21"/>
        <v/>
      </c>
      <c r="F90" s="916" t="str">
        <f t="shared" si="22"/>
        <v/>
      </c>
      <c r="G90" s="916" t="str">
        <f t="shared" si="23"/>
        <v/>
      </c>
      <c r="H90" s="510" t="str">
        <f t="shared" si="14"/>
        <v/>
      </c>
      <c r="I90" s="223" t="str">
        <f t="shared" si="15"/>
        <v/>
      </c>
      <c r="J90" s="223" t="str">
        <f t="shared" si="16"/>
        <v/>
      </c>
      <c r="K90" s="223" t="str">
        <f t="shared" si="17"/>
        <v/>
      </c>
      <c r="L90" s="881" t="str">
        <f t="shared" si="18"/>
        <v/>
      </c>
      <c r="M90" s="313"/>
      <c r="Q90" s="858"/>
      <c r="S90" s="859"/>
      <c r="U90" s="25"/>
      <c r="V90" s="25"/>
      <c r="W90" s="25"/>
    </row>
    <row r="91" spans="1:23" ht="12.75" customHeight="1">
      <c r="A91" s="238"/>
      <c r="B91" s="418">
        <v>70</v>
      </c>
      <c r="C91" s="915" t="str">
        <f t="shared" si="19"/>
        <v/>
      </c>
      <c r="D91" s="916" t="str">
        <f t="shared" si="20"/>
        <v/>
      </c>
      <c r="E91" s="916" t="str">
        <f t="shared" si="21"/>
        <v/>
      </c>
      <c r="F91" s="916" t="str">
        <f t="shared" si="22"/>
        <v/>
      </c>
      <c r="G91" s="916" t="str">
        <f t="shared" si="23"/>
        <v/>
      </c>
      <c r="H91" s="510" t="str">
        <f t="shared" si="14"/>
        <v/>
      </c>
      <c r="I91" s="223" t="str">
        <f t="shared" si="15"/>
        <v/>
      </c>
      <c r="J91" s="223" t="str">
        <f t="shared" si="16"/>
        <v/>
      </c>
      <c r="K91" s="223" t="str">
        <f t="shared" si="17"/>
        <v/>
      </c>
      <c r="L91" s="881" t="str">
        <f t="shared" si="18"/>
        <v/>
      </c>
      <c r="M91" s="313"/>
      <c r="Q91" s="858"/>
      <c r="S91" s="859"/>
      <c r="U91" s="25"/>
      <c r="V91" s="25"/>
      <c r="W91" s="25"/>
    </row>
    <row r="92" spans="1:23" ht="12.75" customHeight="1">
      <c r="A92" s="238"/>
      <c r="B92" s="418">
        <v>71</v>
      </c>
      <c r="C92" s="915" t="str">
        <f t="shared" si="19"/>
        <v/>
      </c>
      <c r="D92" s="916" t="str">
        <f t="shared" si="20"/>
        <v/>
      </c>
      <c r="E92" s="916" t="str">
        <f t="shared" si="21"/>
        <v/>
      </c>
      <c r="F92" s="916" t="str">
        <f t="shared" si="22"/>
        <v/>
      </c>
      <c r="G92" s="916" t="str">
        <f t="shared" si="23"/>
        <v/>
      </c>
      <c r="H92" s="510" t="str">
        <f t="shared" si="14"/>
        <v/>
      </c>
      <c r="I92" s="223" t="str">
        <f t="shared" si="15"/>
        <v/>
      </c>
      <c r="J92" s="223" t="str">
        <f t="shared" si="16"/>
        <v/>
      </c>
      <c r="K92" s="223" t="str">
        <f t="shared" si="17"/>
        <v/>
      </c>
      <c r="L92" s="881" t="str">
        <f t="shared" si="18"/>
        <v/>
      </c>
      <c r="M92" s="313"/>
      <c r="Q92" s="858"/>
      <c r="S92" s="859"/>
      <c r="U92" s="25"/>
      <c r="V92" s="25"/>
      <c r="W92" s="25"/>
    </row>
    <row r="93" spans="1:23" ht="12.75" customHeight="1">
      <c r="A93" s="238"/>
      <c r="B93" s="418">
        <v>72</v>
      </c>
      <c r="C93" s="915" t="str">
        <f t="shared" si="19"/>
        <v/>
      </c>
      <c r="D93" s="916" t="str">
        <f t="shared" si="20"/>
        <v/>
      </c>
      <c r="E93" s="916" t="str">
        <f t="shared" si="21"/>
        <v/>
      </c>
      <c r="F93" s="916" t="str">
        <f t="shared" si="22"/>
        <v/>
      </c>
      <c r="G93" s="916" t="str">
        <f t="shared" si="23"/>
        <v/>
      </c>
      <c r="H93" s="510" t="str">
        <f t="shared" si="14"/>
        <v/>
      </c>
      <c r="I93" s="223" t="str">
        <f t="shared" si="15"/>
        <v/>
      </c>
      <c r="J93" s="223" t="str">
        <f t="shared" si="16"/>
        <v/>
      </c>
      <c r="K93" s="223" t="str">
        <f t="shared" si="17"/>
        <v/>
      </c>
      <c r="L93" s="881" t="str">
        <f t="shared" si="18"/>
        <v/>
      </c>
      <c r="M93" s="313"/>
      <c r="Q93" s="858"/>
      <c r="S93" s="859"/>
      <c r="U93" s="25"/>
      <c r="V93" s="25"/>
      <c r="W93" s="25"/>
    </row>
    <row r="94" spans="1:23" ht="12.75" customHeight="1">
      <c r="A94" s="238"/>
      <c r="B94" s="418">
        <v>73</v>
      </c>
      <c r="C94" s="915" t="str">
        <f t="shared" si="19"/>
        <v/>
      </c>
      <c r="D94" s="916" t="str">
        <f t="shared" si="20"/>
        <v/>
      </c>
      <c r="E94" s="916" t="str">
        <f t="shared" si="21"/>
        <v/>
      </c>
      <c r="F94" s="916" t="str">
        <f t="shared" si="22"/>
        <v/>
      </c>
      <c r="G94" s="916" t="str">
        <f t="shared" si="23"/>
        <v/>
      </c>
      <c r="H94" s="510" t="str">
        <f t="shared" si="14"/>
        <v/>
      </c>
      <c r="I94" s="223" t="str">
        <f t="shared" si="15"/>
        <v/>
      </c>
      <c r="J94" s="223" t="str">
        <f t="shared" si="16"/>
        <v/>
      </c>
      <c r="K94" s="223" t="str">
        <f t="shared" si="17"/>
        <v/>
      </c>
      <c r="L94" s="881" t="str">
        <f t="shared" si="18"/>
        <v/>
      </c>
      <c r="M94" s="313"/>
      <c r="Q94" s="858"/>
      <c r="S94" s="859"/>
      <c r="U94" s="25"/>
      <c r="V94" s="25"/>
      <c r="W94" s="25"/>
    </row>
    <row r="95" spans="1:23" ht="12.75" customHeight="1">
      <c r="A95" s="238"/>
      <c r="B95" s="418">
        <v>74</v>
      </c>
      <c r="C95" s="915" t="str">
        <f t="shared" si="19"/>
        <v/>
      </c>
      <c r="D95" s="916" t="str">
        <f t="shared" si="20"/>
        <v/>
      </c>
      <c r="E95" s="916" t="str">
        <f t="shared" si="21"/>
        <v/>
      </c>
      <c r="F95" s="916" t="str">
        <f t="shared" si="22"/>
        <v/>
      </c>
      <c r="G95" s="916" t="str">
        <f t="shared" si="23"/>
        <v/>
      </c>
      <c r="H95" s="510" t="str">
        <f t="shared" si="14"/>
        <v/>
      </c>
      <c r="I95" s="223" t="str">
        <f t="shared" si="15"/>
        <v/>
      </c>
      <c r="J95" s="223" t="str">
        <f t="shared" si="16"/>
        <v/>
      </c>
      <c r="K95" s="223" t="str">
        <f t="shared" si="17"/>
        <v/>
      </c>
      <c r="L95" s="881" t="str">
        <f t="shared" si="18"/>
        <v/>
      </c>
      <c r="M95" s="313"/>
      <c r="Q95" s="858"/>
      <c r="S95" s="859"/>
      <c r="U95" s="25"/>
      <c r="V95" s="25"/>
      <c r="W95" s="25"/>
    </row>
    <row r="96" spans="1:23" ht="12.75" customHeight="1">
      <c r="A96" s="238"/>
      <c r="B96" s="418">
        <v>75</v>
      </c>
      <c r="C96" s="915" t="str">
        <f t="shared" si="19"/>
        <v/>
      </c>
      <c r="D96" s="916" t="str">
        <f t="shared" si="20"/>
        <v/>
      </c>
      <c r="E96" s="916" t="str">
        <f t="shared" si="21"/>
        <v/>
      </c>
      <c r="F96" s="916" t="str">
        <f t="shared" si="22"/>
        <v/>
      </c>
      <c r="G96" s="916" t="str">
        <f t="shared" si="23"/>
        <v/>
      </c>
      <c r="H96" s="510" t="str">
        <f t="shared" si="14"/>
        <v/>
      </c>
      <c r="I96" s="223" t="str">
        <f t="shared" si="15"/>
        <v/>
      </c>
      <c r="J96" s="223" t="str">
        <f t="shared" si="16"/>
        <v/>
      </c>
      <c r="K96" s="223" t="str">
        <f t="shared" si="17"/>
        <v/>
      </c>
      <c r="L96" s="881" t="str">
        <f t="shared" si="18"/>
        <v/>
      </c>
      <c r="M96" s="313"/>
      <c r="Q96" s="858"/>
      <c r="S96" s="859"/>
      <c r="U96" s="25"/>
      <c r="V96" s="25"/>
      <c r="W96" s="25"/>
    </row>
    <row r="97" spans="1:23" ht="12.75" customHeight="1">
      <c r="A97" s="238"/>
      <c r="B97" s="418">
        <v>76</v>
      </c>
      <c r="C97" s="915" t="str">
        <f t="shared" si="19"/>
        <v/>
      </c>
      <c r="D97" s="916" t="str">
        <f t="shared" si="20"/>
        <v/>
      </c>
      <c r="E97" s="916" t="str">
        <f t="shared" si="21"/>
        <v/>
      </c>
      <c r="F97" s="916" t="str">
        <f t="shared" si="22"/>
        <v/>
      </c>
      <c r="G97" s="916" t="str">
        <f t="shared" si="23"/>
        <v/>
      </c>
      <c r="H97" s="510" t="str">
        <f t="shared" si="14"/>
        <v/>
      </c>
      <c r="I97" s="223" t="str">
        <f t="shared" si="15"/>
        <v/>
      </c>
      <c r="J97" s="223" t="str">
        <f t="shared" si="16"/>
        <v/>
      </c>
      <c r="K97" s="223" t="str">
        <f t="shared" si="17"/>
        <v/>
      </c>
      <c r="L97" s="881" t="str">
        <f t="shared" si="18"/>
        <v/>
      </c>
      <c r="M97" s="313"/>
      <c r="Q97" s="858"/>
      <c r="S97" s="859"/>
      <c r="U97" s="25"/>
      <c r="V97" s="25"/>
      <c r="W97" s="25"/>
    </row>
    <row r="98" spans="1:23" ht="12.75" customHeight="1">
      <c r="A98" s="238"/>
      <c r="B98" s="418">
        <v>77</v>
      </c>
      <c r="C98" s="915" t="str">
        <f t="shared" si="19"/>
        <v/>
      </c>
      <c r="D98" s="916" t="str">
        <f t="shared" si="20"/>
        <v/>
      </c>
      <c r="E98" s="916" t="str">
        <f t="shared" si="21"/>
        <v/>
      </c>
      <c r="F98" s="916" t="str">
        <f t="shared" si="22"/>
        <v/>
      </c>
      <c r="G98" s="916" t="str">
        <f t="shared" si="23"/>
        <v/>
      </c>
      <c r="H98" s="510" t="str">
        <f t="shared" si="14"/>
        <v/>
      </c>
      <c r="I98" s="223" t="str">
        <f t="shared" si="15"/>
        <v/>
      </c>
      <c r="J98" s="223" t="str">
        <f t="shared" si="16"/>
        <v/>
      </c>
      <c r="K98" s="223" t="str">
        <f t="shared" si="17"/>
        <v/>
      </c>
      <c r="L98" s="881" t="str">
        <f t="shared" si="18"/>
        <v/>
      </c>
      <c r="M98" s="313"/>
      <c r="Q98" s="858"/>
      <c r="S98" s="859"/>
      <c r="U98" s="25"/>
      <c r="V98" s="25"/>
      <c r="W98" s="25"/>
    </row>
    <row r="99" spans="1:23" ht="12.75" customHeight="1">
      <c r="A99" s="238"/>
      <c r="B99" s="418">
        <v>78</v>
      </c>
      <c r="C99" s="915" t="str">
        <f t="shared" si="19"/>
        <v/>
      </c>
      <c r="D99" s="916" t="str">
        <f t="shared" si="20"/>
        <v/>
      </c>
      <c r="E99" s="916" t="str">
        <f t="shared" si="21"/>
        <v/>
      </c>
      <c r="F99" s="916" t="str">
        <f t="shared" si="22"/>
        <v/>
      </c>
      <c r="G99" s="916" t="str">
        <f t="shared" si="23"/>
        <v/>
      </c>
      <c r="H99" s="510" t="str">
        <f t="shared" si="14"/>
        <v/>
      </c>
      <c r="I99" s="223" t="str">
        <f t="shared" si="15"/>
        <v/>
      </c>
      <c r="J99" s="223" t="str">
        <f t="shared" si="16"/>
        <v/>
      </c>
      <c r="K99" s="223" t="str">
        <f t="shared" si="17"/>
        <v/>
      </c>
      <c r="L99" s="881" t="str">
        <f t="shared" si="18"/>
        <v/>
      </c>
      <c r="M99" s="313"/>
      <c r="Q99" s="858"/>
      <c r="S99" s="859"/>
      <c r="U99" s="25"/>
      <c r="V99" s="25"/>
      <c r="W99" s="25"/>
    </row>
    <row r="100" spans="1:23" ht="12.75" customHeight="1">
      <c r="A100" s="238"/>
      <c r="B100" s="418">
        <v>79</v>
      </c>
      <c r="C100" s="915" t="str">
        <f t="shared" si="19"/>
        <v/>
      </c>
      <c r="D100" s="916" t="str">
        <f t="shared" si="20"/>
        <v/>
      </c>
      <c r="E100" s="916" t="str">
        <f t="shared" si="21"/>
        <v/>
      </c>
      <c r="F100" s="916" t="str">
        <f t="shared" si="22"/>
        <v/>
      </c>
      <c r="G100" s="916" t="str">
        <f t="shared" si="23"/>
        <v/>
      </c>
      <c r="H100" s="510" t="str">
        <f t="shared" si="14"/>
        <v/>
      </c>
      <c r="I100" s="223" t="str">
        <f t="shared" si="15"/>
        <v/>
      </c>
      <c r="J100" s="223" t="str">
        <f t="shared" si="16"/>
        <v/>
      </c>
      <c r="K100" s="223" t="str">
        <f t="shared" si="17"/>
        <v/>
      </c>
      <c r="L100" s="881" t="str">
        <f t="shared" si="18"/>
        <v/>
      </c>
      <c r="M100" s="313"/>
      <c r="Q100" s="858"/>
      <c r="S100" s="859"/>
      <c r="U100" s="25"/>
      <c r="V100" s="25"/>
      <c r="W100" s="25"/>
    </row>
    <row r="101" spans="1:23">
      <c r="A101" s="238"/>
      <c r="B101" s="861">
        <v>80</v>
      </c>
      <c r="C101" s="917"/>
      <c r="D101" s="917"/>
      <c r="E101" s="917"/>
      <c r="F101" s="917"/>
      <c r="G101" s="917"/>
      <c r="H101" s="470"/>
      <c r="I101" s="470"/>
      <c r="J101" s="470"/>
      <c r="K101" s="470"/>
      <c r="L101" s="471"/>
      <c r="M101" s="313"/>
    </row>
    <row r="102" spans="1:23">
      <c r="A102" s="314"/>
      <c r="B102" s="317"/>
      <c r="C102" s="317"/>
      <c r="D102" s="317"/>
      <c r="E102" s="317"/>
      <c r="F102" s="317"/>
      <c r="G102" s="317"/>
      <c r="H102" s="317"/>
      <c r="I102" s="317"/>
      <c r="J102" s="317"/>
      <c r="K102" s="317"/>
      <c r="L102" s="317"/>
      <c r="M102" s="351"/>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1"/>
      <c r="B1" s="772"/>
      <c r="C1" s="772"/>
      <c r="D1" s="772"/>
      <c r="E1" s="772"/>
      <c r="F1" s="772"/>
      <c r="G1" s="772"/>
      <c r="H1" s="772"/>
      <c r="I1" s="772"/>
      <c r="J1" s="772"/>
      <c r="K1" s="772"/>
      <c r="L1" s="772"/>
      <c r="M1" s="773"/>
    </row>
    <row r="2" spans="1:13" ht="18">
      <c r="A2" s="238"/>
      <c r="B2" s="239" t="str">
        <f>'Cover Sheet'!B2</f>
        <v>SC Germany Consumer 2021-1</v>
      </c>
      <c r="C2" s="239"/>
      <c r="D2" s="240" t="str">
        <f>'Cover Sheet'!D2</f>
        <v>Calculation Date</v>
      </c>
      <c r="E2" s="241"/>
      <c r="F2" s="242">
        <f>'Cover Sheet'!F2</f>
        <v>45820</v>
      </c>
      <c r="G2" s="241"/>
      <c r="H2" s="241"/>
      <c r="I2" s="241"/>
      <c r="J2" s="241"/>
      <c r="K2" s="241"/>
      <c r="L2" s="243"/>
      <c r="M2" s="245"/>
    </row>
    <row r="3" spans="1:13" ht="18">
      <c r="A3" s="238"/>
      <c r="B3" s="239" t="str">
        <f>'Cover Sheet'!B3</f>
        <v>Monthly Investor Report</v>
      </c>
      <c r="C3" s="239"/>
      <c r="D3" s="247" t="str">
        <f>'Cover Sheet'!D3</f>
        <v>Payment Date</v>
      </c>
      <c r="E3" s="248"/>
      <c r="F3" s="249">
        <f>'Cover Sheet'!F3</f>
        <v>45824</v>
      </c>
      <c r="G3" s="248"/>
      <c r="H3" s="248"/>
      <c r="I3" s="248"/>
      <c r="J3" s="248"/>
      <c r="K3" s="248"/>
      <c r="L3" s="250"/>
      <c r="M3" s="245"/>
    </row>
    <row r="4" spans="1:13">
      <c r="A4" s="238"/>
      <c r="B4" s="863"/>
      <c r="C4" s="327"/>
      <c r="D4" s="247" t="str">
        <f>'Cover Sheet'!D4</f>
        <v>Period  No</v>
      </c>
      <c r="E4" s="248"/>
      <c r="F4" s="253">
        <f>'Cover Sheet'!F4</f>
        <v>43</v>
      </c>
      <c r="G4" s="248"/>
      <c r="H4" s="254"/>
      <c r="I4" s="248"/>
      <c r="J4" s="259"/>
      <c r="K4" s="248"/>
      <c r="L4" s="255"/>
      <c r="M4" s="245"/>
    </row>
    <row r="5" spans="1:13" ht="18">
      <c r="A5" s="238"/>
      <c r="B5" s="328" t="s">
        <v>244</v>
      </c>
      <c r="C5" s="328"/>
      <c r="D5" s="247" t="str">
        <f>'Cover Sheet'!D5</f>
        <v>Monthly Period</v>
      </c>
      <c r="E5" s="248"/>
      <c r="F5" s="120">
        <f>'Cover Sheet'!F5</f>
        <v>45824</v>
      </c>
      <c r="G5" s="248"/>
      <c r="H5" s="254"/>
      <c r="I5" s="248"/>
      <c r="J5" s="259"/>
      <c r="K5" s="248"/>
      <c r="L5" s="255"/>
      <c r="M5" s="245"/>
    </row>
    <row r="6" spans="1:13" s="246" customFormat="1" ht="15" customHeight="1">
      <c r="A6" s="238"/>
      <c r="B6" s="257"/>
      <c r="C6" s="329"/>
      <c r="D6" s="247" t="str">
        <f>'Cover Sheet'!D6</f>
        <v>Interest Period</v>
      </c>
      <c r="E6" s="259" t="s">
        <v>34</v>
      </c>
      <c r="F6" s="249">
        <f>'Cover Sheet'!F6</f>
        <v>45791</v>
      </c>
      <c r="G6" s="259" t="str">
        <f>'Cover Sheet'!G6</f>
        <v>to</v>
      </c>
      <c r="H6" s="249">
        <f>'Cover Sheet'!H6</f>
        <v>45824</v>
      </c>
      <c r="I6" s="259" t="str">
        <f>'Cover Sheet'!I6</f>
        <v>=</v>
      </c>
      <c r="J6" s="834" t="str">
        <f>'Cover Sheet'!J6</f>
        <v>33 days</v>
      </c>
      <c r="K6" s="259"/>
      <c r="L6" s="371"/>
      <c r="M6" s="326"/>
    </row>
    <row r="7" spans="1:13">
      <c r="A7" s="238"/>
      <c r="D7" s="708" t="str">
        <f>'Cover Sheet'!D7</f>
        <v>Collection Period</v>
      </c>
      <c r="E7" s="709" t="s">
        <v>34</v>
      </c>
      <c r="F7" s="263" t="str">
        <f>'Cover Sheet'!F7</f>
        <v>01.05.2025</v>
      </c>
      <c r="G7" s="709" t="str">
        <f>'Cover Sheet'!G7</f>
        <v>to</v>
      </c>
      <c r="H7" s="263">
        <f>'Cover Sheet'!H7</f>
        <v>45808</v>
      </c>
      <c r="I7" s="264"/>
      <c r="J7" s="264"/>
      <c r="K7" s="264"/>
      <c r="L7" s="265"/>
      <c r="M7" s="245"/>
    </row>
    <row r="8" spans="1:13" ht="13">
      <c r="A8" s="238"/>
      <c r="D8" s="836"/>
      <c r="E8" s="266"/>
      <c r="F8" s="244"/>
      <c r="H8" s="267"/>
      <c r="J8" s="267"/>
      <c r="L8" s="251"/>
      <c r="M8" s="245"/>
    </row>
    <row r="9" spans="1:13">
      <c r="A9" s="238"/>
      <c r="D9" s="327"/>
      <c r="M9" s="245"/>
    </row>
    <row r="10" spans="1:13">
      <c r="A10" s="238"/>
      <c r="D10" s="327"/>
      <c r="M10" s="245"/>
    </row>
    <row r="11" spans="1:13" ht="18" customHeight="1">
      <c r="A11" s="238"/>
      <c r="D11" s="327"/>
      <c r="M11" s="245"/>
    </row>
    <row r="12" spans="1:13">
      <c r="A12" s="238"/>
      <c r="D12" s="327"/>
      <c r="M12" s="245"/>
    </row>
    <row r="13" spans="1:13" ht="18">
      <c r="A13" s="238"/>
      <c r="B13" s="239"/>
      <c r="D13" s="837"/>
      <c r="F13" s="239"/>
      <c r="H13" s="25"/>
      <c r="I13" s="25"/>
      <c r="J13" s="274"/>
      <c r="K13" s="25"/>
      <c r="L13" s="25"/>
      <c r="M13" s="245"/>
    </row>
    <row r="14" spans="1:13">
      <c r="A14" s="238"/>
      <c r="D14" s="838"/>
      <c r="H14" s="25"/>
      <c r="I14" s="25"/>
      <c r="J14" s="25"/>
      <c r="K14" s="25"/>
      <c r="L14" s="25"/>
      <c r="M14" s="245"/>
    </row>
    <row r="15" spans="1:13">
      <c r="A15" s="238"/>
      <c r="D15" s="838"/>
      <c r="H15" s="25"/>
      <c r="I15" s="25"/>
      <c r="J15" s="25"/>
      <c r="K15" s="25"/>
      <c r="L15" s="25"/>
      <c r="M15" s="245"/>
    </row>
    <row r="16" spans="1:13">
      <c r="A16" s="238"/>
      <c r="D16" s="839"/>
      <c r="H16" s="25"/>
      <c r="I16" s="25"/>
      <c r="J16" s="25"/>
      <c r="K16" s="25"/>
      <c r="L16" s="25"/>
      <c r="M16" s="245"/>
    </row>
    <row r="17" spans="1:13" ht="31.5" customHeight="1">
      <c r="A17" s="238"/>
      <c r="B17" s="239" t="s">
        <v>181</v>
      </c>
      <c r="D17" s="327"/>
      <c r="F17" s="823" t="s">
        <v>179</v>
      </c>
      <c r="G17" s="837"/>
      <c r="H17" s="841" t="s">
        <v>61</v>
      </c>
      <c r="I17" s="25"/>
      <c r="J17" s="841"/>
      <c r="K17" s="25"/>
      <c r="L17" s="841"/>
      <c r="M17" s="245"/>
    </row>
    <row r="18" spans="1:13" ht="13">
      <c r="A18" s="238"/>
      <c r="B18" s="864"/>
      <c r="D18" s="865"/>
      <c r="F18" s="822"/>
      <c r="G18" s="815"/>
      <c r="H18" s="25"/>
      <c r="I18" s="25"/>
      <c r="J18" s="25"/>
      <c r="K18" s="25"/>
      <c r="L18" s="25"/>
      <c r="M18" s="245"/>
    </row>
    <row r="19" spans="1:13" ht="13">
      <c r="A19" s="238"/>
      <c r="B19" s="866" t="s">
        <v>182</v>
      </c>
      <c r="D19" s="865"/>
      <c r="F19" s="822"/>
      <c r="G19" s="815"/>
      <c r="H19" s="25"/>
      <c r="I19" s="758"/>
      <c r="J19" s="818"/>
      <c r="K19" s="758"/>
      <c r="L19" s="818"/>
      <c r="M19" s="245"/>
    </row>
    <row r="20" spans="1:13" ht="13">
      <c r="A20" s="238"/>
      <c r="B20" s="25" t="s">
        <v>183</v>
      </c>
      <c r="D20" s="865"/>
      <c r="F20" s="918">
        <f>VLOOKUP("GrossDefault_current",calcdata_21,2,0)</f>
        <v>1410119.14</v>
      </c>
      <c r="G20" s="815"/>
      <c r="H20" s="25"/>
      <c r="I20" s="758"/>
      <c r="J20" s="25"/>
      <c r="K20" s="758"/>
      <c r="L20" s="849"/>
      <c r="M20" s="245"/>
    </row>
    <row r="21" spans="1:13">
      <c r="A21" s="238"/>
      <c r="B21" s="25" t="s">
        <v>86</v>
      </c>
      <c r="D21" s="327"/>
      <c r="F21" s="918">
        <f>VLOOKUP("Recoveries_current",calcdata_21,2,0)</f>
        <v>291125.95000000007</v>
      </c>
      <c r="H21" s="25"/>
      <c r="I21" s="25"/>
      <c r="J21" s="713"/>
      <c r="K21" s="25"/>
      <c r="L21" s="25"/>
      <c r="M21" s="245"/>
    </row>
    <row r="22" spans="1:13" ht="13">
      <c r="A22" s="238"/>
      <c r="B22" s="25" t="s">
        <v>184</v>
      </c>
      <c r="D22" s="867"/>
      <c r="E22" s="815"/>
      <c r="F22" s="918">
        <f>F20-F21</f>
        <v>1118993.19</v>
      </c>
      <c r="G22" s="815"/>
      <c r="H22" s="818"/>
      <c r="I22" s="25"/>
      <c r="J22" s="713"/>
      <c r="K22" s="25"/>
      <c r="L22" s="25"/>
      <c r="M22" s="245"/>
    </row>
    <row r="23" spans="1:13">
      <c r="A23" s="238"/>
      <c r="B23" s="25" t="s">
        <v>185</v>
      </c>
      <c r="D23" s="868"/>
      <c r="F23" s="919"/>
      <c r="H23" s="25">
        <f>VLOOKUP("default_new",Assets_21,3,0)</f>
        <v>130</v>
      </c>
      <c r="I23" s="25"/>
      <c r="J23" s="713"/>
      <c r="K23" s="25"/>
      <c r="L23" s="25"/>
      <c r="M23" s="245"/>
    </row>
    <row r="24" spans="1:13" ht="13">
      <c r="A24" s="238"/>
      <c r="B24" s="864"/>
      <c r="D24" s="868"/>
      <c r="F24" s="919"/>
      <c r="H24" s="869"/>
      <c r="I24" s="758"/>
      <c r="J24" s="818"/>
      <c r="K24" s="758"/>
      <c r="L24" s="818"/>
      <c r="M24" s="245"/>
    </row>
    <row r="25" spans="1:13" ht="13">
      <c r="A25" s="238"/>
      <c r="B25" s="866" t="s">
        <v>186</v>
      </c>
      <c r="D25" s="868"/>
      <c r="F25" s="919"/>
      <c r="H25" s="870"/>
      <c r="I25" s="758"/>
      <c r="J25" s="713"/>
      <c r="K25" s="758"/>
      <c r="L25" s="849"/>
      <c r="M25" s="245"/>
    </row>
    <row r="26" spans="1:13" ht="13">
      <c r="A26" s="238"/>
      <c r="B26" s="25" t="s">
        <v>187</v>
      </c>
      <c r="C26" s="815"/>
      <c r="D26" s="867"/>
      <c r="E26" s="815"/>
      <c r="F26" s="918">
        <f>VLOOKUP("Cum_GrossDefault",calcdata_21,2,0)</f>
        <v>106758105.34999998</v>
      </c>
      <c r="G26" s="815"/>
      <c r="H26" s="818"/>
      <c r="I26" s="25"/>
      <c r="J26" s="713"/>
      <c r="K26" s="25"/>
      <c r="L26" s="25"/>
      <c r="M26" s="245"/>
    </row>
    <row r="27" spans="1:13" ht="13">
      <c r="A27" s="238"/>
      <c r="B27" s="25" t="s">
        <v>87</v>
      </c>
      <c r="D27" s="868"/>
      <c r="F27" s="918">
        <f>VLOOKUP("Cum_Recoveries",calcdata_21,2,0)</f>
        <v>9403973.3399999999</v>
      </c>
      <c r="H27" s="823"/>
      <c r="I27" s="25"/>
      <c r="J27" s="713"/>
      <c r="K27" s="25"/>
      <c r="L27" s="25"/>
      <c r="M27" s="245"/>
    </row>
    <row r="28" spans="1:13">
      <c r="A28" s="238"/>
      <c r="B28" s="25" t="s">
        <v>514</v>
      </c>
      <c r="D28" s="868"/>
      <c r="F28" s="918">
        <f>F26-F27</f>
        <v>97354132.009999976</v>
      </c>
      <c r="H28" s="713"/>
      <c r="I28" s="25"/>
      <c r="J28" s="25"/>
      <c r="K28" s="25"/>
      <c r="L28" s="25"/>
      <c r="M28" s="245"/>
    </row>
    <row r="29" spans="1:13">
      <c r="A29" s="238"/>
      <c r="B29" s="25" t="s">
        <v>188</v>
      </c>
      <c r="D29" s="327"/>
      <c r="F29" s="918"/>
      <c r="H29" s="871">
        <f>VLOOKUP(F4-1,'3.3 Defaults &amp; Recoveries p.p.'!B:C,2,0)+H23</f>
        <v>7575</v>
      </c>
      <c r="I29" s="25"/>
      <c r="J29" s="25"/>
      <c r="K29" s="25"/>
      <c r="L29" s="25"/>
      <c r="M29" s="245"/>
    </row>
    <row r="30" spans="1:13">
      <c r="A30" s="238"/>
      <c r="D30" s="327"/>
      <c r="F30" s="918"/>
      <c r="H30" s="25"/>
      <c r="I30" s="25"/>
      <c r="J30" s="713"/>
      <c r="K30" s="25"/>
      <c r="L30" s="25"/>
      <c r="M30" s="245"/>
    </row>
    <row r="31" spans="1:13">
      <c r="A31" s="238"/>
      <c r="D31" s="868"/>
      <c r="F31" s="327"/>
      <c r="H31" s="25"/>
      <c r="I31" s="25"/>
      <c r="J31" s="25"/>
      <c r="K31" s="25"/>
      <c r="L31" s="25"/>
      <c r="M31" s="245"/>
    </row>
    <row r="32" spans="1:13" ht="18">
      <c r="A32" s="238"/>
      <c r="B32" s="239" t="s">
        <v>245</v>
      </c>
      <c r="D32" s="868"/>
      <c r="F32" s="327"/>
      <c r="H32" s="25"/>
      <c r="I32" s="25"/>
      <c r="J32" s="818"/>
      <c r="K32" s="25"/>
      <c r="L32" s="819"/>
      <c r="M32" s="245"/>
    </row>
    <row r="33" spans="1:13">
      <c r="A33" s="238"/>
      <c r="D33" s="868"/>
      <c r="F33" s="327"/>
      <c r="H33" s="25"/>
      <c r="I33" s="25"/>
      <c r="J33" s="25"/>
      <c r="K33" s="25"/>
      <c r="L33" s="25"/>
      <c r="M33" s="245"/>
    </row>
    <row r="34" spans="1:13" ht="13">
      <c r="A34" s="238"/>
      <c r="B34" s="866" t="s">
        <v>246</v>
      </c>
      <c r="D34" s="868"/>
      <c r="H34" s="25"/>
      <c r="I34" s="25"/>
      <c r="J34" s="25"/>
      <c r="K34" s="25"/>
      <c r="L34" s="25"/>
      <c r="M34" s="245"/>
    </row>
    <row r="35" spans="1:13">
      <c r="A35" s="238"/>
      <c r="B35" s="33" t="s">
        <v>357</v>
      </c>
      <c r="D35" s="868"/>
      <c r="F35" s="960">
        <f>VLOOKUP("A_PDL_bop",calcdata_21,2,0)</f>
        <v>0</v>
      </c>
      <c r="H35" s="25"/>
      <c r="I35" s="25"/>
      <c r="J35" s="25"/>
      <c r="K35" s="25"/>
      <c r="L35" s="25"/>
      <c r="M35" s="245"/>
    </row>
    <row r="36" spans="1:13" ht="13">
      <c r="A36" s="238"/>
      <c r="B36" s="33" t="s">
        <v>358</v>
      </c>
      <c r="D36" s="868"/>
      <c r="F36" s="960">
        <f>VLOOKUP("A_debited_PDL",calcdata_21,2,0)</f>
        <v>0</v>
      </c>
      <c r="H36" s="25"/>
      <c r="I36" s="25"/>
      <c r="J36" s="818"/>
      <c r="K36" s="25"/>
      <c r="L36" s="818"/>
      <c r="M36" s="245"/>
    </row>
    <row r="37" spans="1:13" ht="13">
      <c r="A37" s="238"/>
      <c r="B37" s="33" t="s">
        <v>359</v>
      </c>
      <c r="D37" s="868"/>
      <c r="F37" s="960">
        <f>VLOOKUP("A_credited_PDL",calcdata_21,2,0)</f>
        <v>0</v>
      </c>
      <c r="H37" s="25"/>
      <c r="I37" s="25"/>
      <c r="J37" s="818"/>
      <c r="K37" s="25"/>
      <c r="L37" s="818"/>
      <c r="M37" s="245"/>
    </row>
    <row r="38" spans="1:13" ht="13">
      <c r="A38" s="238"/>
      <c r="B38" s="33" t="s">
        <v>360</v>
      </c>
      <c r="D38" s="868"/>
      <c r="F38" s="960">
        <f>VLOOKUP("A_PDL_eop",calcdata_21,2,0)</f>
        <v>0</v>
      </c>
      <c r="H38" s="25"/>
      <c r="I38" s="25"/>
      <c r="J38" s="823"/>
      <c r="K38" s="25"/>
      <c r="L38" s="823"/>
      <c r="M38" s="245"/>
    </row>
    <row r="39" spans="1:13" ht="13">
      <c r="A39" s="238"/>
      <c r="D39" s="868"/>
      <c r="F39" s="960"/>
      <c r="H39" s="25"/>
      <c r="I39" s="25"/>
      <c r="J39" s="824"/>
      <c r="K39" s="25"/>
      <c r="L39" s="713"/>
      <c r="M39" s="245"/>
    </row>
    <row r="40" spans="1:13" ht="13">
      <c r="A40" s="238"/>
      <c r="B40" s="866" t="s">
        <v>306</v>
      </c>
      <c r="D40" s="868"/>
      <c r="F40" s="961"/>
      <c r="H40" s="25"/>
      <c r="I40" s="25"/>
      <c r="J40" s="25"/>
      <c r="K40" s="25"/>
      <c r="L40" s="25"/>
      <c r="M40" s="245"/>
    </row>
    <row r="41" spans="1:13">
      <c r="A41" s="238"/>
      <c r="B41" s="33" t="s">
        <v>361</v>
      </c>
      <c r="D41" s="868"/>
      <c r="F41" s="960">
        <f>VLOOKUP("B_PDL_bop",calcdata_21,2,0)</f>
        <v>0</v>
      </c>
      <c r="H41" s="25"/>
      <c r="I41" s="25"/>
      <c r="J41" s="25"/>
      <c r="K41" s="25"/>
      <c r="L41" s="25"/>
      <c r="M41" s="245"/>
    </row>
    <row r="42" spans="1:13" ht="13">
      <c r="A42" s="238"/>
      <c r="B42" s="33" t="s">
        <v>362</v>
      </c>
      <c r="D42" s="868"/>
      <c r="F42" s="960">
        <f>VLOOKUP("B_debited_PDL",calcdata_21,2,0)</f>
        <v>0</v>
      </c>
      <c r="H42" s="25"/>
      <c r="I42" s="25"/>
      <c r="J42" s="818"/>
      <c r="K42" s="25"/>
      <c r="L42" s="818"/>
      <c r="M42" s="245"/>
    </row>
    <row r="43" spans="1:13" ht="13">
      <c r="A43" s="238"/>
      <c r="B43" s="33" t="s">
        <v>363</v>
      </c>
      <c r="D43" s="868"/>
      <c r="F43" s="960">
        <f>VLOOKUP("B_credited_PDL",calcdata_21,2,0)</f>
        <v>0</v>
      </c>
      <c r="H43" s="25"/>
      <c r="I43" s="25"/>
      <c r="J43" s="823"/>
      <c r="K43" s="25"/>
      <c r="L43" s="823"/>
      <c r="M43" s="245"/>
    </row>
    <row r="44" spans="1:13" ht="13">
      <c r="A44" s="238"/>
      <c r="B44" s="33" t="s">
        <v>364</v>
      </c>
      <c r="D44" s="868"/>
      <c r="F44" s="960">
        <f>VLOOKUP("B_PDL_eop",calcdata_21,2,0)</f>
        <v>0</v>
      </c>
      <c r="H44" s="25"/>
      <c r="I44" s="25"/>
      <c r="J44" s="823"/>
      <c r="K44" s="25"/>
      <c r="L44" s="823"/>
      <c r="M44" s="245"/>
    </row>
    <row r="45" spans="1:13" ht="13">
      <c r="A45" s="238"/>
      <c r="D45" s="868"/>
      <c r="F45" s="960"/>
      <c r="H45" s="25"/>
      <c r="I45" s="25"/>
      <c r="J45" s="824"/>
      <c r="K45" s="25"/>
      <c r="L45" s="713"/>
      <c r="M45" s="245"/>
    </row>
    <row r="46" spans="1:13" ht="13">
      <c r="A46" s="238"/>
      <c r="B46" s="866" t="s">
        <v>307</v>
      </c>
      <c r="D46" s="868"/>
      <c r="F46" s="961"/>
      <c r="H46" s="25"/>
      <c r="I46" s="25"/>
      <c r="J46" s="25"/>
      <c r="K46" s="25"/>
      <c r="L46" s="25"/>
      <c r="M46" s="245"/>
    </row>
    <row r="47" spans="1:13">
      <c r="A47" s="238"/>
      <c r="B47" s="33" t="s">
        <v>365</v>
      </c>
      <c r="D47" s="868"/>
      <c r="F47" s="960">
        <f>VLOOKUP("C_PDL_bop",calcdata_21,2,0)</f>
        <v>0</v>
      </c>
      <c r="H47" s="25"/>
      <c r="I47" s="25"/>
      <c r="J47" s="25"/>
      <c r="K47" s="25"/>
      <c r="L47" s="25"/>
      <c r="M47" s="245"/>
    </row>
    <row r="48" spans="1:13" ht="13">
      <c r="A48" s="238"/>
      <c r="B48" s="33" t="s">
        <v>366</v>
      </c>
      <c r="D48" s="868"/>
      <c r="F48" s="960">
        <f>VLOOKUP("C_debited_PDL",calcdata_21,2,0)</f>
        <v>0</v>
      </c>
      <c r="H48" s="25"/>
      <c r="I48" s="25"/>
      <c r="J48" s="818"/>
      <c r="K48" s="25"/>
      <c r="L48" s="818"/>
      <c r="M48" s="245"/>
    </row>
    <row r="49" spans="1:13" ht="13">
      <c r="A49" s="238"/>
      <c r="B49" s="33" t="s">
        <v>367</v>
      </c>
      <c r="D49" s="868"/>
      <c r="F49" s="960">
        <f>VLOOKUP("C_credited_PDL",calcdata_21,2,0)</f>
        <v>0</v>
      </c>
      <c r="H49" s="25"/>
      <c r="I49" s="25"/>
      <c r="J49" s="823"/>
      <c r="K49" s="25"/>
      <c r="L49" s="823"/>
      <c r="M49" s="245"/>
    </row>
    <row r="50" spans="1:13" ht="13">
      <c r="A50" s="238"/>
      <c r="B50" s="33" t="s">
        <v>368</v>
      </c>
      <c r="D50" s="868"/>
      <c r="F50" s="960">
        <f>VLOOKUP("C_PDL_eop",calcdata_21,2,0)</f>
        <v>0</v>
      </c>
      <c r="H50" s="25"/>
      <c r="I50" s="25"/>
      <c r="J50" s="823"/>
      <c r="K50" s="25"/>
      <c r="L50" s="823"/>
      <c r="M50" s="245"/>
    </row>
    <row r="51" spans="1:13" ht="13">
      <c r="A51" s="238"/>
      <c r="D51" s="868"/>
      <c r="F51" s="960"/>
      <c r="H51" s="25"/>
      <c r="I51" s="25"/>
      <c r="J51" s="824"/>
      <c r="K51" s="25"/>
      <c r="L51" s="713"/>
      <c r="M51" s="245"/>
    </row>
    <row r="52" spans="1:13" ht="13">
      <c r="A52" s="238"/>
      <c r="B52" s="866" t="s">
        <v>308</v>
      </c>
      <c r="D52" s="868"/>
      <c r="F52" s="961"/>
      <c r="H52" s="25"/>
      <c r="I52" s="25"/>
      <c r="J52" s="25"/>
      <c r="K52" s="25"/>
      <c r="L52" s="25"/>
      <c r="M52" s="245"/>
    </row>
    <row r="53" spans="1:13">
      <c r="A53" s="238"/>
      <c r="B53" s="33" t="s">
        <v>369</v>
      </c>
      <c r="D53" s="868"/>
      <c r="F53" s="960">
        <f>VLOOKUP("D_PDL_bop",calcdata_21,2,0)</f>
        <v>0</v>
      </c>
      <c r="H53" s="25"/>
      <c r="I53" s="25"/>
      <c r="J53" s="25"/>
      <c r="K53" s="25"/>
      <c r="L53" s="25"/>
      <c r="M53" s="245"/>
    </row>
    <row r="54" spans="1:13" ht="13">
      <c r="A54" s="238"/>
      <c r="B54" s="33" t="s">
        <v>370</v>
      </c>
      <c r="D54" s="868"/>
      <c r="F54" s="960">
        <f>VLOOKUP("D_debited_PDL",calcdata_21,2,0)</f>
        <v>0</v>
      </c>
      <c r="H54" s="25"/>
      <c r="I54" s="25"/>
      <c r="J54" s="818"/>
      <c r="K54" s="25"/>
      <c r="L54" s="818"/>
      <c r="M54" s="245"/>
    </row>
    <row r="55" spans="1:13" ht="13">
      <c r="A55" s="238"/>
      <c r="B55" s="33" t="s">
        <v>371</v>
      </c>
      <c r="D55" s="868"/>
      <c r="F55" s="960">
        <f>VLOOKUP("D_credited_PDL",calcdata_21,2,0)</f>
        <v>0</v>
      </c>
      <c r="H55" s="25"/>
      <c r="I55" s="25"/>
      <c r="J55" s="823"/>
      <c r="K55" s="25"/>
      <c r="L55" s="823"/>
      <c r="M55" s="245"/>
    </row>
    <row r="56" spans="1:13" ht="13">
      <c r="A56" s="238"/>
      <c r="B56" s="33" t="s">
        <v>372</v>
      </c>
      <c r="D56" s="868"/>
      <c r="F56" s="960">
        <f>VLOOKUP("D_PDL_eop",calcdata_21,2,0)</f>
        <v>0</v>
      </c>
      <c r="H56" s="25"/>
      <c r="I56" s="25"/>
      <c r="J56" s="823"/>
      <c r="K56" s="25"/>
      <c r="L56" s="823"/>
      <c r="M56" s="245"/>
    </row>
    <row r="57" spans="1:13" ht="13">
      <c r="A57" s="238"/>
      <c r="D57" s="868"/>
      <c r="F57" s="960"/>
      <c r="H57" s="25"/>
      <c r="I57" s="25"/>
      <c r="J57" s="824"/>
      <c r="K57" s="25"/>
      <c r="L57" s="713"/>
      <c r="M57" s="245"/>
    </row>
    <row r="58" spans="1:13" ht="13">
      <c r="A58" s="238"/>
      <c r="B58" s="866" t="s">
        <v>309</v>
      </c>
      <c r="D58" s="868"/>
      <c r="F58" s="961"/>
      <c r="H58" s="25"/>
      <c r="I58" s="25"/>
      <c r="J58" s="25"/>
      <c r="K58" s="25"/>
      <c r="L58" s="25"/>
      <c r="M58" s="245"/>
    </row>
    <row r="59" spans="1:13">
      <c r="A59" s="238"/>
      <c r="B59" s="33" t="s">
        <v>373</v>
      </c>
      <c r="D59" s="868"/>
      <c r="F59" s="960">
        <f>VLOOKUP("E_PDL_bop",calcdata_21,2,0)</f>
        <v>0</v>
      </c>
      <c r="H59" s="25"/>
      <c r="I59" s="25"/>
      <c r="J59" s="25"/>
      <c r="K59" s="25"/>
      <c r="L59" s="25"/>
      <c r="M59" s="245"/>
    </row>
    <row r="60" spans="1:13" ht="13">
      <c r="A60" s="238"/>
      <c r="B60" s="33" t="s">
        <v>374</v>
      </c>
      <c r="D60" s="868"/>
      <c r="F60" s="960">
        <f>VLOOKUP("E_debited_PDL",calcdata_21,2,0)</f>
        <v>0</v>
      </c>
      <c r="H60" s="25"/>
      <c r="I60" s="25"/>
      <c r="J60" s="818"/>
      <c r="K60" s="25"/>
      <c r="L60" s="818"/>
      <c r="M60" s="245"/>
    </row>
    <row r="61" spans="1:13" ht="13">
      <c r="A61" s="238"/>
      <c r="B61" s="33" t="s">
        <v>375</v>
      </c>
      <c r="D61" s="868"/>
      <c r="F61" s="960">
        <f>VLOOKUP("E_credited_PDL",calcdata_21,2,0)</f>
        <v>0</v>
      </c>
      <c r="H61" s="25"/>
      <c r="I61" s="25"/>
      <c r="J61" s="823"/>
      <c r="K61" s="25"/>
      <c r="L61" s="823"/>
      <c r="M61" s="245"/>
    </row>
    <row r="62" spans="1:13" ht="13">
      <c r="A62" s="238"/>
      <c r="B62" s="33" t="s">
        <v>376</v>
      </c>
      <c r="D62" s="868"/>
      <c r="F62" s="960">
        <f>VLOOKUP("E_PDL_eop",calcdata_21,2,0)</f>
        <v>0</v>
      </c>
      <c r="H62" s="25"/>
      <c r="I62" s="25"/>
      <c r="J62" s="823"/>
      <c r="K62" s="25"/>
      <c r="L62" s="823"/>
      <c r="M62" s="245"/>
    </row>
    <row r="63" spans="1:13" ht="13">
      <c r="A63" s="238"/>
      <c r="D63" s="868"/>
      <c r="F63" s="960"/>
      <c r="H63" s="25"/>
      <c r="I63" s="25"/>
      <c r="J63" s="824"/>
      <c r="K63" s="25"/>
      <c r="L63" s="713"/>
      <c r="M63" s="245"/>
    </row>
    <row r="64" spans="1:13" ht="13">
      <c r="A64" s="238"/>
      <c r="B64" s="866" t="s">
        <v>310</v>
      </c>
      <c r="D64" s="868"/>
      <c r="F64" s="961"/>
      <c r="H64" s="25"/>
      <c r="I64" s="25"/>
      <c r="J64" s="25"/>
      <c r="K64" s="25"/>
      <c r="L64" s="25"/>
      <c r="M64" s="245"/>
    </row>
    <row r="65" spans="1:13">
      <c r="A65" s="238"/>
      <c r="B65" s="33" t="s">
        <v>377</v>
      </c>
      <c r="D65" s="868"/>
      <c r="F65" s="960">
        <f>VLOOKUP("F_PDL_bop",calcdata_21,2,0)</f>
        <v>0</v>
      </c>
      <c r="H65" s="25"/>
      <c r="I65" s="25"/>
      <c r="J65" s="25"/>
      <c r="K65" s="25"/>
      <c r="L65" s="25"/>
      <c r="M65" s="245"/>
    </row>
    <row r="66" spans="1:13" ht="13">
      <c r="A66" s="238"/>
      <c r="B66" s="33" t="s">
        <v>378</v>
      </c>
      <c r="D66" s="868"/>
      <c r="F66" s="960">
        <f>VLOOKUP("F_debited_PDL",calcdata_21,2,0)</f>
        <v>0</v>
      </c>
      <c r="H66" s="25"/>
      <c r="I66" s="25"/>
      <c r="J66" s="818"/>
      <c r="K66" s="25"/>
      <c r="L66" s="818"/>
      <c r="M66" s="245"/>
    </row>
    <row r="67" spans="1:13" ht="13">
      <c r="A67" s="238"/>
      <c r="B67" s="33" t="s">
        <v>379</v>
      </c>
      <c r="D67" s="868"/>
      <c r="F67" s="960">
        <f>VLOOKUP("F_credited_PDL",calcdata_21,2,0)</f>
        <v>0</v>
      </c>
      <c r="H67" s="25"/>
      <c r="I67" s="25"/>
      <c r="J67" s="823"/>
      <c r="K67" s="25"/>
      <c r="L67" s="823"/>
      <c r="M67" s="245"/>
    </row>
    <row r="68" spans="1:13" ht="13">
      <c r="A68" s="238"/>
      <c r="B68" s="33" t="s">
        <v>380</v>
      </c>
      <c r="D68" s="868"/>
      <c r="F68" s="960">
        <f>VLOOKUP("F_PDL_eop",calcdata_21,2,0)</f>
        <v>0</v>
      </c>
      <c r="H68" s="25"/>
      <c r="I68" s="25"/>
      <c r="J68" s="823"/>
      <c r="K68" s="25"/>
      <c r="L68" s="823"/>
      <c r="M68" s="245"/>
    </row>
    <row r="69" spans="1:13" ht="13">
      <c r="A69" s="238"/>
      <c r="D69" s="868"/>
      <c r="F69" s="960"/>
      <c r="H69" s="25"/>
      <c r="I69" s="25"/>
      <c r="J69" s="824"/>
      <c r="K69" s="25"/>
      <c r="L69" s="713"/>
      <c r="M69" s="245"/>
    </row>
    <row r="70" spans="1:13" ht="13">
      <c r="A70" s="238"/>
      <c r="B70" s="866" t="s">
        <v>311</v>
      </c>
      <c r="D70" s="868"/>
      <c r="F70" s="961"/>
      <c r="H70" s="25"/>
      <c r="I70" s="25"/>
      <c r="J70" s="25"/>
      <c r="K70" s="25"/>
      <c r="L70" s="25"/>
      <c r="M70" s="245"/>
    </row>
    <row r="71" spans="1:13">
      <c r="A71" s="238"/>
      <c r="B71" s="33" t="s">
        <v>381</v>
      </c>
      <c r="D71" s="868"/>
      <c r="F71" s="960">
        <f>VLOOKUP("G_PDL_bop",calcdata_21,2,0)</f>
        <v>0</v>
      </c>
      <c r="H71" s="25"/>
      <c r="I71" s="25"/>
      <c r="J71" s="25"/>
      <c r="K71" s="25"/>
      <c r="L71" s="25"/>
      <c r="M71" s="245"/>
    </row>
    <row r="72" spans="1:13" ht="13">
      <c r="A72" s="238"/>
      <c r="B72" s="33" t="s">
        <v>454</v>
      </c>
      <c r="D72" s="868"/>
      <c r="F72" s="960">
        <f>VLOOKUP("G_debited_PDL",calcdata_21,2,0)</f>
        <v>1410119.14</v>
      </c>
      <c r="H72" s="25"/>
      <c r="I72" s="25"/>
      <c r="J72" s="818"/>
      <c r="K72" s="25"/>
      <c r="L72" s="818"/>
      <c r="M72" s="245"/>
    </row>
    <row r="73" spans="1:13" ht="13">
      <c r="A73" s="238"/>
      <c r="B73" s="33" t="s">
        <v>455</v>
      </c>
      <c r="D73" s="868"/>
      <c r="F73" s="960">
        <f>VLOOKUP("G_credited_PDL",calcdata_21,2,0)</f>
        <v>1410119.14</v>
      </c>
      <c r="H73" s="25"/>
      <c r="I73" s="25"/>
      <c r="J73" s="823"/>
      <c r="K73" s="25"/>
      <c r="L73" s="823"/>
      <c r="M73" s="245"/>
    </row>
    <row r="74" spans="1:13" ht="13">
      <c r="A74" s="238"/>
      <c r="B74" s="33" t="s">
        <v>456</v>
      </c>
      <c r="D74" s="868"/>
      <c r="F74" s="960">
        <f>VLOOKUP("G_PDL_eop",calcdata_21,2,0)</f>
        <v>0</v>
      </c>
      <c r="H74" s="25"/>
      <c r="I74" s="25"/>
      <c r="J74" s="823"/>
      <c r="K74" s="25"/>
      <c r="L74" s="823"/>
      <c r="M74" s="245"/>
    </row>
    <row r="75" spans="1:13" ht="12.75" customHeight="1">
      <c r="A75" s="238"/>
      <c r="D75" s="872"/>
      <c r="F75" s="918"/>
      <c r="H75" s="25"/>
      <c r="I75" s="25"/>
      <c r="J75" s="25"/>
      <c r="K75" s="25"/>
      <c r="L75" s="25"/>
      <c r="M75" s="245"/>
    </row>
    <row r="76" spans="1:13">
      <c r="A76" s="314"/>
      <c r="B76" s="317"/>
      <c r="C76" s="317"/>
      <c r="D76" s="873"/>
      <c r="E76" s="317"/>
      <c r="F76" s="920"/>
      <c r="G76" s="317"/>
      <c r="H76" s="40"/>
      <c r="I76" s="40"/>
      <c r="J76" s="40"/>
      <c r="K76" s="40"/>
      <c r="L76" s="40"/>
      <c r="M76" s="318"/>
    </row>
    <row r="78" spans="1:13">
      <c r="H78" s="269"/>
    </row>
    <row r="79" spans="1:13">
      <c r="H79" s="269"/>
    </row>
    <row r="81" spans="2:8">
      <c r="C81" s="832"/>
      <c r="D81" s="833"/>
      <c r="F81" s="833"/>
      <c r="H81" s="269"/>
    </row>
    <row r="82" spans="2:8">
      <c r="C82" s="832"/>
      <c r="D82" s="833"/>
      <c r="F82" s="833"/>
    </row>
    <row r="84" spans="2:8">
      <c r="C84" s="832"/>
      <c r="D84" s="832"/>
      <c r="E84" s="832"/>
      <c r="F84" s="832"/>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3.81640625" style="33" customWidth="1"/>
    <col min="3" max="3" width="15.81640625" style="33" customWidth="1"/>
    <col min="4" max="4" width="20.81640625" style="33" customWidth="1"/>
    <col min="5" max="5" width="15.54296875" style="33" customWidth="1"/>
    <col min="6" max="6" width="20.81640625" style="33" customWidth="1"/>
    <col min="7" max="7" width="14.36328125" style="33" customWidth="1"/>
    <col min="8" max="10" width="15.54296875" style="33" customWidth="1"/>
    <col min="11" max="12" width="14.36328125" style="33" customWidth="1"/>
    <col min="13" max="13" width="2" style="25" customWidth="1"/>
    <col min="14" max="16384" width="9.1796875" style="33"/>
  </cols>
  <sheetData>
    <row r="1" spans="1:13" ht="6" customHeight="1">
      <c r="A1" s="771"/>
      <c r="B1" s="772"/>
      <c r="C1" s="772"/>
      <c r="D1" s="772"/>
      <c r="E1" s="772"/>
      <c r="F1" s="772"/>
      <c r="G1" s="772"/>
      <c r="H1" s="772"/>
      <c r="I1" s="772"/>
      <c r="J1" s="772"/>
      <c r="K1" s="772"/>
      <c r="L1" s="1008"/>
      <c r="M1" s="236"/>
    </row>
    <row r="2" spans="1:13" ht="18">
      <c r="A2" s="238"/>
      <c r="B2" s="239" t="str">
        <f>'Cover Sheet'!B2</f>
        <v>SC Germany Consumer 2021-1</v>
      </c>
      <c r="C2" s="239"/>
      <c r="D2" s="240" t="str">
        <f>'Cover Sheet'!D2</f>
        <v>Calculation Date</v>
      </c>
      <c r="E2" s="241"/>
      <c r="F2" s="242">
        <f>'Cover Sheet'!F2</f>
        <v>45820</v>
      </c>
      <c r="G2" s="241"/>
      <c r="H2" s="241"/>
      <c r="I2" s="241"/>
      <c r="J2" s="241"/>
      <c r="K2" s="241"/>
      <c r="L2" s="243"/>
      <c r="M2" s="313"/>
    </row>
    <row r="3" spans="1:13" ht="18">
      <c r="A3" s="238"/>
      <c r="B3" s="239" t="str">
        <f>'Cover Sheet'!B3</f>
        <v>Monthly Investor Report</v>
      </c>
      <c r="C3" s="239"/>
      <c r="D3" s="247" t="str">
        <f>'Cover Sheet'!D3</f>
        <v>Payment Date</v>
      </c>
      <c r="E3" s="248"/>
      <c r="F3" s="249">
        <f>'Cover Sheet'!F3</f>
        <v>45824</v>
      </c>
      <c r="G3" s="248"/>
      <c r="H3" s="248"/>
      <c r="I3" s="248"/>
      <c r="J3" s="248"/>
      <c r="K3" s="248"/>
      <c r="L3" s="250"/>
      <c r="M3" s="313"/>
    </row>
    <row r="4" spans="1:13">
      <c r="A4" s="238"/>
      <c r="B4" s="863"/>
      <c r="C4" s="327"/>
      <c r="D4" s="247" t="str">
        <f>'Cover Sheet'!D4</f>
        <v>Period  No</v>
      </c>
      <c r="E4" s="248"/>
      <c r="F4" s="253">
        <f>'Cover Sheet'!F4</f>
        <v>43</v>
      </c>
      <c r="G4" s="248"/>
      <c r="H4" s="254"/>
      <c r="I4" s="248"/>
      <c r="J4" s="259"/>
      <c r="K4" s="248"/>
      <c r="L4" s="255"/>
      <c r="M4" s="313"/>
    </row>
    <row r="5" spans="1:13" ht="18">
      <c r="A5" s="238"/>
      <c r="B5" s="328" t="s">
        <v>394</v>
      </c>
      <c r="C5" s="328"/>
      <c r="D5" s="247" t="str">
        <f>'Cover Sheet'!D5</f>
        <v>Monthly Period</v>
      </c>
      <c r="E5" s="248"/>
      <c r="F5" s="120">
        <f>'Cover Sheet'!F5</f>
        <v>45824</v>
      </c>
      <c r="G5" s="248"/>
      <c r="H5" s="254"/>
      <c r="I5" s="248"/>
      <c r="J5" s="259"/>
      <c r="K5" s="248"/>
      <c r="L5" s="255"/>
      <c r="M5" s="313"/>
    </row>
    <row r="6" spans="1:13" s="246" customFormat="1" ht="15" customHeight="1">
      <c r="A6" s="238"/>
      <c r="B6" s="257"/>
      <c r="C6" s="329"/>
      <c r="D6" s="247" t="str">
        <f>'Cover Sheet'!D6</f>
        <v>Interest Period</v>
      </c>
      <c r="E6" s="259" t="s">
        <v>34</v>
      </c>
      <c r="F6" s="249">
        <f>'Cover Sheet'!F6</f>
        <v>45791</v>
      </c>
      <c r="G6" s="259" t="str">
        <f>'Cover Sheet'!G6</f>
        <v>to</v>
      </c>
      <c r="H6" s="249">
        <f>'Cover Sheet'!H6</f>
        <v>45824</v>
      </c>
      <c r="I6" s="259" t="str">
        <f>'Cover Sheet'!I6</f>
        <v>=</v>
      </c>
      <c r="J6" s="834" t="str">
        <f>'Cover Sheet'!J6</f>
        <v>33 days</v>
      </c>
      <c r="K6" s="259"/>
      <c r="L6" s="371"/>
      <c r="M6" s="835"/>
    </row>
    <row r="7" spans="1:13">
      <c r="A7" s="238"/>
      <c r="D7" s="708" t="str">
        <f>'Cover Sheet'!D7</f>
        <v>Collection Period</v>
      </c>
      <c r="E7" s="709" t="s">
        <v>34</v>
      </c>
      <c r="F7" s="263" t="str">
        <f>'Cover Sheet'!F7</f>
        <v>01.05.2025</v>
      </c>
      <c r="G7" s="709" t="str">
        <f>'Cover Sheet'!G7</f>
        <v>to</v>
      </c>
      <c r="H7" s="263">
        <f>'Cover Sheet'!H7</f>
        <v>45808</v>
      </c>
      <c r="I7" s="264"/>
      <c r="J7" s="264"/>
      <c r="K7" s="264"/>
      <c r="L7" s="265"/>
      <c r="M7" s="313"/>
    </row>
    <row r="8" spans="1:13" ht="13">
      <c r="A8" s="238"/>
      <c r="D8" s="836"/>
      <c r="E8" s="266"/>
      <c r="F8" s="244"/>
      <c r="H8" s="267"/>
      <c r="J8" s="267"/>
      <c r="L8" s="1006"/>
      <c r="M8" s="313"/>
    </row>
    <row r="9" spans="1:13">
      <c r="A9" s="238"/>
      <c r="D9" s="327"/>
      <c r="M9" s="313"/>
    </row>
    <row r="10" spans="1:13">
      <c r="A10" s="238"/>
      <c r="D10" s="327"/>
      <c r="M10" s="313"/>
    </row>
    <row r="11" spans="1:13" ht="18" customHeight="1">
      <c r="A11" s="238"/>
      <c r="D11" s="327"/>
      <c r="M11" s="313"/>
    </row>
    <row r="12" spans="1:13">
      <c r="A12" s="238"/>
      <c r="D12" s="327"/>
      <c r="M12" s="313"/>
    </row>
    <row r="13" spans="1:13" ht="18">
      <c r="A13" s="238"/>
      <c r="B13" s="239"/>
      <c r="D13" s="837"/>
      <c r="F13" s="239"/>
      <c r="L13" s="1007"/>
      <c r="M13" s="313"/>
    </row>
    <row r="14" spans="1:13">
      <c r="A14" s="238"/>
      <c r="D14" s="838"/>
      <c r="H14" s="25"/>
      <c r="I14" s="25"/>
      <c r="J14" s="25"/>
      <c r="L14" s="25"/>
      <c r="M14" s="313"/>
    </row>
    <row r="15" spans="1:13">
      <c r="A15" s="238"/>
      <c r="D15" s="838"/>
      <c r="H15" s="25"/>
      <c r="I15" s="25"/>
      <c r="J15" s="25"/>
      <c r="K15" s="25"/>
      <c r="L15" s="25"/>
      <c r="M15" s="313"/>
    </row>
    <row r="16" spans="1:13" ht="13" thickBot="1">
      <c r="A16" s="238"/>
      <c r="D16" s="839"/>
      <c r="H16" s="25"/>
      <c r="I16" s="25"/>
      <c r="J16" s="25"/>
      <c r="K16" s="25"/>
      <c r="L16" s="1005"/>
      <c r="M16" s="313"/>
    </row>
    <row r="17" spans="1:23" ht="18.5" thickBot="1">
      <c r="A17" s="238"/>
      <c r="B17" s="274" t="s">
        <v>389</v>
      </c>
      <c r="C17" s="840"/>
      <c r="D17" s="841"/>
      <c r="E17" s="841"/>
      <c r="F17" s="823"/>
      <c r="G17" s="823"/>
      <c r="H17" s="25"/>
      <c r="I17" s="1022" t="s">
        <v>531</v>
      </c>
      <c r="J17" s="1023"/>
      <c r="K17" s="1024"/>
      <c r="L17" s="842" t="str">
        <f>IF(AND($F$4&gt;12,$F$4&lt;37),AVERAGE(VLOOKUP($F$4,$B$21:$L$100,11,FALSE),VLOOKUP(($F$4)-1,$B$21:$L$100,11,FALSE),VLOOKUP(($F$4)-2,$B$21:$L$100,11,FALSE)),"n/a")</f>
        <v>n/a</v>
      </c>
      <c r="M17" s="313"/>
    </row>
    <row r="18" spans="1:23" ht="18">
      <c r="A18" s="238"/>
      <c r="B18" s="239"/>
      <c r="C18" s="840"/>
      <c r="D18" s="840"/>
      <c r="E18" s="840"/>
      <c r="F18" s="837"/>
      <c r="G18" s="837"/>
      <c r="H18" s="840"/>
      <c r="J18" s="841"/>
      <c r="K18" s="25"/>
      <c r="L18" s="1004"/>
      <c r="M18" s="313"/>
    </row>
    <row r="19" spans="1:23" ht="13.5" thickBot="1">
      <c r="A19" s="238"/>
      <c r="B19" s="1009"/>
      <c r="G19" s="837"/>
      <c r="H19" s="840"/>
      <c r="J19" s="841"/>
      <c r="K19" s="25"/>
      <c r="L19" s="1005"/>
      <c r="M19" s="313"/>
    </row>
    <row r="20" spans="1:23" ht="44" thickBot="1">
      <c r="A20" s="238"/>
      <c r="B20" s="843" t="s">
        <v>115</v>
      </c>
      <c r="C20" s="843" t="s">
        <v>356</v>
      </c>
      <c r="D20" s="843" t="s">
        <v>384</v>
      </c>
      <c r="E20" s="843" t="s">
        <v>382</v>
      </c>
      <c r="F20" s="843" t="s">
        <v>383</v>
      </c>
      <c r="G20" s="843" t="s">
        <v>388</v>
      </c>
      <c r="H20" s="843" t="s">
        <v>385</v>
      </c>
      <c r="I20" s="843" t="s">
        <v>386</v>
      </c>
      <c r="J20" s="843" t="s">
        <v>387</v>
      </c>
      <c r="K20" s="843" t="s">
        <v>513</v>
      </c>
      <c r="L20" s="844" t="s">
        <v>528</v>
      </c>
      <c r="M20" s="845"/>
      <c r="O20" s="846"/>
      <c r="P20" s="25"/>
      <c r="Q20" s="847"/>
      <c r="R20" s="848"/>
      <c r="S20" s="848"/>
      <c r="T20" s="25"/>
      <c r="U20" s="25"/>
      <c r="V20" s="758"/>
      <c r="W20" s="849"/>
    </row>
    <row r="21" spans="1:23">
      <c r="A21" s="238"/>
      <c r="B21" s="418">
        <v>1</v>
      </c>
      <c r="C21" s="988">
        <f t="shared" ref="C21:C52" si="0">IF($F$4&gt;=B21,VLOOKUP(CONCATENATE("defaults_",$B21),defaults_21,2,0),"")</f>
        <v>0</v>
      </c>
      <c r="D21" s="921">
        <f t="shared" ref="D21:D52" si="1">IF($F$4&gt;=B21,VLOOKUP(CONCATENATE("defaults_",$B21),defaults_21,3,0),"")</f>
        <v>0</v>
      </c>
      <c r="E21" s="921">
        <f t="shared" ref="E21:E52" si="2">IF($F$4&gt;=B21,VLOOKUP(CONCATENATE("defaults_",$B21),defaults_21,4,0),"")</f>
        <v>0</v>
      </c>
      <c r="F21" s="921">
        <f t="shared" ref="F21:F52" si="3">IF($F$4&gt;=B21,VLOOKUP(CONCATENATE("defaults_",$B21),defaults_21,5,0),"")</f>
        <v>1530923926.8900001</v>
      </c>
      <c r="G21" s="822">
        <f t="shared" ref="G21:G52" si="4">IF($F$4&gt;=B21,VLOOKUP(CONCATENATE("defaults_",$B21),defaults_21,6,0),"")</f>
        <v>0</v>
      </c>
      <c r="H21" s="922">
        <f t="shared" ref="H21:H52" si="5">IF($F$4&gt;=B21,VLOOKUP(CONCATENATE("defaults_",$B21),defaults_21,7,0),"")</f>
        <v>0</v>
      </c>
      <c r="I21" s="923">
        <f t="shared" ref="I21:I52" si="6">IF($F$4&gt;=B21,VLOOKUP(CONCATENATE("defaults_",$B21),defaults_21,8,0),"")</f>
        <v>0</v>
      </c>
      <c r="J21" s="922">
        <f t="shared" ref="J21:J52" si="7">IF($F$4&gt;=B21,VLOOKUP(CONCATENATE("defaults_",$B21),defaults_21,9,0),"")</f>
        <v>0</v>
      </c>
      <c r="K21" s="822">
        <f t="shared" ref="K21:K52" si="8">IF($F$4&gt;=B21,VLOOKUP(CONCATENATE("defaults_",$B21),defaults_21,10,0),"")</f>
        <v>0</v>
      </c>
      <c r="L21" s="850" t="s">
        <v>242</v>
      </c>
      <c r="M21" s="313"/>
      <c r="N21" s="25"/>
      <c r="O21" s="25"/>
      <c r="P21" s="25"/>
      <c r="Q21" s="847"/>
      <c r="R21" s="848"/>
      <c r="S21" s="847"/>
      <c r="T21" s="25"/>
      <c r="U21" s="713"/>
      <c r="V21" s="25"/>
      <c r="W21" s="25"/>
    </row>
    <row r="22" spans="1:23">
      <c r="A22" s="238"/>
      <c r="B22" s="418">
        <v>2</v>
      </c>
      <c r="C22" s="988">
        <f t="shared" si="0"/>
        <v>0</v>
      </c>
      <c r="D22" s="921">
        <f t="shared" si="1"/>
        <v>0</v>
      </c>
      <c r="E22" s="921">
        <f t="shared" si="2"/>
        <v>0</v>
      </c>
      <c r="F22" s="921">
        <f t="shared" si="3"/>
        <v>1573064644.3</v>
      </c>
      <c r="G22" s="822">
        <f t="shared" si="4"/>
        <v>0</v>
      </c>
      <c r="H22" s="922">
        <f t="shared" si="5"/>
        <v>0</v>
      </c>
      <c r="I22" s="923">
        <f t="shared" si="6"/>
        <v>0</v>
      </c>
      <c r="J22" s="922">
        <f t="shared" si="7"/>
        <v>0</v>
      </c>
      <c r="K22" s="822">
        <f t="shared" si="8"/>
        <v>0</v>
      </c>
      <c r="L22" s="850">
        <f>IF($F$4&gt;=B21,IF(ISNUMBER($C22),($D22-$H22)/'3.1 Delinquency Data'!C22,""),"")</f>
        <v>0</v>
      </c>
      <c r="M22" s="313"/>
      <c r="N22" s="25"/>
      <c r="O22" s="851"/>
      <c r="P22" s="25"/>
      <c r="Q22" s="847"/>
      <c r="R22" s="848"/>
      <c r="S22" s="848"/>
      <c r="T22" s="25"/>
      <c r="U22" s="25"/>
      <c r="V22" s="25"/>
      <c r="W22" s="25"/>
    </row>
    <row r="23" spans="1:23" ht="13">
      <c r="A23" s="238"/>
      <c r="B23" s="418">
        <v>3</v>
      </c>
      <c r="C23" s="988">
        <f t="shared" si="0"/>
        <v>4</v>
      </c>
      <c r="D23" s="921">
        <f t="shared" si="1"/>
        <v>46022.55</v>
      </c>
      <c r="E23" s="921">
        <f t="shared" si="2"/>
        <v>46022.55</v>
      </c>
      <c r="F23" s="921">
        <f t="shared" si="3"/>
        <v>1639852343.6199999</v>
      </c>
      <c r="G23" s="822">
        <f t="shared" si="4"/>
        <v>2.8065057307784487E-5</v>
      </c>
      <c r="H23" s="922">
        <f t="shared" si="5"/>
        <v>-115.04</v>
      </c>
      <c r="I23" s="923">
        <f t="shared" si="6"/>
        <v>-115.04</v>
      </c>
      <c r="J23" s="922">
        <f t="shared" si="7"/>
        <v>46137.59</v>
      </c>
      <c r="K23" s="822">
        <f t="shared" si="8"/>
        <v>2.8135209965398801E-5</v>
      </c>
      <c r="L23" s="850">
        <f>IF($F$4&gt;=B22,IF(ISNUMBER($C23),($D23-$H23)/'3.1 Delinquency Data'!C23,""),"")</f>
        <v>3.0758393596830237E-5</v>
      </c>
      <c r="M23" s="852"/>
      <c r="Q23" s="847"/>
      <c r="R23" s="853"/>
      <c r="S23" s="853"/>
      <c r="U23" s="25"/>
      <c r="V23" s="758"/>
      <c r="W23" s="818"/>
    </row>
    <row r="24" spans="1:23" ht="13">
      <c r="A24" s="238"/>
      <c r="B24" s="418">
        <v>4</v>
      </c>
      <c r="C24" s="988">
        <f t="shared" si="0"/>
        <v>49</v>
      </c>
      <c r="D24" s="921">
        <f t="shared" si="1"/>
        <v>798889.37</v>
      </c>
      <c r="E24" s="921">
        <f t="shared" si="2"/>
        <v>844911.92</v>
      </c>
      <c r="F24" s="921">
        <f t="shared" si="3"/>
        <v>1703252261.2</v>
      </c>
      <c r="G24" s="822">
        <f t="shared" si="4"/>
        <v>4.9605800576171279E-4</v>
      </c>
      <c r="H24" s="922">
        <f t="shared" si="5"/>
        <v>-427.84</v>
      </c>
      <c r="I24" s="923">
        <f t="shared" si="6"/>
        <v>-542.88</v>
      </c>
      <c r="J24" s="922">
        <f t="shared" si="7"/>
        <v>845454.8</v>
      </c>
      <c r="K24" s="822">
        <f t="shared" si="8"/>
        <v>4.9637673717476706E-4</v>
      </c>
      <c r="L24" s="850">
        <f>IF($F$4&gt;=B23,IF(ISNUMBER($C24),($D24-$H24)/'3.1 Delinquency Data'!C24,""),"")</f>
        <v>5.3287814498063435E-4</v>
      </c>
      <c r="M24" s="845"/>
      <c r="N24" s="815"/>
      <c r="O24" s="818"/>
      <c r="P24" s="815"/>
      <c r="Q24" s="854"/>
      <c r="R24" s="855"/>
      <c r="S24" s="853"/>
      <c r="T24" s="815"/>
      <c r="U24" s="25"/>
      <c r="V24" s="758"/>
      <c r="W24" s="849"/>
    </row>
    <row r="25" spans="1:23">
      <c r="A25" s="238"/>
      <c r="B25" s="418">
        <v>5</v>
      </c>
      <c r="C25" s="988">
        <f t="shared" si="0"/>
        <v>114</v>
      </c>
      <c r="D25" s="921">
        <f t="shared" si="1"/>
        <v>942733.47</v>
      </c>
      <c r="E25" s="921">
        <f t="shared" si="2"/>
        <v>1787645.39</v>
      </c>
      <c r="F25" s="921">
        <f t="shared" si="3"/>
        <v>1769613996.04</v>
      </c>
      <c r="G25" s="822">
        <f t="shared" si="4"/>
        <v>1.0101894503549082E-3</v>
      </c>
      <c r="H25" s="922">
        <f t="shared" si="5"/>
        <v>-2610.54</v>
      </c>
      <c r="I25" s="923">
        <f t="shared" si="6"/>
        <v>-3153.42</v>
      </c>
      <c r="J25" s="922">
        <f t="shared" si="7"/>
        <v>1790798.81</v>
      </c>
      <c r="K25" s="822">
        <f t="shared" si="8"/>
        <v>1.0119714321922221E-3</v>
      </c>
      <c r="L25" s="850">
        <f>IF($F$4&gt;=B24,IF(ISNUMBER($C25),($D25-$H25)/'3.1 Delinquency Data'!C25,""),"")</f>
        <v>6.3022934179405286E-4</v>
      </c>
      <c r="M25" s="313"/>
      <c r="Q25" s="847"/>
      <c r="R25" s="848"/>
      <c r="S25" s="847"/>
      <c r="T25" s="25"/>
      <c r="U25" s="713"/>
      <c r="V25" s="25"/>
      <c r="W25" s="25"/>
    </row>
    <row r="26" spans="1:23">
      <c r="A26" s="238"/>
      <c r="B26" s="418">
        <v>6</v>
      </c>
      <c r="C26" s="988">
        <f t="shared" si="0"/>
        <v>281</v>
      </c>
      <c r="D26" s="921">
        <f t="shared" si="1"/>
        <v>2476697.0099999998</v>
      </c>
      <c r="E26" s="921">
        <f t="shared" si="2"/>
        <v>4264342.4000000004</v>
      </c>
      <c r="F26" s="921">
        <f t="shared" si="3"/>
        <v>1834804034.7</v>
      </c>
      <c r="G26" s="822">
        <f t="shared" si="4"/>
        <v>2.3241405181983056E-3</v>
      </c>
      <c r="H26" s="922">
        <f t="shared" si="5"/>
        <v>-3716.66</v>
      </c>
      <c r="I26" s="923">
        <f t="shared" si="6"/>
        <v>-6870.08</v>
      </c>
      <c r="J26" s="922">
        <f t="shared" si="7"/>
        <v>4271212.4800000004</v>
      </c>
      <c r="K26" s="822">
        <f t="shared" si="8"/>
        <v>2.3278848308715245E-3</v>
      </c>
      <c r="L26" s="850">
        <f>IF($F$4&gt;=B25,IF(ISNUMBER($C26),($D26-$H26)/'3.1 Delinquency Data'!C26,""),"")</f>
        <v>1.6536091147774852E-3</v>
      </c>
      <c r="M26" s="313"/>
      <c r="Q26" s="847"/>
      <c r="R26" s="848"/>
      <c r="S26" s="847"/>
      <c r="T26" s="25"/>
      <c r="U26" s="713"/>
      <c r="V26" s="25"/>
      <c r="W26" s="25"/>
    </row>
    <row r="27" spans="1:23">
      <c r="A27" s="238"/>
      <c r="B27" s="418">
        <v>7</v>
      </c>
      <c r="C27" s="988">
        <f t="shared" si="0"/>
        <v>450</v>
      </c>
      <c r="D27" s="921">
        <f t="shared" si="1"/>
        <v>2769354.19</v>
      </c>
      <c r="E27" s="921">
        <f t="shared" si="2"/>
        <v>7033696.5899999999</v>
      </c>
      <c r="F27" s="921">
        <f t="shared" si="3"/>
        <v>1904318095.3</v>
      </c>
      <c r="G27" s="822">
        <f t="shared" si="4"/>
        <v>3.6935513070845104E-3</v>
      </c>
      <c r="H27" s="922">
        <f t="shared" si="5"/>
        <v>-282.43</v>
      </c>
      <c r="I27" s="923">
        <f t="shared" si="6"/>
        <v>-7152.51</v>
      </c>
      <c r="J27" s="922">
        <f t="shared" si="7"/>
        <v>7040849.0999999996</v>
      </c>
      <c r="K27" s="822">
        <f t="shared" si="8"/>
        <v>3.6973072499690801E-3</v>
      </c>
      <c r="L27" s="850">
        <f>IF($F$4&gt;=B26,IF(ISNUMBER($C27),($D27-$H27)/'3.1 Delinquency Data'!C27,""),"")</f>
        <v>1.846424422897812E-3</v>
      </c>
      <c r="M27" s="313"/>
      <c r="O27" s="851"/>
      <c r="Q27" s="847"/>
      <c r="R27" s="853"/>
      <c r="S27" s="853"/>
      <c r="U27" s="25"/>
      <c r="V27" s="25"/>
      <c r="W27" s="25"/>
    </row>
    <row r="28" spans="1:23">
      <c r="A28" s="238"/>
      <c r="B28" s="418">
        <v>8</v>
      </c>
      <c r="C28" s="988">
        <f t="shared" si="0"/>
        <v>620</v>
      </c>
      <c r="D28" s="921">
        <f t="shared" si="1"/>
        <v>2339166.89</v>
      </c>
      <c r="E28" s="921">
        <f t="shared" si="2"/>
        <v>9372863.4800000004</v>
      </c>
      <c r="F28" s="921">
        <f t="shared" si="3"/>
        <v>1968254549.1700001</v>
      </c>
      <c r="G28" s="822">
        <f t="shared" si="4"/>
        <v>4.762017943234261E-3</v>
      </c>
      <c r="H28" s="922">
        <f t="shared" si="5"/>
        <v>31600.55</v>
      </c>
      <c r="I28" s="923">
        <f t="shared" si="6"/>
        <v>24448.04</v>
      </c>
      <c r="J28" s="922">
        <f t="shared" si="7"/>
        <v>9348415.4399999995</v>
      </c>
      <c r="K28" s="822">
        <f t="shared" si="8"/>
        <v>4.7495967652873795E-3</v>
      </c>
      <c r="L28" s="850">
        <f>IF($F$4&gt;=B27,IF(ISNUMBER($C28),($D28-$H28)/'3.1 Delinquency Data'!C28,""),"")</f>
        <v>1.5383775676508647E-3</v>
      </c>
      <c r="M28" s="313"/>
      <c r="Q28" s="847"/>
      <c r="R28" s="853"/>
      <c r="S28" s="853"/>
      <c r="U28" s="25"/>
      <c r="V28" s="25"/>
      <c r="W28" s="25"/>
    </row>
    <row r="29" spans="1:23" ht="13">
      <c r="A29" s="238"/>
      <c r="B29" s="418">
        <v>9</v>
      </c>
      <c r="C29" s="988">
        <f t="shared" si="0"/>
        <v>857</v>
      </c>
      <c r="D29" s="921">
        <f t="shared" si="1"/>
        <v>3512656.23</v>
      </c>
      <c r="E29" s="921">
        <f t="shared" si="2"/>
        <v>12885519.710000001</v>
      </c>
      <c r="F29" s="921">
        <f t="shared" si="3"/>
        <v>2030294501.03</v>
      </c>
      <c r="G29" s="822">
        <f t="shared" si="4"/>
        <v>6.3466259222309755E-3</v>
      </c>
      <c r="H29" s="922">
        <f t="shared" si="5"/>
        <v>54215.38</v>
      </c>
      <c r="I29" s="923">
        <f t="shared" si="6"/>
        <v>78663.42</v>
      </c>
      <c r="J29" s="922">
        <f t="shared" si="7"/>
        <v>12806856.289999999</v>
      </c>
      <c r="K29" s="822">
        <f t="shared" si="8"/>
        <v>6.307881089912269E-3</v>
      </c>
      <c r="L29" s="850">
        <f>IF($F$4&gt;=B28,IF(ISNUMBER($C29),($D29-$H29)/'3.1 Delinquency Data'!C29,""),"")</f>
        <v>2.3056272654430358E-3</v>
      </c>
      <c r="M29" s="845"/>
      <c r="N29" s="815"/>
      <c r="O29" s="818"/>
      <c r="P29" s="815"/>
      <c r="Q29" s="856"/>
      <c r="R29" s="855"/>
      <c r="S29" s="853"/>
      <c r="T29" s="815"/>
      <c r="U29" s="818"/>
      <c r="V29" s="25"/>
      <c r="W29" s="25"/>
    </row>
    <row r="30" spans="1:23">
      <c r="A30" s="238"/>
      <c r="B30" s="418">
        <v>10</v>
      </c>
      <c r="C30" s="988">
        <f t="shared" si="0"/>
        <v>1135</v>
      </c>
      <c r="D30" s="921">
        <f t="shared" si="1"/>
        <v>4005510.7</v>
      </c>
      <c r="E30" s="921">
        <f t="shared" si="2"/>
        <v>16891030.41</v>
      </c>
      <c r="F30" s="921">
        <f t="shared" si="3"/>
        <v>2091167323.3599999</v>
      </c>
      <c r="G30" s="822">
        <f t="shared" si="4"/>
        <v>8.0773213225521345E-3</v>
      </c>
      <c r="H30" s="922">
        <f t="shared" si="5"/>
        <v>44602.91</v>
      </c>
      <c r="I30" s="923">
        <f t="shared" si="6"/>
        <v>123266.33</v>
      </c>
      <c r="J30" s="922">
        <f t="shared" si="7"/>
        <v>16767764.08</v>
      </c>
      <c r="K30" s="822">
        <f t="shared" si="8"/>
        <v>8.018375140377702E-3</v>
      </c>
      <c r="L30" s="850">
        <f>IF($F$4&gt;=B29,IF(ISNUMBER($C30),($D30-$H30)/'3.1 Delinquency Data'!C30,""),"")</f>
        <v>2.6406051947592602E-3</v>
      </c>
      <c r="M30" s="313"/>
      <c r="Q30" s="847"/>
      <c r="R30" s="848"/>
      <c r="S30" s="847"/>
      <c r="T30" s="25"/>
      <c r="U30" s="713"/>
      <c r="V30" s="25"/>
      <c r="W30" s="25"/>
    </row>
    <row r="31" spans="1:23">
      <c r="A31" s="238"/>
      <c r="B31" s="418">
        <v>11</v>
      </c>
      <c r="C31" s="988">
        <f t="shared" si="0"/>
        <v>1384</v>
      </c>
      <c r="D31" s="921">
        <f t="shared" si="1"/>
        <v>3472587.05</v>
      </c>
      <c r="E31" s="921">
        <f t="shared" si="2"/>
        <v>20363617.460000001</v>
      </c>
      <c r="F31" s="921">
        <f t="shared" si="3"/>
        <v>2147600572.6799998</v>
      </c>
      <c r="G31" s="822">
        <f t="shared" si="4"/>
        <v>9.4820320496507206E-3</v>
      </c>
      <c r="H31" s="922">
        <f t="shared" si="5"/>
        <v>53112.1</v>
      </c>
      <c r="I31" s="923">
        <f t="shared" si="6"/>
        <v>176378.43</v>
      </c>
      <c r="J31" s="922">
        <f t="shared" si="7"/>
        <v>20187239.030000001</v>
      </c>
      <c r="K31" s="822">
        <f t="shared" si="8"/>
        <v>9.3999039145385675E-3</v>
      </c>
      <c r="L31" s="850">
        <f>IF($F$4&gt;=B30,IF(ISNUMBER($C31),($D31-$H31)/'3.1 Delinquency Data'!C31,""),"")</f>
        <v>2.2796499860740869E-3</v>
      </c>
      <c r="M31" s="313"/>
      <c r="Q31" s="847"/>
      <c r="R31" s="848"/>
      <c r="S31" s="847"/>
      <c r="T31" s="25"/>
      <c r="U31" s="713"/>
      <c r="V31" s="25"/>
      <c r="W31" s="25"/>
    </row>
    <row r="32" spans="1:23">
      <c r="A32" s="238"/>
      <c r="B32" s="418">
        <v>12</v>
      </c>
      <c r="C32" s="988">
        <f t="shared" si="0"/>
        <v>1618</v>
      </c>
      <c r="D32" s="921">
        <f t="shared" si="1"/>
        <v>3202444.37</v>
      </c>
      <c r="E32" s="921">
        <f t="shared" si="2"/>
        <v>23566061.829999998</v>
      </c>
      <c r="F32" s="921">
        <f t="shared" si="3"/>
        <v>2199852201.9899998</v>
      </c>
      <c r="G32" s="822">
        <f t="shared" si="4"/>
        <v>1.0712565966332646E-2</v>
      </c>
      <c r="H32" s="922">
        <f t="shared" si="5"/>
        <v>57580.25</v>
      </c>
      <c r="I32" s="923">
        <f t="shared" si="6"/>
        <v>233958.68</v>
      </c>
      <c r="J32" s="922">
        <f t="shared" si="7"/>
        <v>23332103.149999999</v>
      </c>
      <c r="K32" s="822">
        <f t="shared" si="8"/>
        <v>1.0606213966962708E-2</v>
      </c>
      <c r="L32" s="850">
        <f>IF($F$4&gt;=B31,IF(ISNUMBER($C32),($D32-$H32)/'3.1 Delinquency Data'!C32,""),"")</f>
        <v>2.0965761029505198E-3</v>
      </c>
      <c r="M32" s="313"/>
      <c r="O32" s="851"/>
      <c r="Q32" s="847"/>
      <c r="R32" s="853"/>
      <c r="S32" s="853"/>
      <c r="U32" s="25"/>
      <c r="V32" s="25"/>
      <c r="W32" s="25"/>
    </row>
    <row r="33" spans="1:23" ht="13">
      <c r="A33" s="238"/>
      <c r="B33" s="418">
        <v>13</v>
      </c>
      <c r="C33" s="988">
        <f t="shared" si="0"/>
        <v>1884</v>
      </c>
      <c r="D33" s="921">
        <f t="shared" si="1"/>
        <v>3348720.23</v>
      </c>
      <c r="E33" s="921">
        <f t="shared" si="2"/>
        <v>26914782.059999999</v>
      </c>
      <c r="F33" s="921">
        <f t="shared" si="3"/>
        <v>2199852201.9899998</v>
      </c>
      <c r="G33" s="822">
        <f t="shared" si="4"/>
        <v>1.2234813791423226E-2</v>
      </c>
      <c r="H33" s="922">
        <f t="shared" si="5"/>
        <v>116940.7</v>
      </c>
      <c r="I33" s="923">
        <f t="shared" si="6"/>
        <v>350899.38</v>
      </c>
      <c r="J33" s="922">
        <f t="shared" si="7"/>
        <v>26563882.68</v>
      </c>
      <c r="K33" s="822">
        <f t="shared" si="8"/>
        <v>1.2075303357184703E-2</v>
      </c>
      <c r="L33" s="850">
        <f>IF($F$4&gt;=B32,IF(ISNUMBER($C33),($D33-$H33)/'3.1 Delinquency Data'!C33,""),"")</f>
        <v>2.1545196930584085E-3</v>
      </c>
      <c r="M33" s="313"/>
      <c r="Q33" s="847"/>
      <c r="R33" s="853"/>
      <c r="S33" s="853"/>
      <c r="U33" s="25"/>
      <c r="V33" s="857"/>
      <c r="W33" s="818"/>
    </row>
    <row r="34" spans="1:23" ht="13">
      <c r="A34" s="238"/>
      <c r="B34" s="418">
        <v>14</v>
      </c>
      <c r="C34" s="988">
        <f t="shared" si="0"/>
        <v>2106</v>
      </c>
      <c r="D34" s="921">
        <f t="shared" si="1"/>
        <v>2551115.7599999998</v>
      </c>
      <c r="E34" s="921">
        <f t="shared" si="2"/>
        <v>29465897.82</v>
      </c>
      <c r="F34" s="921">
        <f t="shared" si="3"/>
        <v>2199852201.9899998</v>
      </c>
      <c r="G34" s="822">
        <f t="shared" si="4"/>
        <v>1.3394489772242411E-2</v>
      </c>
      <c r="H34" s="922">
        <f t="shared" si="5"/>
        <v>107420.03</v>
      </c>
      <c r="I34" s="923">
        <f t="shared" si="6"/>
        <v>458319.41</v>
      </c>
      <c r="J34" s="922">
        <f t="shared" si="7"/>
        <v>29007578.41</v>
      </c>
      <c r="K34" s="822">
        <f t="shared" si="8"/>
        <v>1.3186148771158156E-2</v>
      </c>
      <c r="L34" s="850">
        <f>IF($F$4&gt;=B33,IF(ISNUMBER($C34),($D34-$H34)/'3.1 Delinquency Data'!C34,""),"")</f>
        <v>1.6291304995585192E-3</v>
      </c>
      <c r="M34" s="845"/>
      <c r="N34" s="815"/>
      <c r="O34" s="818"/>
      <c r="P34" s="815"/>
      <c r="Q34" s="856"/>
      <c r="R34" s="855"/>
      <c r="S34" s="853"/>
      <c r="U34" s="25"/>
      <c r="V34" s="25"/>
      <c r="W34" s="25"/>
    </row>
    <row r="35" spans="1:23">
      <c r="A35" s="238"/>
      <c r="B35" s="418">
        <v>15</v>
      </c>
      <c r="C35" s="988">
        <f t="shared" si="0"/>
        <v>2361</v>
      </c>
      <c r="D35" s="921">
        <f t="shared" si="1"/>
        <v>3576495.51</v>
      </c>
      <c r="E35" s="921">
        <f t="shared" si="2"/>
        <v>33042393.329999998</v>
      </c>
      <c r="F35" s="921">
        <f t="shared" si="3"/>
        <v>2199852201.9899998</v>
      </c>
      <c r="G35" s="822">
        <f t="shared" si="4"/>
        <v>1.5020278771505489E-2</v>
      </c>
      <c r="H35" s="922">
        <f t="shared" si="5"/>
        <v>125351.28</v>
      </c>
      <c r="I35" s="923">
        <f t="shared" si="6"/>
        <v>583670.68999999994</v>
      </c>
      <c r="J35" s="922">
        <f t="shared" si="7"/>
        <v>32458722.640000001</v>
      </c>
      <c r="K35" s="822">
        <f t="shared" si="8"/>
        <v>1.4754956087794278E-2</v>
      </c>
      <c r="L35" s="850">
        <f>IF($F$4&gt;=B34,IF(ISNUMBER($C35),($D35-$H35)/'3.1 Delinquency Data'!C35,""),"")</f>
        <v>2.3826779766981197E-3</v>
      </c>
      <c r="M35" s="313"/>
      <c r="Q35" s="847"/>
      <c r="R35" s="848"/>
      <c r="S35" s="847"/>
      <c r="T35" s="25"/>
      <c r="U35" s="713"/>
      <c r="V35" s="25"/>
      <c r="W35" s="25"/>
    </row>
    <row r="36" spans="1:23">
      <c r="A36" s="238"/>
      <c r="B36" s="418">
        <v>16</v>
      </c>
      <c r="C36" s="988">
        <f t="shared" si="0"/>
        <v>2626</v>
      </c>
      <c r="D36" s="921">
        <f t="shared" si="1"/>
        <v>3620315.08</v>
      </c>
      <c r="E36" s="921">
        <f t="shared" si="2"/>
        <v>36662708.409999996</v>
      </c>
      <c r="F36" s="921">
        <f t="shared" si="3"/>
        <v>2199852201.9899998</v>
      </c>
      <c r="G36" s="822">
        <f t="shared" si="4"/>
        <v>1.6665987095330626E-2</v>
      </c>
      <c r="H36" s="922">
        <f t="shared" si="5"/>
        <v>148305.12</v>
      </c>
      <c r="I36" s="923">
        <f t="shared" si="6"/>
        <v>731975.81</v>
      </c>
      <c r="J36" s="922">
        <f t="shared" si="7"/>
        <v>35930732.600000001</v>
      </c>
      <c r="K36" s="822">
        <f t="shared" si="8"/>
        <v>1.6333248464372667E-2</v>
      </c>
      <c r="L36" s="850">
        <f>IF($F$4&gt;=B35,IF(ISNUMBER($C36),($D36-$H36)/'3.1 Delinquency Data'!C36,""),"")</f>
        <v>2.4656730506707868E-3</v>
      </c>
      <c r="M36" s="313"/>
      <c r="Q36" s="847"/>
      <c r="R36" s="848"/>
      <c r="S36" s="847"/>
      <c r="T36" s="25"/>
      <c r="U36" s="713"/>
      <c r="V36" s="25"/>
      <c r="W36" s="25"/>
    </row>
    <row r="37" spans="1:23">
      <c r="A37" s="238"/>
      <c r="B37" s="418">
        <v>17</v>
      </c>
      <c r="C37" s="988">
        <f t="shared" si="0"/>
        <v>2922</v>
      </c>
      <c r="D37" s="921">
        <f t="shared" si="1"/>
        <v>4739814.7300000004</v>
      </c>
      <c r="E37" s="921">
        <f t="shared" si="2"/>
        <v>41402523.140000001</v>
      </c>
      <c r="F37" s="921">
        <f t="shared" si="3"/>
        <v>2199852201.9899998</v>
      </c>
      <c r="G37" s="822">
        <f t="shared" si="4"/>
        <v>1.8820593084638605E-2</v>
      </c>
      <c r="H37" s="922">
        <f t="shared" si="5"/>
        <v>161562.97</v>
      </c>
      <c r="I37" s="923">
        <f t="shared" si="6"/>
        <v>893538.78</v>
      </c>
      <c r="J37" s="922">
        <f t="shared" si="7"/>
        <v>40508984.359999999</v>
      </c>
      <c r="K37" s="822">
        <f t="shared" si="8"/>
        <v>1.8414411806100119E-2</v>
      </c>
      <c r="L37" s="850">
        <f>IF($F$4&gt;=B36,IF(ISNUMBER($C37),($D37-$H37)/'3.1 Delinquency Data'!C37,""),"")</f>
        <v>3.3713757486725279E-3</v>
      </c>
      <c r="M37" s="313"/>
      <c r="O37" s="851"/>
      <c r="Q37" s="847"/>
      <c r="R37" s="853"/>
      <c r="S37" s="853"/>
      <c r="U37" s="25"/>
      <c r="V37" s="25"/>
      <c r="W37" s="25"/>
    </row>
    <row r="38" spans="1:23" ht="13">
      <c r="A38" s="238"/>
      <c r="B38" s="418">
        <v>18</v>
      </c>
      <c r="C38" s="988">
        <f t="shared" si="0"/>
        <v>3114</v>
      </c>
      <c r="D38" s="921">
        <f t="shared" si="1"/>
        <v>2601135.9900000002</v>
      </c>
      <c r="E38" s="921">
        <f t="shared" si="2"/>
        <v>44003659.130000003</v>
      </c>
      <c r="F38" s="921">
        <f t="shared" si="3"/>
        <v>2199852201.9899998</v>
      </c>
      <c r="G38" s="822">
        <f t="shared" si="4"/>
        <v>2.0003007061198941E-2</v>
      </c>
      <c r="H38" s="922">
        <f t="shared" si="5"/>
        <v>183618.21</v>
      </c>
      <c r="I38" s="923">
        <f t="shared" si="6"/>
        <v>1077156.99</v>
      </c>
      <c r="J38" s="922">
        <f t="shared" si="7"/>
        <v>42926502.140000001</v>
      </c>
      <c r="K38" s="822">
        <f t="shared" si="8"/>
        <v>1.9513357352447781E-2</v>
      </c>
      <c r="L38" s="850">
        <f>IF($F$4&gt;=B37,IF(ISNUMBER($C38),($D38-$H38)/'3.1 Delinquency Data'!C38,""),"")</f>
        <v>1.8433254342359534E-3</v>
      </c>
      <c r="M38" s="313"/>
      <c r="Q38" s="847"/>
      <c r="R38" s="853"/>
      <c r="S38" s="853"/>
      <c r="U38" s="25"/>
      <c r="V38" s="25"/>
      <c r="W38" s="819"/>
    </row>
    <row r="39" spans="1:23" ht="13">
      <c r="A39" s="238"/>
      <c r="B39" s="418">
        <v>19</v>
      </c>
      <c r="C39" s="988">
        <f t="shared" si="0"/>
        <v>3294</v>
      </c>
      <c r="D39" s="921">
        <f t="shared" si="1"/>
        <v>4125454.55</v>
      </c>
      <c r="E39" s="921">
        <f t="shared" si="2"/>
        <v>48129113.68</v>
      </c>
      <c r="F39" s="921">
        <f t="shared" si="3"/>
        <v>2199852201.9899998</v>
      </c>
      <c r="G39" s="822">
        <f t="shared" si="4"/>
        <v>2.1878339661392757E-2</v>
      </c>
      <c r="H39" s="922">
        <f t="shared" si="5"/>
        <v>123736.46</v>
      </c>
      <c r="I39" s="923">
        <f t="shared" si="6"/>
        <v>1200893.45</v>
      </c>
      <c r="J39" s="922">
        <f t="shared" si="7"/>
        <v>46928220.229999997</v>
      </c>
      <c r="K39" s="822">
        <f t="shared" si="8"/>
        <v>2.1332442328420263E-2</v>
      </c>
      <c r="L39" s="850">
        <f>IF($F$4&gt;=B38,IF(ISNUMBER($C39),($D39-$H39)/'3.1 Delinquency Data'!C39,""),"")</f>
        <v>3.1667751027604977E-3</v>
      </c>
      <c r="M39" s="845"/>
      <c r="O39" s="846"/>
      <c r="P39" s="25"/>
      <c r="Q39" s="847"/>
      <c r="R39" s="848"/>
      <c r="S39" s="848"/>
      <c r="T39" s="25"/>
      <c r="U39" s="25"/>
      <c r="V39" s="25"/>
      <c r="W39" s="25"/>
    </row>
    <row r="40" spans="1:23">
      <c r="A40" s="238"/>
      <c r="B40" s="418">
        <v>20</v>
      </c>
      <c r="C40" s="988">
        <f t="shared" si="0"/>
        <v>3462</v>
      </c>
      <c r="D40" s="921">
        <f t="shared" si="1"/>
        <v>3916813.43</v>
      </c>
      <c r="E40" s="921">
        <f t="shared" si="2"/>
        <v>52045927.109999999</v>
      </c>
      <c r="F40" s="921">
        <f t="shared" si="3"/>
        <v>2199852201.9899998</v>
      </c>
      <c r="G40" s="822">
        <f t="shared" si="4"/>
        <v>2.3658829017203491E-2</v>
      </c>
      <c r="H40" s="922">
        <f t="shared" si="5"/>
        <v>195382</v>
      </c>
      <c r="I40" s="923">
        <f t="shared" si="6"/>
        <v>1396275.45</v>
      </c>
      <c r="J40" s="922">
        <f t="shared" si="7"/>
        <v>50649651.659999996</v>
      </c>
      <c r="K40" s="822">
        <f t="shared" si="8"/>
        <v>2.3024115717493208E-2</v>
      </c>
      <c r="L40" s="850">
        <f>IF($F$4&gt;=B39,IF(ISNUMBER($C40),($D40-$H40)/'3.1 Delinquency Data'!C40,""),"")</f>
        <v>3.0396673388048885E-3</v>
      </c>
      <c r="M40" s="313"/>
      <c r="N40" s="25"/>
      <c r="O40" s="25"/>
      <c r="P40" s="25"/>
      <c r="Q40" s="847"/>
      <c r="R40" s="848"/>
      <c r="S40" s="847"/>
      <c r="T40" s="25"/>
      <c r="U40" s="713"/>
      <c r="V40" s="25"/>
      <c r="W40" s="25"/>
    </row>
    <row r="41" spans="1:23">
      <c r="A41" s="238"/>
      <c r="B41" s="418">
        <v>21</v>
      </c>
      <c r="C41" s="988">
        <f t="shared" si="0"/>
        <v>3582</v>
      </c>
      <c r="D41" s="921">
        <f t="shared" si="1"/>
        <v>3097352.93</v>
      </c>
      <c r="E41" s="921">
        <f t="shared" si="2"/>
        <v>55143280.039999999</v>
      </c>
      <c r="F41" s="921">
        <f t="shared" si="3"/>
        <v>2199852201.9899998</v>
      </c>
      <c r="G41" s="822">
        <f t="shared" si="4"/>
        <v>2.5066811302194326E-2</v>
      </c>
      <c r="H41" s="922">
        <f t="shared" si="5"/>
        <v>182808.87</v>
      </c>
      <c r="I41" s="923">
        <f t="shared" si="6"/>
        <v>1579084.32</v>
      </c>
      <c r="J41" s="922">
        <f t="shared" si="7"/>
        <v>53564195.719999999</v>
      </c>
      <c r="K41" s="822">
        <f t="shared" si="8"/>
        <v>2.434899747880585E-2</v>
      </c>
      <c r="L41" s="850">
        <f>IF($F$4&gt;=B40,IF(ISNUMBER($C41),($D41-$H41)/'3.1 Delinquency Data'!C41,""),"")</f>
        <v>2.4639809426931789E-3</v>
      </c>
      <c r="M41" s="313"/>
      <c r="N41" s="25"/>
      <c r="O41" s="25"/>
      <c r="P41" s="25"/>
      <c r="Q41" s="847"/>
      <c r="R41" s="848"/>
      <c r="S41" s="847"/>
      <c r="T41" s="25"/>
      <c r="U41" s="713"/>
      <c r="V41" s="25"/>
      <c r="W41" s="25"/>
    </row>
    <row r="42" spans="1:23" ht="13">
      <c r="A42" s="238"/>
      <c r="B42" s="418">
        <v>22</v>
      </c>
      <c r="C42" s="988">
        <f t="shared" si="0"/>
        <v>3839</v>
      </c>
      <c r="D42" s="921">
        <f t="shared" si="1"/>
        <v>2947231.49</v>
      </c>
      <c r="E42" s="921">
        <f t="shared" si="2"/>
        <v>58090511.530000001</v>
      </c>
      <c r="F42" s="921">
        <f t="shared" si="3"/>
        <v>2199852201.9899998</v>
      </c>
      <c r="G42" s="822">
        <f t="shared" si="4"/>
        <v>2.6406551984470124E-2</v>
      </c>
      <c r="H42" s="922">
        <f t="shared" si="5"/>
        <v>188633.92</v>
      </c>
      <c r="I42" s="923">
        <f t="shared" si="6"/>
        <v>1767718.24</v>
      </c>
      <c r="J42" s="922">
        <f t="shared" si="7"/>
        <v>56322793.289999999</v>
      </c>
      <c r="K42" s="822">
        <f t="shared" si="8"/>
        <v>2.5602989709513236E-2</v>
      </c>
      <c r="L42" s="850">
        <f>IF($F$4&gt;=B41,IF(ISNUMBER($C42),($D42-$H42)/'3.1 Delinquency Data'!C42,""),"")</f>
        <v>2.4175825367625317E-3</v>
      </c>
      <c r="M42" s="313"/>
      <c r="N42" s="25"/>
      <c r="O42" s="851"/>
      <c r="P42" s="25"/>
      <c r="Q42" s="847"/>
      <c r="R42" s="848"/>
      <c r="S42" s="848"/>
      <c r="T42" s="25"/>
      <c r="U42" s="25"/>
      <c r="V42" s="25"/>
      <c r="W42" s="818"/>
    </row>
    <row r="43" spans="1:23" ht="13">
      <c r="A43" s="238"/>
      <c r="B43" s="418">
        <v>23</v>
      </c>
      <c r="C43" s="988">
        <f t="shared" si="0"/>
        <v>4049</v>
      </c>
      <c r="D43" s="921">
        <f t="shared" si="1"/>
        <v>2729909.2</v>
      </c>
      <c r="E43" s="921">
        <f t="shared" si="2"/>
        <v>60820420.729999997</v>
      </c>
      <c r="F43" s="921">
        <f t="shared" si="3"/>
        <v>2199852201.9899998</v>
      </c>
      <c r="G43" s="822">
        <f t="shared" si="4"/>
        <v>2.7647503170886427E-2</v>
      </c>
      <c r="H43" s="922">
        <f t="shared" si="5"/>
        <v>177264.11</v>
      </c>
      <c r="I43" s="923">
        <f t="shared" si="6"/>
        <v>1944982.35</v>
      </c>
      <c r="J43" s="922">
        <f t="shared" si="7"/>
        <v>58875438.380000003</v>
      </c>
      <c r="K43" s="822">
        <f t="shared" si="8"/>
        <v>2.6763360887036375E-2</v>
      </c>
      <c r="L43" s="850">
        <f>IF($F$4&gt;=B42,IF(ISNUMBER($C43),($D43-$H43)/'3.1 Delinquency Data'!C43,""),"")</f>
        <v>2.318614353201695E-3</v>
      </c>
      <c r="M43" s="313"/>
      <c r="O43" s="25"/>
      <c r="P43" s="25"/>
      <c r="Q43" s="847"/>
      <c r="R43" s="848"/>
      <c r="S43" s="848"/>
      <c r="T43" s="25"/>
      <c r="U43" s="25"/>
      <c r="V43" s="25"/>
      <c r="W43" s="823"/>
    </row>
    <row r="44" spans="1:23" ht="13">
      <c r="A44" s="238"/>
      <c r="B44" s="418">
        <v>24</v>
      </c>
      <c r="C44" s="988">
        <f t="shared" si="0"/>
        <v>4292</v>
      </c>
      <c r="D44" s="921">
        <f t="shared" si="1"/>
        <v>3469010.28</v>
      </c>
      <c r="E44" s="921">
        <f t="shared" si="2"/>
        <v>64289431.009999998</v>
      </c>
      <c r="F44" s="921">
        <f t="shared" si="3"/>
        <v>2199852201.9899998</v>
      </c>
      <c r="G44" s="822">
        <f t="shared" si="4"/>
        <v>2.9224431964949005E-2</v>
      </c>
      <c r="H44" s="922">
        <f t="shared" si="5"/>
        <v>855695.09</v>
      </c>
      <c r="I44" s="923">
        <f t="shared" si="6"/>
        <v>2800677.44</v>
      </c>
      <c r="J44" s="922">
        <f t="shared" si="7"/>
        <v>61488753.57</v>
      </c>
      <c r="K44" s="822">
        <f t="shared" si="8"/>
        <v>2.7951311235535237E-2</v>
      </c>
      <c r="L44" s="850">
        <f>IF($F$4&gt;=B43,IF(ISNUMBER($C44),($D44-$H44)/'3.1 Delinquency Data'!C44,""),"")</f>
        <v>2.4596611020461135E-3</v>
      </c>
      <c r="M44" s="845"/>
      <c r="O44" s="846"/>
      <c r="P44" s="25"/>
      <c r="Q44" s="847"/>
      <c r="R44" s="848"/>
      <c r="S44" s="848"/>
      <c r="T44" s="25"/>
      <c r="U44" s="25"/>
      <c r="V44" s="25"/>
      <c r="W44" s="713"/>
    </row>
    <row r="45" spans="1:23">
      <c r="A45" s="238"/>
      <c r="B45" s="418">
        <v>25</v>
      </c>
      <c r="C45" s="988">
        <f t="shared" si="0"/>
        <v>4509</v>
      </c>
      <c r="D45" s="921">
        <f t="shared" si="1"/>
        <v>2718371.02</v>
      </c>
      <c r="E45" s="921">
        <f t="shared" si="2"/>
        <v>67007802.030000001</v>
      </c>
      <c r="F45" s="921">
        <f t="shared" si="3"/>
        <v>2199852201.9899998</v>
      </c>
      <c r="G45" s="822">
        <f t="shared" si="4"/>
        <v>3.0460138171730055E-2</v>
      </c>
      <c r="H45" s="922">
        <f t="shared" si="5"/>
        <v>323814.90000000002</v>
      </c>
      <c r="I45" s="923">
        <f t="shared" si="6"/>
        <v>3124492.34</v>
      </c>
      <c r="J45" s="922">
        <f t="shared" si="7"/>
        <v>63883309.689999998</v>
      </c>
      <c r="K45" s="822">
        <f t="shared" si="8"/>
        <v>2.9039818962478835E-2</v>
      </c>
      <c r="L45" s="850">
        <f>IF($F$4&gt;=B44,IF(ISNUMBER($C45),($D45-$H45)/'3.1 Delinquency Data'!C45,""),"")</f>
        <v>2.3282018208842432E-3</v>
      </c>
      <c r="M45" s="313"/>
      <c r="N45" s="25"/>
      <c r="O45" s="25"/>
      <c r="P45" s="25"/>
      <c r="Q45" s="847"/>
      <c r="R45" s="848"/>
      <c r="S45" s="847"/>
      <c r="T45" s="25"/>
      <c r="U45" s="713"/>
      <c r="V45" s="25"/>
      <c r="W45" s="25"/>
    </row>
    <row r="46" spans="1:23">
      <c r="A46" s="238"/>
      <c r="B46" s="418">
        <v>26</v>
      </c>
      <c r="C46" s="988">
        <f t="shared" si="0"/>
        <v>4715</v>
      </c>
      <c r="D46" s="921">
        <f t="shared" si="1"/>
        <v>2677698.63</v>
      </c>
      <c r="E46" s="921">
        <f t="shared" si="2"/>
        <v>69685500.659999996</v>
      </c>
      <c r="F46" s="921">
        <f t="shared" si="3"/>
        <v>2199852201.9899998</v>
      </c>
      <c r="G46" s="822">
        <f t="shared" si="4"/>
        <v>3.167735568642388E-2</v>
      </c>
      <c r="H46" s="922">
        <f t="shared" si="5"/>
        <v>211420.52</v>
      </c>
      <c r="I46" s="923">
        <f t="shared" si="6"/>
        <v>3335912.86</v>
      </c>
      <c r="J46" s="922">
        <f t="shared" si="7"/>
        <v>66349587.799999997</v>
      </c>
      <c r="K46" s="822">
        <f t="shared" si="8"/>
        <v>3.0160929784273583E-2</v>
      </c>
      <c r="L46" s="850">
        <f>IF($F$4&gt;=B45,IF(ISNUMBER($C46),($D46-$H46)/'3.1 Delinquency Data'!C46,""),"")</f>
        <v>2.4753999770849942E-3</v>
      </c>
      <c r="M46" s="313"/>
      <c r="N46" s="25"/>
      <c r="O46" s="25"/>
      <c r="P46" s="25"/>
      <c r="Q46" s="847"/>
      <c r="R46" s="848"/>
      <c r="S46" s="847"/>
      <c r="T46" s="25"/>
      <c r="U46" s="713"/>
      <c r="V46" s="25"/>
      <c r="W46" s="25"/>
    </row>
    <row r="47" spans="1:23">
      <c r="A47" s="238"/>
      <c r="B47" s="418">
        <v>27</v>
      </c>
      <c r="C47" s="988">
        <f t="shared" si="0"/>
        <v>4952</v>
      </c>
      <c r="D47" s="921">
        <f t="shared" si="1"/>
        <v>3320317.16</v>
      </c>
      <c r="E47" s="921">
        <f t="shared" si="2"/>
        <v>73005817.819999993</v>
      </c>
      <c r="F47" s="921">
        <f t="shared" si="3"/>
        <v>2199852201.9899998</v>
      </c>
      <c r="G47" s="822">
        <f t="shared" si="4"/>
        <v>3.3186692157754279E-2</v>
      </c>
      <c r="H47" s="922">
        <f t="shared" si="5"/>
        <v>222497.58</v>
      </c>
      <c r="I47" s="923">
        <f t="shared" si="6"/>
        <v>3558410.44</v>
      </c>
      <c r="J47" s="922">
        <f t="shared" si="7"/>
        <v>69447407.379999995</v>
      </c>
      <c r="K47" s="822">
        <f t="shared" si="8"/>
        <v>3.1569124197151729E-2</v>
      </c>
      <c r="L47" s="850">
        <f>IF($F$4&gt;=B46,IF(ISNUMBER($C47),($D47-$H47)/'3.1 Delinquency Data'!C47,""),"")</f>
        <v>3.2096451344872006E-3</v>
      </c>
      <c r="M47" s="313"/>
      <c r="N47" s="25"/>
      <c r="O47" s="851"/>
      <c r="P47" s="25"/>
      <c r="Q47" s="847"/>
      <c r="R47" s="848"/>
      <c r="S47" s="848"/>
      <c r="T47" s="25"/>
      <c r="U47" s="25"/>
      <c r="V47" s="25"/>
      <c r="W47" s="25"/>
    </row>
    <row r="48" spans="1:23" ht="12.75" customHeight="1">
      <c r="A48" s="238"/>
      <c r="B48" s="418">
        <v>28</v>
      </c>
      <c r="C48" s="988">
        <f t="shared" si="0"/>
        <v>5121</v>
      </c>
      <c r="D48" s="921">
        <f t="shared" si="1"/>
        <v>2101333.9900000002</v>
      </c>
      <c r="E48" s="921">
        <f t="shared" si="2"/>
        <v>75107151.810000002</v>
      </c>
      <c r="F48" s="921">
        <f t="shared" si="3"/>
        <v>2199852201.9899998</v>
      </c>
      <c r="G48" s="822">
        <f t="shared" si="4"/>
        <v>3.4141908143673294E-2</v>
      </c>
      <c r="H48" s="922">
        <f t="shared" si="5"/>
        <v>267936.64000000001</v>
      </c>
      <c r="I48" s="923">
        <f t="shared" si="6"/>
        <v>3826347.08</v>
      </c>
      <c r="J48" s="922">
        <f t="shared" si="7"/>
        <v>71280804.730000004</v>
      </c>
      <c r="K48" s="822">
        <f t="shared" si="8"/>
        <v>3.2402542618780915E-2</v>
      </c>
      <c r="L48" s="850">
        <f>IF($F$4&gt;=B47,IF(ISNUMBER($C48),($D48-$H48)/'3.1 Delinquency Data'!C48,""),"")</f>
        <v>1.9526880889532505E-3</v>
      </c>
      <c r="M48" s="313"/>
      <c r="Q48" s="858"/>
      <c r="S48" s="859"/>
      <c r="U48" s="25"/>
      <c r="V48" s="25"/>
      <c r="W48" s="25"/>
    </row>
    <row r="49" spans="1:23" ht="12.75" customHeight="1">
      <c r="A49" s="238"/>
      <c r="B49" s="418">
        <v>29</v>
      </c>
      <c r="C49" s="988">
        <f t="shared" si="0"/>
        <v>5317</v>
      </c>
      <c r="D49" s="921">
        <f t="shared" si="1"/>
        <v>3155476.27</v>
      </c>
      <c r="E49" s="921">
        <f t="shared" si="2"/>
        <v>78262628.079999998</v>
      </c>
      <c r="F49" s="921">
        <f t="shared" si="3"/>
        <v>2199852201.9899998</v>
      </c>
      <c r="G49" s="822">
        <f t="shared" si="4"/>
        <v>3.5576311903682961E-2</v>
      </c>
      <c r="H49" s="922">
        <f t="shared" si="5"/>
        <v>298845.23</v>
      </c>
      <c r="I49" s="923">
        <f t="shared" si="6"/>
        <v>4125192.31</v>
      </c>
      <c r="J49" s="922">
        <f t="shared" si="7"/>
        <v>74137435.769999996</v>
      </c>
      <c r="K49" s="822">
        <f t="shared" si="8"/>
        <v>3.3701098511497642E-2</v>
      </c>
      <c r="L49" s="850">
        <f>IF($F$4&gt;=B48,IF(ISNUMBER($C49),($D49-$H49)/'3.1 Delinquency Data'!C49,""),"")</f>
        <v>3.1568016450124461E-3</v>
      </c>
      <c r="M49" s="313"/>
      <c r="Q49" s="713"/>
      <c r="S49" s="327"/>
      <c r="U49" s="25"/>
      <c r="V49" s="25"/>
      <c r="W49" s="25"/>
    </row>
    <row r="50" spans="1:23">
      <c r="A50" s="238"/>
      <c r="B50" s="418">
        <v>30</v>
      </c>
      <c r="C50" s="988">
        <f t="shared" si="0"/>
        <v>5480</v>
      </c>
      <c r="D50" s="921">
        <f t="shared" si="1"/>
        <v>2087845.91</v>
      </c>
      <c r="E50" s="921">
        <f t="shared" si="2"/>
        <v>80350473.989999995</v>
      </c>
      <c r="F50" s="921">
        <f t="shared" si="3"/>
        <v>2199852201.9899998</v>
      </c>
      <c r="G50" s="822">
        <f t="shared" si="4"/>
        <v>3.6525396532237242E-2</v>
      </c>
      <c r="H50" s="922">
        <f t="shared" si="5"/>
        <v>251055.72</v>
      </c>
      <c r="I50" s="923">
        <f t="shared" si="6"/>
        <v>4376248.03</v>
      </c>
      <c r="J50" s="922">
        <f t="shared" si="7"/>
        <v>75974225.959999993</v>
      </c>
      <c r="K50" s="822">
        <f t="shared" si="8"/>
        <v>3.4536059236740198E-2</v>
      </c>
      <c r="L50" s="850">
        <f>IF($F$4&gt;=B49,IF(ISNUMBER($C50),($D50-$H50)/'3.1 Delinquency Data'!C50,""),"")</f>
        <v>2.0959136326554988E-3</v>
      </c>
      <c r="M50" s="313"/>
    </row>
    <row r="51" spans="1:23">
      <c r="A51" s="238"/>
      <c r="B51" s="418">
        <v>31</v>
      </c>
      <c r="C51" s="988">
        <f t="shared" si="0"/>
        <v>5645</v>
      </c>
      <c r="D51" s="921">
        <f t="shared" si="1"/>
        <v>2478382.5499999998</v>
      </c>
      <c r="E51" s="921">
        <f t="shared" si="2"/>
        <v>82828856.540000007</v>
      </c>
      <c r="F51" s="921">
        <f t="shared" si="3"/>
        <v>2199852201.9899998</v>
      </c>
      <c r="G51" s="822">
        <f t="shared" si="4"/>
        <v>3.7652009741869247E-2</v>
      </c>
      <c r="H51" s="922">
        <f t="shared" si="5"/>
        <v>290789.95</v>
      </c>
      <c r="I51" s="923">
        <f t="shared" si="6"/>
        <v>4667037.9800000004</v>
      </c>
      <c r="J51" s="922">
        <f t="shared" si="7"/>
        <v>78161818.560000002</v>
      </c>
      <c r="K51" s="822">
        <f t="shared" si="8"/>
        <v>3.5530486315987195E-2</v>
      </c>
      <c r="L51" s="850">
        <f>IF($F$4&gt;=B50,IF(ISNUMBER($C51),($D51-$H51)/'3.1 Delinquency Data'!C51,""),"")</f>
        <v>2.5861187546749381E-3</v>
      </c>
      <c r="M51" s="313"/>
      <c r="S51" s="269"/>
    </row>
    <row r="52" spans="1:23">
      <c r="A52" s="238"/>
      <c r="B52" s="418">
        <v>32</v>
      </c>
      <c r="C52" s="988">
        <f t="shared" si="0"/>
        <v>5793</v>
      </c>
      <c r="D52" s="921">
        <f t="shared" si="1"/>
        <v>2558053.9300000002</v>
      </c>
      <c r="E52" s="921">
        <f t="shared" si="2"/>
        <v>85386910.469999999</v>
      </c>
      <c r="F52" s="921">
        <f t="shared" si="3"/>
        <v>2199852201.9899998</v>
      </c>
      <c r="G52" s="822">
        <f t="shared" si="4"/>
        <v>3.88148396482084E-2</v>
      </c>
      <c r="H52" s="922">
        <f t="shared" si="5"/>
        <v>251172.82</v>
      </c>
      <c r="I52" s="923">
        <f t="shared" si="6"/>
        <v>4918210.8</v>
      </c>
      <c r="J52" s="922">
        <f t="shared" si="7"/>
        <v>80468699.670000002</v>
      </c>
      <c r="K52" s="822">
        <f t="shared" si="8"/>
        <v>3.6579139088165798E-2</v>
      </c>
      <c r="L52" s="850">
        <f>IF($F$4&gt;=B51,IF(ISNUMBER($C52),($D52-$H52)/'3.1 Delinquency Data'!C52,""),"")</f>
        <v>2.819693192498079E-3</v>
      </c>
      <c r="M52" s="313"/>
      <c r="S52" s="269"/>
    </row>
    <row r="53" spans="1:23">
      <c r="A53" s="238"/>
      <c r="B53" s="418">
        <v>33</v>
      </c>
      <c r="C53" s="988">
        <f t="shared" ref="C53:C84" si="9">IF($F$4&gt;=B53,VLOOKUP(CONCATENATE("defaults_",$B53),defaults_21,2,0),"")</f>
        <v>5972</v>
      </c>
      <c r="D53" s="921">
        <f t="shared" ref="D53:D84" si="10">IF($F$4&gt;=B53,VLOOKUP(CONCATENATE("defaults_",$B53),defaults_21,3,0),"")</f>
        <v>2983341.11</v>
      </c>
      <c r="E53" s="921">
        <f t="shared" ref="E53:E84" si="11">IF($F$4&gt;=B53,VLOOKUP(CONCATENATE("defaults_",$B53),defaults_21,4,0),"")</f>
        <v>88370251.579999998</v>
      </c>
      <c r="F53" s="921">
        <f t="shared" ref="F53:F84" si="12">IF($F$4&gt;=B53,VLOOKUP(CONCATENATE("defaults_",$B53),defaults_21,5,0),"")</f>
        <v>2199852201.9899998</v>
      </c>
      <c r="G53" s="822">
        <f t="shared" ref="G53:G84" si="13">IF($F$4&gt;=B53,VLOOKUP(CONCATENATE("defaults_",$B53),defaults_21,6,0),"")</f>
        <v>4.0170994896866132E-2</v>
      </c>
      <c r="H53" s="922">
        <f t="shared" ref="H53:H84" si="14">IF($F$4&gt;=B53,VLOOKUP(CONCATENATE("defaults_",$B53),defaults_21,7,0),"")</f>
        <v>268948.33</v>
      </c>
      <c r="I53" s="923">
        <f t="shared" ref="I53:I84" si="15">IF($F$4&gt;=B53,VLOOKUP(CONCATENATE("defaults_",$B53),defaults_21,8,0),"")</f>
        <v>5187159.13</v>
      </c>
      <c r="J53" s="922">
        <f t="shared" ref="J53:J84" si="16">IF($F$4&gt;=B53,VLOOKUP(CONCATENATE("defaults_",$B53),defaults_21,9,0),"")</f>
        <v>83183092.450000003</v>
      </c>
      <c r="K53" s="822">
        <f t="shared" ref="K53:K84" si="17">IF($F$4&gt;=B53,VLOOKUP(CONCATENATE("defaults_",$B53),defaults_21,10,0),"")</f>
        <v>3.781303688254696E-2</v>
      </c>
      <c r="L53" s="850">
        <f>IF($F$4&gt;=B52,IF(ISNUMBER($C53),($D53-$H53)/'3.1 Delinquency Data'!C53,""),"")</f>
        <v>3.4352635043758024E-3</v>
      </c>
      <c r="M53" s="313"/>
    </row>
    <row r="54" spans="1:23">
      <c r="A54" s="238"/>
      <c r="B54" s="418">
        <v>34</v>
      </c>
      <c r="C54" s="988">
        <f t="shared" si="9"/>
        <v>6149</v>
      </c>
      <c r="D54" s="921">
        <f t="shared" si="10"/>
        <v>2110073.96</v>
      </c>
      <c r="E54" s="921">
        <f t="shared" si="11"/>
        <v>90480325.540000007</v>
      </c>
      <c r="F54" s="921">
        <f t="shared" si="12"/>
        <v>2199852201.9899998</v>
      </c>
      <c r="G54" s="822">
        <f t="shared" si="13"/>
        <v>4.1130183863329971E-2</v>
      </c>
      <c r="H54" s="922">
        <f t="shared" si="14"/>
        <v>264450.23</v>
      </c>
      <c r="I54" s="923">
        <f t="shared" si="15"/>
        <v>5451609.3600000003</v>
      </c>
      <c r="J54" s="922">
        <f t="shared" si="16"/>
        <v>85028716.180000007</v>
      </c>
      <c r="K54" s="822">
        <f t="shared" si="17"/>
        <v>3.8652013123010032E-2</v>
      </c>
      <c r="L54" s="850">
        <f>IF($F$4&gt;=B53,IF(ISNUMBER($C54),($D54-$H54)/'3.1 Delinquency Data'!C54,""),"")</f>
        <v>2.417098681248933E-3</v>
      </c>
      <c r="M54" s="313"/>
      <c r="N54" s="832"/>
      <c r="O54" s="833"/>
      <c r="Q54" s="833"/>
      <c r="S54" s="269"/>
    </row>
    <row r="55" spans="1:23">
      <c r="A55" s="238"/>
      <c r="B55" s="418">
        <v>35</v>
      </c>
      <c r="C55" s="988">
        <f t="shared" si="9"/>
        <v>6323</v>
      </c>
      <c r="D55" s="921">
        <f t="shared" si="10"/>
        <v>2218474.4900000002</v>
      </c>
      <c r="E55" s="921">
        <f t="shared" si="11"/>
        <v>92698800.030000001</v>
      </c>
      <c r="F55" s="921">
        <f t="shared" si="12"/>
        <v>2199852201.9899998</v>
      </c>
      <c r="G55" s="822">
        <f t="shared" si="13"/>
        <v>4.2138649108401045E-2</v>
      </c>
      <c r="H55" s="922">
        <f t="shared" si="14"/>
        <v>255064.08</v>
      </c>
      <c r="I55" s="923">
        <f t="shared" si="15"/>
        <v>5706673.4400000004</v>
      </c>
      <c r="J55" s="922">
        <f t="shared" si="16"/>
        <v>86992126.590000004</v>
      </c>
      <c r="K55" s="822">
        <f t="shared" si="17"/>
        <v>3.9544532360540577E-2</v>
      </c>
      <c r="L55" s="850">
        <f>IF($F$4&gt;=B54,IF(ISNUMBER($C55),($D55-$H55)/'3.1 Delinquency Data'!C55,""),"")</f>
        <v>2.6699716102266667E-3</v>
      </c>
      <c r="M55" s="313"/>
      <c r="N55" s="832"/>
      <c r="O55" s="833"/>
      <c r="Q55" s="833"/>
    </row>
    <row r="56" spans="1:23">
      <c r="A56" s="238"/>
      <c r="B56" s="418">
        <v>36</v>
      </c>
      <c r="C56" s="988">
        <f t="shared" si="9"/>
        <v>6507</v>
      </c>
      <c r="D56" s="921">
        <f t="shared" si="10"/>
        <v>2153996.11</v>
      </c>
      <c r="E56" s="921">
        <f t="shared" si="11"/>
        <v>94852796.140000001</v>
      </c>
      <c r="F56" s="921">
        <f t="shared" si="12"/>
        <v>2199852201.9899998</v>
      </c>
      <c r="G56" s="822">
        <f t="shared" si="13"/>
        <v>4.3117804029832354E-2</v>
      </c>
      <c r="H56" s="922">
        <f t="shared" si="14"/>
        <v>318452.77</v>
      </c>
      <c r="I56" s="923">
        <f t="shared" si="15"/>
        <v>6025126.21</v>
      </c>
      <c r="J56" s="922">
        <f t="shared" si="16"/>
        <v>88827669.930000007</v>
      </c>
      <c r="K56" s="822">
        <f t="shared" si="17"/>
        <v>4.0378926297705793E-2</v>
      </c>
      <c r="L56" s="850">
        <f>IF($F$4&gt;=B55,IF(ISNUMBER($C56),($D56-$H56)/'3.1 Delinquency Data'!C56,""),"")</f>
        <v>2.5846436908039728E-3</v>
      </c>
      <c r="M56" s="313"/>
    </row>
    <row r="57" spans="1:23">
      <c r="A57" s="238"/>
      <c r="B57" s="418">
        <v>37</v>
      </c>
      <c r="C57" s="988">
        <f t="shared" si="9"/>
        <v>6683</v>
      </c>
      <c r="D57" s="921">
        <f t="shared" si="10"/>
        <v>2034514.6</v>
      </c>
      <c r="E57" s="921">
        <f t="shared" si="11"/>
        <v>96887310.739999995</v>
      </c>
      <c r="F57" s="921">
        <f t="shared" si="12"/>
        <v>2199852201.9899998</v>
      </c>
      <c r="G57" s="822">
        <f t="shared" si="13"/>
        <v>4.404264552516534E-2</v>
      </c>
      <c r="H57" s="922">
        <f t="shared" si="14"/>
        <v>1503687.15</v>
      </c>
      <c r="I57" s="923">
        <f t="shared" si="15"/>
        <v>7528813.3600000003</v>
      </c>
      <c r="J57" s="922">
        <f t="shared" si="16"/>
        <v>89358497.379999995</v>
      </c>
      <c r="K57" s="822">
        <f t="shared" si="17"/>
        <v>4.0620227713100789E-2</v>
      </c>
      <c r="L57" s="850">
        <f>IF($F$4&gt;=B56,IF(ISNUMBER($C57),($D57-$H57)/'3.1 Delinquency Data'!C57,""),"")</f>
        <v>7.7429006262654193E-4</v>
      </c>
      <c r="M57" s="313"/>
      <c r="N57" s="832"/>
      <c r="O57" s="832"/>
      <c r="P57" s="832"/>
      <c r="Q57" s="832"/>
    </row>
    <row r="58" spans="1:23">
      <c r="A58" s="238"/>
      <c r="B58" s="418">
        <v>38</v>
      </c>
      <c r="C58" s="988">
        <f t="shared" si="9"/>
        <v>6838</v>
      </c>
      <c r="D58" s="921">
        <f t="shared" si="10"/>
        <v>1703965.02</v>
      </c>
      <c r="E58" s="921">
        <f t="shared" si="11"/>
        <v>98591275.760000005</v>
      </c>
      <c r="F58" s="921">
        <f t="shared" si="12"/>
        <v>2199852201.9899998</v>
      </c>
      <c r="G58" s="822">
        <f t="shared" si="13"/>
        <v>4.4817227116809806E-2</v>
      </c>
      <c r="H58" s="922">
        <f t="shared" si="14"/>
        <v>299397.59999999998</v>
      </c>
      <c r="I58" s="923">
        <f t="shared" si="15"/>
        <v>7828210.96</v>
      </c>
      <c r="J58" s="922">
        <f t="shared" si="16"/>
        <v>90763064.799999997</v>
      </c>
      <c r="K58" s="822">
        <f t="shared" si="17"/>
        <v>4.1258710343310863E-2</v>
      </c>
      <c r="L58" s="850">
        <f>IF($F$4&gt;=B57,IF(ISNUMBER($C58),($D58-$H58)/'3.1 Delinquency Data'!C58,""),"")</f>
        <v>2.1252294359267987E-3</v>
      </c>
      <c r="M58" s="313"/>
    </row>
    <row r="59" spans="1:23">
      <c r="A59" s="238"/>
      <c r="B59" s="418">
        <v>39</v>
      </c>
      <c r="C59" s="988">
        <f t="shared" si="9"/>
        <v>6992</v>
      </c>
      <c r="D59" s="921">
        <f t="shared" si="10"/>
        <v>1577616.88</v>
      </c>
      <c r="E59" s="921">
        <f t="shared" si="11"/>
        <v>100168892.64</v>
      </c>
      <c r="F59" s="921">
        <f t="shared" si="12"/>
        <v>2199852201.9899998</v>
      </c>
      <c r="G59" s="822">
        <f t="shared" si="13"/>
        <v>4.5534373877202557E-2</v>
      </c>
      <c r="H59" s="922">
        <f t="shared" si="14"/>
        <v>269998.09000000003</v>
      </c>
      <c r="I59" s="923">
        <f t="shared" si="15"/>
        <v>8098209.0499999998</v>
      </c>
      <c r="J59" s="922">
        <f t="shared" si="16"/>
        <v>92070683.590000004</v>
      </c>
      <c r="K59" s="822">
        <f t="shared" si="17"/>
        <v>4.1853122453732239E-2</v>
      </c>
      <c r="L59" s="850">
        <f>IF($F$4&gt;=B58,IF(ISNUMBER($C59),($D59-$H59)/'3.1 Delinquency Data'!C59,""),"")</f>
        <v>2.0498685450255059E-3</v>
      </c>
      <c r="M59" s="313"/>
    </row>
    <row r="60" spans="1:23">
      <c r="A60" s="238"/>
      <c r="B60" s="418">
        <v>40</v>
      </c>
      <c r="C60" s="988">
        <f t="shared" si="9"/>
        <v>7153</v>
      </c>
      <c r="D60" s="921">
        <f t="shared" si="10"/>
        <v>2211701.37</v>
      </c>
      <c r="E60" s="921">
        <f t="shared" si="11"/>
        <v>102380594.01000001</v>
      </c>
      <c r="F60" s="921">
        <f t="shared" si="12"/>
        <v>2199852201.9899998</v>
      </c>
      <c r="G60" s="822">
        <f t="shared" si="13"/>
        <v>4.6539760224521387E-2</v>
      </c>
      <c r="H60" s="922">
        <f t="shared" si="14"/>
        <v>357224.63</v>
      </c>
      <c r="I60" s="923">
        <f t="shared" si="15"/>
        <v>8455433.6799999997</v>
      </c>
      <c r="J60" s="922">
        <f t="shared" si="16"/>
        <v>93925160.329999998</v>
      </c>
      <c r="K60" s="822">
        <f t="shared" si="17"/>
        <v>4.2696123060010444E-2</v>
      </c>
      <c r="L60" s="850">
        <f>IF($F$4&gt;=B59,IF(ISNUMBER($C60),($D60-$H60)/'3.1 Delinquency Data'!C60,""),"")</f>
        <v>2.9992259268076917E-3</v>
      </c>
      <c r="M60" s="313"/>
    </row>
    <row r="61" spans="1:23">
      <c r="A61" s="238"/>
      <c r="B61" s="418">
        <v>41</v>
      </c>
      <c r="C61" s="988">
        <f t="shared" si="9"/>
        <v>7296</v>
      </c>
      <c r="D61" s="921">
        <f t="shared" si="10"/>
        <v>1641620.26</v>
      </c>
      <c r="E61" s="921">
        <f t="shared" si="11"/>
        <v>104022214.27</v>
      </c>
      <c r="F61" s="921">
        <f t="shared" si="12"/>
        <v>2199852201.9899998</v>
      </c>
      <c r="G61" s="822">
        <f t="shared" si="13"/>
        <v>4.7286001384957067E-2</v>
      </c>
      <c r="H61" s="922">
        <f t="shared" si="14"/>
        <v>269193.65999999997</v>
      </c>
      <c r="I61" s="923">
        <f t="shared" si="15"/>
        <v>8724627.3399999999</v>
      </c>
      <c r="J61" s="922">
        <f t="shared" si="16"/>
        <v>95297586.930000007</v>
      </c>
      <c r="K61" s="822">
        <f t="shared" si="17"/>
        <v>4.3319995245041099E-2</v>
      </c>
      <c r="L61" s="850">
        <f>IF($F$4&gt;=B60,IF(ISNUMBER($C61),($D61-$H61)/'3.1 Delinquency Data'!C61,""),"")</f>
        <v>2.3024850845054642E-3</v>
      </c>
      <c r="M61" s="313"/>
    </row>
    <row r="62" spans="1:23">
      <c r="A62" s="238"/>
      <c r="B62" s="418">
        <v>42</v>
      </c>
      <c r="C62" s="988">
        <f t="shared" si="9"/>
        <v>7445</v>
      </c>
      <c r="D62" s="921">
        <f t="shared" si="10"/>
        <v>1325771.94</v>
      </c>
      <c r="E62" s="921">
        <f t="shared" si="11"/>
        <v>105347986.20999999</v>
      </c>
      <c r="F62" s="921">
        <f t="shared" si="12"/>
        <v>2199852201.9899998</v>
      </c>
      <c r="G62" s="822">
        <f t="shared" si="13"/>
        <v>4.7888665481572598E-2</v>
      </c>
      <c r="H62" s="922">
        <f t="shared" si="14"/>
        <v>388220.05</v>
      </c>
      <c r="I62" s="923">
        <f t="shared" si="15"/>
        <v>9112847.3900000006</v>
      </c>
      <c r="J62" s="922">
        <f t="shared" si="16"/>
        <v>96235138.819999993</v>
      </c>
      <c r="K62" s="822">
        <f t="shared" si="17"/>
        <v>4.3746183826779403E-2</v>
      </c>
      <c r="L62" s="850">
        <f>IF($F$4&gt;=B61,IF(ISNUMBER($C62),($D62-$H62)/'3.1 Delinquency Data'!C62,""),"")</f>
        <v>1.6325609977907881E-3</v>
      </c>
      <c r="M62" s="313"/>
    </row>
    <row r="63" spans="1:23">
      <c r="A63" s="238"/>
      <c r="B63" s="418">
        <v>43</v>
      </c>
      <c r="C63" s="988">
        <f t="shared" si="9"/>
        <v>7575</v>
      </c>
      <c r="D63" s="921">
        <f t="shared" si="10"/>
        <v>1410119.14</v>
      </c>
      <c r="E63" s="921">
        <f t="shared" si="11"/>
        <v>106758105.34999999</v>
      </c>
      <c r="F63" s="921">
        <f t="shared" si="12"/>
        <v>2199852201.9899998</v>
      </c>
      <c r="G63" s="822">
        <f t="shared" si="13"/>
        <v>4.8529671790416624E-2</v>
      </c>
      <c r="H63" s="922">
        <f t="shared" si="14"/>
        <v>291125.95</v>
      </c>
      <c r="I63" s="923">
        <f t="shared" si="15"/>
        <v>9403973.3399999999</v>
      </c>
      <c r="J63" s="922">
        <f t="shared" si="16"/>
        <v>97354132.010000005</v>
      </c>
      <c r="K63" s="822">
        <f t="shared" si="17"/>
        <v>4.4254851267704634E-2</v>
      </c>
      <c r="L63" s="850">
        <f>IF($F$4&gt;=B62,IF(ISNUMBER($C63),($D63-$H63)/'3.1 Delinquency Data'!C63,""),"")</f>
        <v>2.021501834285038E-3</v>
      </c>
      <c r="M63" s="313"/>
    </row>
    <row r="64" spans="1:23">
      <c r="A64" s="238"/>
      <c r="B64" s="418">
        <v>44</v>
      </c>
      <c r="C64" s="988" t="str">
        <f t="shared" si="9"/>
        <v/>
      </c>
      <c r="D64" s="921" t="str">
        <f t="shared" si="10"/>
        <v/>
      </c>
      <c r="E64" s="921" t="str">
        <f t="shared" si="11"/>
        <v/>
      </c>
      <c r="F64" s="921" t="str">
        <f t="shared" si="12"/>
        <v/>
      </c>
      <c r="G64" s="822" t="str">
        <f t="shared" si="13"/>
        <v/>
      </c>
      <c r="H64" s="922" t="str">
        <f t="shared" si="14"/>
        <v/>
      </c>
      <c r="I64" s="923" t="str">
        <f t="shared" si="15"/>
        <v/>
      </c>
      <c r="J64" s="922" t="str">
        <f t="shared" si="16"/>
        <v/>
      </c>
      <c r="K64" s="822" t="str">
        <f t="shared" si="17"/>
        <v/>
      </c>
      <c r="L64" s="850" t="str">
        <f>IF($F$4&gt;=B63,IF(ISNUMBER($C64),($D64-$H64)/'3.1 Delinquency Data'!C64,""),"")</f>
        <v/>
      </c>
      <c r="M64" s="313"/>
    </row>
    <row r="65" spans="1:13">
      <c r="A65" s="238"/>
      <c r="B65" s="418">
        <v>45</v>
      </c>
      <c r="C65" s="988" t="str">
        <f t="shared" si="9"/>
        <v/>
      </c>
      <c r="D65" s="921" t="str">
        <f t="shared" si="10"/>
        <v/>
      </c>
      <c r="E65" s="921" t="str">
        <f t="shared" si="11"/>
        <v/>
      </c>
      <c r="F65" s="921" t="str">
        <f t="shared" si="12"/>
        <v/>
      </c>
      <c r="G65" s="822" t="str">
        <f t="shared" si="13"/>
        <v/>
      </c>
      <c r="H65" s="922" t="str">
        <f t="shared" si="14"/>
        <v/>
      </c>
      <c r="I65" s="923" t="str">
        <f t="shared" si="15"/>
        <v/>
      </c>
      <c r="J65" s="922" t="str">
        <f t="shared" si="16"/>
        <v/>
      </c>
      <c r="K65" s="822" t="str">
        <f t="shared" si="17"/>
        <v/>
      </c>
      <c r="L65" s="850" t="str">
        <f>IF($F$4&gt;=B64,IF(ISNUMBER($C65),($D65-$H65)/'3.1 Delinquency Data'!C65,""),"")</f>
        <v/>
      </c>
      <c r="M65" s="313"/>
    </row>
    <row r="66" spans="1:13">
      <c r="A66" s="238"/>
      <c r="B66" s="418">
        <v>46</v>
      </c>
      <c r="C66" s="988" t="str">
        <f t="shared" si="9"/>
        <v/>
      </c>
      <c r="D66" s="921" t="str">
        <f t="shared" si="10"/>
        <v/>
      </c>
      <c r="E66" s="921" t="str">
        <f t="shared" si="11"/>
        <v/>
      </c>
      <c r="F66" s="921" t="str">
        <f t="shared" si="12"/>
        <v/>
      </c>
      <c r="G66" s="822" t="str">
        <f t="shared" si="13"/>
        <v/>
      </c>
      <c r="H66" s="922" t="str">
        <f t="shared" si="14"/>
        <v/>
      </c>
      <c r="I66" s="923" t="str">
        <f t="shared" si="15"/>
        <v/>
      </c>
      <c r="J66" s="922" t="str">
        <f t="shared" si="16"/>
        <v/>
      </c>
      <c r="K66" s="822" t="str">
        <f t="shared" si="17"/>
        <v/>
      </c>
      <c r="L66" s="850" t="str">
        <f>IF($F$4&gt;=B65,IF(ISNUMBER($C66),($D66-$H66)/'3.1 Delinquency Data'!C66,""),"")</f>
        <v/>
      </c>
      <c r="M66" s="313"/>
    </row>
    <row r="67" spans="1:13">
      <c r="A67" s="238"/>
      <c r="B67" s="418">
        <v>47</v>
      </c>
      <c r="C67" s="988" t="str">
        <f t="shared" si="9"/>
        <v/>
      </c>
      <c r="D67" s="921" t="str">
        <f t="shared" si="10"/>
        <v/>
      </c>
      <c r="E67" s="921" t="str">
        <f t="shared" si="11"/>
        <v/>
      </c>
      <c r="F67" s="921" t="str">
        <f t="shared" si="12"/>
        <v/>
      </c>
      <c r="G67" s="822" t="str">
        <f t="shared" si="13"/>
        <v/>
      </c>
      <c r="H67" s="922" t="str">
        <f t="shared" si="14"/>
        <v/>
      </c>
      <c r="I67" s="923" t="str">
        <f t="shared" si="15"/>
        <v/>
      </c>
      <c r="J67" s="922" t="str">
        <f t="shared" si="16"/>
        <v/>
      </c>
      <c r="K67" s="822" t="str">
        <f t="shared" si="17"/>
        <v/>
      </c>
      <c r="L67" s="850" t="str">
        <f>IF($F$4&gt;=B66,IF(ISNUMBER($C67),($D67-$H67)/'3.1 Delinquency Data'!C67,""),"")</f>
        <v/>
      </c>
      <c r="M67" s="313"/>
    </row>
    <row r="68" spans="1:13">
      <c r="A68" s="238"/>
      <c r="B68" s="418">
        <v>48</v>
      </c>
      <c r="C68" s="988" t="str">
        <f t="shared" si="9"/>
        <v/>
      </c>
      <c r="D68" s="921" t="str">
        <f t="shared" si="10"/>
        <v/>
      </c>
      <c r="E68" s="921" t="str">
        <f t="shared" si="11"/>
        <v/>
      </c>
      <c r="F68" s="921" t="str">
        <f t="shared" si="12"/>
        <v/>
      </c>
      <c r="G68" s="822" t="str">
        <f t="shared" si="13"/>
        <v/>
      </c>
      <c r="H68" s="922" t="str">
        <f t="shared" si="14"/>
        <v/>
      </c>
      <c r="I68" s="923" t="str">
        <f t="shared" si="15"/>
        <v/>
      </c>
      <c r="J68" s="922" t="str">
        <f t="shared" si="16"/>
        <v/>
      </c>
      <c r="K68" s="822" t="str">
        <f t="shared" si="17"/>
        <v/>
      </c>
      <c r="L68" s="850" t="str">
        <f>IF($F$4&gt;=B67,IF(ISNUMBER($C68),($D68-$H68)/'3.1 Delinquency Data'!C68,""),"")</f>
        <v/>
      </c>
      <c r="M68" s="313"/>
    </row>
    <row r="69" spans="1:13">
      <c r="A69" s="238"/>
      <c r="B69" s="418">
        <v>49</v>
      </c>
      <c r="C69" s="988" t="str">
        <f t="shared" si="9"/>
        <v/>
      </c>
      <c r="D69" s="921" t="str">
        <f t="shared" si="10"/>
        <v/>
      </c>
      <c r="E69" s="921" t="str">
        <f t="shared" si="11"/>
        <v/>
      </c>
      <c r="F69" s="921" t="str">
        <f t="shared" si="12"/>
        <v/>
      </c>
      <c r="G69" s="822" t="str">
        <f t="shared" si="13"/>
        <v/>
      </c>
      <c r="H69" s="922" t="str">
        <f t="shared" si="14"/>
        <v/>
      </c>
      <c r="I69" s="923" t="str">
        <f t="shared" si="15"/>
        <v/>
      </c>
      <c r="J69" s="922" t="str">
        <f t="shared" si="16"/>
        <v/>
      </c>
      <c r="K69" s="822" t="str">
        <f t="shared" si="17"/>
        <v/>
      </c>
      <c r="L69" s="850" t="str">
        <f>IF($F$4&gt;=B68,IF(ISNUMBER($C69),($D69-$H69)/'3.1 Delinquency Data'!C69,""),"")</f>
        <v/>
      </c>
      <c r="M69" s="313"/>
    </row>
    <row r="70" spans="1:13">
      <c r="A70" s="238"/>
      <c r="B70" s="418">
        <v>50</v>
      </c>
      <c r="C70" s="988" t="str">
        <f t="shared" si="9"/>
        <v/>
      </c>
      <c r="D70" s="921" t="str">
        <f t="shared" si="10"/>
        <v/>
      </c>
      <c r="E70" s="921" t="str">
        <f t="shared" si="11"/>
        <v/>
      </c>
      <c r="F70" s="921" t="str">
        <f t="shared" si="12"/>
        <v/>
      </c>
      <c r="G70" s="822" t="str">
        <f t="shared" si="13"/>
        <v/>
      </c>
      <c r="H70" s="922" t="str">
        <f t="shared" si="14"/>
        <v/>
      </c>
      <c r="I70" s="923" t="str">
        <f t="shared" si="15"/>
        <v/>
      </c>
      <c r="J70" s="922" t="str">
        <f t="shared" si="16"/>
        <v/>
      </c>
      <c r="K70" s="822" t="str">
        <f t="shared" si="17"/>
        <v/>
      </c>
      <c r="L70" s="850" t="str">
        <f>IF($F$4&gt;=B69,IF(ISNUMBER($C70),($D70-$H70)/'3.1 Delinquency Data'!C70,""),"")</f>
        <v/>
      </c>
      <c r="M70" s="313"/>
    </row>
    <row r="71" spans="1:13">
      <c r="A71" s="238"/>
      <c r="B71" s="418">
        <v>51</v>
      </c>
      <c r="C71" s="988" t="str">
        <f t="shared" si="9"/>
        <v/>
      </c>
      <c r="D71" s="921" t="str">
        <f t="shared" si="10"/>
        <v/>
      </c>
      <c r="E71" s="921" t="str">
        <f t="shared" si="11"/>
        <v/>
      </c>
      <c r="F71" s="921" t="str">
        <f t="shared" si="12"/>
        <v/>
      </c>
      <c r="G71" s="822" t="str">
        <f t="shared" si="13"/>
        <v/>
      </c>
      <c r="H71" s="922" t="str">
        <f t="shared" si="14"/>
        <v/>
      </c>
      <c r="I71" s="923" t="str">
        <f t="shared" si="15"/>
        <v/>
      </c>
      <c r="J71" s="922" t="str">
        <f t="shared" si="16"/>
        <v/>
      </c>
      <c r="K71" s="822" t="str">
        <f t="shared" si="17"/>
        <v/>
      </c>
      <c r="L71" s="850" t="str">
        <f>IF($F$4&gt;=B70,IF(ISNUMBER($C71),($D71-$H71)/'3.1 Delinquency Data'!C71,""),"")</f>
        <v/>
      </c>
      <c r="M71" s="313"/>
    </row>
    <row r="72" spans="1:13">
      <c r="A72" s="238"/>
      <c r="B72" s="418">
        <v>52</v>
      </c>
      <c r="C72" s="988" t="str">
        <f t="shared" si="9"/>
        <v/>
      </c>
      <c r="D72" s="921" t="str">
        <f t="shared" si="10"/>
        <v/>
      </c>
      <c r="E72" s="921" t="str">
        <f t="shared" si="11"/>
        <v/>
      </c>
      <c r="F72" s="921" t="str">
        <f t="shared" si="12"/>
        <v/>
      </c>
      <c r="G72" s="822" t="str">
        <f t="shared" si="13"/>
        <v/>
      </c>
      <c r="H72" s="922" t="str">
        <f t="shared" si="14"/>
        <v/>
      </c>
      <c r="I72" s="923" t="str">
        <f t="shared" si="15"/>
        <v/>
      </c>
      <c r="J72" s="922" t="str">
        <f t="shared" si="16"/>
        <v/>
      </c>
      <c r="K72" s="822" t="str">
        <f t="shared" si="17"/>
        <v/>
      </c>
      <c r="L72" s="850" t="str">
        <f>IF($F$4&gt;=B71,IF(ISNUMBER($C72),($D72-$H72)/'3.1 Delinquency Data'!C72,""),"")</f>
        <v/>
      </c>
      <c r="M72" s="313"/>
    </row>
    <row r="73" spans="1:13">
      <c r="A73" s="238"/>
      <c r="B73" s="418">
        <v>53</v>
      </c>
      <c r="C73" s="988" t="str">
        <f t="shared" si="9"/>
        <v/>
      </c>
      <c r="D73" s="921" t="str">
        <f t="shared" si="10"/>
        <v/>
      </c>
      <c r="E73" s="921" t="str">
        <f t="shared" si="11"/>
        <v/>
      </c>
      <c r="F73" s="921" t="str">
        <f t="shared" si="12"/>
        <v/>
      </c>
      <c r="G73" s="822" t="str">
        <f t="shared" si="13"/>
        <v/>
      </c>
      <c r="H73" s="922" t="str">
        <f t="shared" si="14"/>
        <v/>
      </c>
      <c r="I73" s="923" t="str">
        <f t="shared" si="15"/>
        <v/>
      </c>
      <c r="J73" s="922" t="str">
        <f t="shared" si="16"/>
        <v/>
      </c>
      <c r="K73" s="822" t="str">
        <f t="shared" si="17"/>
        <v/>
      </c>
      <c r="L73" s="850" t="str">
        <f>IF($F$4&gt;=B72,IF(ISNUMBER($C73),($D73-$H73)/'3.1 Delinquency Data'!C73,""),"")</f>
        <v/>
      </c>
      <c r="M73" s="313"/>
    </row>
    <row r="74" spans="1:13">
      <c r="A74" s="238"/>
      <c r="B74" s="418">
        <v>54</v>
      </c>
      <c r="C74" s="988" t="str">
        <f t="shared" si="9"/>
        <v/>
      </c>
      <c r="D74" s="921" t="str">
        <f t="shared" si="10"/>
        <v/>
      </c>
      <c r="E74" s="921" t="str">
        <f t="shared" si="11"/>
        <v/>
      </c>
      <c r="F74" s="921" t="str">
        <f t="shared" si="12"/>
        <v/>
      </c>
      <c r="G74" s="822" t="str">
        <f t="shared" si="13"/>
        <v/>
      </c>
      <c r="H74" s="922" t="str">
        <f t="shared" si="14"/>
        <v/>
      </c>
      <c r="I74" s="923" t="str">
        <f t="shared" si="15"/>
        <v/>
      </c>
      <c r="J74" s="922" t="str">
        <f t="shared" si="16"/>
        <v/>
      </c>
      <c r="K74" s="822" t="str">
        <f t="shared" si="17"/>
        <v/>
      </c>
      <c r="L74" s="850" t="str">
        <f>IF($F$4&gt;=B73,IF(ISNUMBER($C74),($D74-$H74)/'3.1 Delinquency Data'!C74,""),"")</f>
        <v/>
      </c>
      <c r="M74" s="313"/>
    </row>
    <row r="75" spans="1:13">
      <c r="A75" s="238"/>
      <c r="B75" s="418">
        <v>55</v>
      </c>
      <c r="C75" s="988" t="str">
        <f t="shared" si="9"/>
        <v/>
      </c>
      <c r="D75" s="921" t="str">
        <f t="shared" si="10"/>
        <v/>
      </c>
      <c r="E75" s="921" t="str">
        <f t="shared" si="11"/>
        <v/>
      </c>
      <c r="F75" s="921" t="str">
        <f t="shared" si="12"/>
        <v/>
      </c>
      <c r="G75" s="822" t="str">
        <f t="shared" si="13"/>
        <v/>
      </c>
      <c r="H75" s="922" t="str">
        <f t="shared" si="14"/>
        <v/>
      </c>
      <c r="I75" s="923" t="str">
        <f t="shared" si="15"/>
        <v/>
      </c>
      <c r="J75" s="922" t="str">
        <f t="shared" si="16"/>
        <v/>
      </c>
      <c r="K75" s="822" t="str">
        <f t="shared" si="17"/>
        <v/>
      </c>
      <c r="L75" s="850" t="str">
        <f>IF($F$4&gt;=B74,IF(ISNUMBER($C75),($D75-$H75)/'3.1 Delinquency Data'!C75,""),"")</f>
        <v/>
      </c>
      <c r="M75" s="313"/>
    </row>
    <row r="76" spans="1:13">
      <c r="A76" s="238"/>
      <c r="B76" s="418">
        <v>56</v>
      </c>
      <c r="C76" s="988" t="str">
        <f t="shared" si="9"/>
        <v/>
      </c>
      <c r="D76" s="921" t="str">
        <f t="shared" si="10"/>
        <v/>
      </c>
      <c r="E76" s="921" t="str">
        <f t="shared" si="11"/>
        <v/>
      </c>
      <c r="F76" s="921" t="str">
        <f t="shared" si="12"/>
        <v/>
      </c>
      <c r="G76" s="822" t="str">
        <f t="shared" si="13"/>
        <v/>
      </c>
      <c r="H76" s="922" t="str">
        <f t="shared" si="14"/>
        <v/>
      </c>
      <c r="I76" s="923" t="str">
        <f t="shared" si="15"/>
        <v/>
      </c>
      <c r="J76" s="922" t="str">
        <f t="shared" si="16"/>
        <v/>
      </c>
      <c r="K76" s="822" t="str">
        <f t="shared" si="17"/>
        <v/>
      </c>
      <c r="L76" s="850" t="str">
        <f>IF($F$4&gt;=B75,IF(ISNUMBER($C76),($D76-$H76)/'3.1 Delinquency Data'!C76,""),"")</f>
        <v/>
      </c>
      <c r="M76" s="313"/>
    </row>
    <row r="77" spans="1:13">
      <c r="A77" s="238"/>
      <c r="B77" s="418">
        <v>57</v>
      </c>
      <c r="C77" s="988" t="str">
        <f t="shared" si="9"/>
        <v/>
      </c>
      <c r="D77" s="921" t="str">
        <f t="shared" si="10"/>
        <v/>
      </c>
      <c r="E77" s="921" t="str">
        <f t="shared" si="11"/>
        <v/>
      </c>
      <c r="F77" s="921" t="str">
        <f t="shared" si="12"/>
        <v/>
      </c>
      <c r="G77" s="822" t="str">
        <f t="shared" si="13"/>
        <v/>
      </c>
      <c r="H77" s="922" t="str">
        <f t="shared" si="14"/>
        <v/>
      </c>
      <c r="I77" s="923" t="str">
        <f t="shared" si="15"/>
        <v/>
      </c>
      <c r="J77" s="922" t="str">
        <f t="shared" si="16"/>
        <v/>
      </c>
      <c r="K77" s="822" t="str">
        <f t="shared" si="17"/>
        <v/>
      </c>
      <c r="L77" s="850" t="str">
        <f>IF($F$4&gt;=B76,IF(ISNUMBER($C77),($D77-$H77)/'3.1 Delinquency Data'!C77,""),"")</f>
        <v/>
      </c>
      <c r="M77" s="313"/>
    </row>
    <row r="78" spans="1:13">
      <c r="A78" s="238"/>
      <c r="B78" s="418">
        <v>58</v>
      </c>
      <c r="C78" s="988" t="str">
        <f t="shared" si="9"/>
        <v/>
      </c>
      <c r="D78" s="921" t="str">
        <f t="shared" si="10"/>
        <v/>
      </c>
      <c r="E78" s="921" t="str">
        <f t="shared" si="11"/>
        <v/>
      </c>
      <c r="F78" s="921" t="str">
        <f t="shared" si="12"/>
        <v/>
      </c>
      <c r="G78" s="822" t="str">
        <f t="shared" si="13"/>
        <v/>
      </c>
      <c r="H78" s="922" t="str">
        <f t="shared" si="14"/>
        <v/>
      </c>
      <c r="I78" s="923" t="str">
        <f t="shared" si="15"/>
        <v/>
      </c>
      <c r="J78" s="922" t="str">
        <f t="shared" si="16"/>
        <v/>
      </c>
      <c r="K78" s="822" t="str">
        <f t="shared" si="17"/>
        <v/>
      </c>
      <c r="L78" s="850" t="str">
        <f>IF($F$4&gt;=B77,IF(ISNUMBER($C78),($D78-$H78)/'3.1 Delinquency Data'!C78,""),"")</f>
        <v/>
      </c>
      <c r="M78" s="313"/>
    </row>
    <row r="79" spans="1:13">
      <c r="A79" s="238"/>
      <c r="B79" s="418">
        <v>59</v>
      </c>
      <c r="C79" s="988" t="str">
        <f t="shared" si="9"/>
        <v/>
      </c>
      <c r="D79" s="921" t="str">
        <f t="shared" si="10"/>
        <v/>
      </c>
      <c r="E79" s="921" t="str">
        <f t="shared" si="11"/>
        <v/>
      </c>
      <c r="F79" s="921" t="str">
        <f t="shared" si="12"/>
        <v/>
      </c>
      <c r="G79" s="822" t="str">
        <f t="shared" si="13"/>
        <v/>
      </c>
      <c r="H79" s="922" t="str">
        <f t="shared" si="14"/>
        <v/>
      </c>
      <c r="I79" s="923" t="str">
        <f t="shared" si="15"/>
        <v/>
      </c>
      <c r="J79" s="922" t="str">
        <f t="shared" si="16"/>
        <v/>
      </c>
      <c r="K79" s="822" t="str">
        <f t="shared" si="17"/>
        <v/>
      </c>
      <c r="L79" s="850" t="str">
        <f>IF($F$4&gt;=B78,IF(ISNUMBER($C79),($D79-$H79)/'3.1 Delinquency Data'!C79,""),"")</f>
        <v/>
      </c>
      <c r="M79" s="313"/>
    </row>
    <row r="80" spans="1:13">
      <c r="A80" s="238"/>
      <c r="B80" s="418">
        <v>60</v>
      </c>
      <c r="C80" s="988" t="str">
        <f t="shared" si="9"/>
        <v/>
      </c>
      <c r="D80" s="921" t="str">
        <f t="shared" si="10"/>
        <v/>
      </c>
      <c r="E80" s="921" t="str">
        <f t="shared" si="11"/>
        <v/>
      </c>
      <c r="F80" s="921" t="str">
        <f t="shared" si="12"/>
        <v/>
      </c>
      <c r="G80" s="822" t="str">
        <f t="shared" si="13"/>
        <v/>
      </c>
      <c r="H80" s="922" t="str">
        <f t="shared" si="14"/>
        <v/>
      </c>
      <c r="I80" s="923" t="str">
        <f t="shared" si="15"/>
        <v/>
      </c>
      <c r="J80" s="922" t="str">
        <f t="shared" si="16"/>
        <v/>
      </c>
      <c r="K80" s="822" t="str">
        <f t="shared" si="17"/>
        <v/>
      </c>
      <c r="L80" s="850" t="str">
        <f>IF($F$4&gt;=B79,IF(ISNUMBER($C80),($D80-$H80)/'3.1 Delinquency Data'!C80,""),"")</f>
        <v/>
      </c>
      <c r="M80" s="313"/>
    </row>
    <row r="81" spans="1:13">
      <c r="A81" s="238"/>
      <c r="B81" s="418">
        <v>61</v>
      </c>
      <c r="C81" s="988" t="str">
        <f t="shared" si="9"/>
        <v/>
      </c>
      <c r="D81" s="921" t="str">
        <f t="shared" si="10"/>
        <v/>
      </c>
      <c r="E81" s="921" t="str">
        <f t="shared" si="11"/>
        <v/>
      </c>
      <c r="F81" s="921" t="str">
        <f t="shared" si="12"/>
        <v/>
      </c>
      <c r="G81" s="822" t="str">
        <f t="shared" si="13"/>
        <v/>
      </c>
      <c r="H81" s="922" t="str">
        <f t="shared" si="14"/>
        <v/>
      </c>
      <c r="I81" s="923" t="str">
        <f t="shared" si="15"/>
        <v/>
      </c>
      <c r="J81" s="922" t="str">
        <f t="shared" si="16"/>
        <v/>
      </c>
      <c r="K81" s="822" t="str">
        <f t="shared" si="17"/>
        <v/>
      </c>
      <c r="L81" s="850" t="str">
        <f>IF($F$4&gt;=B80,IF(ISNUMBER($C81),($D81-$H81)/'3.1 Delinquency Data'!C81,""),"")</f>
        <v/>
      </c>
      <c r="M81" s="313"/>
    </row>
    <row r="82" spans="1:13">
      <c r="A82" s="238"/>
      <c r="B82" s="418">
        <v>62</v>
      </c>
      <c r="C82" s="988" t="str">
        <f t="shared" si="9"/>
        <v/>
      </c>
      <c r="D82" s="921" t="str">
        <f t="shared" si="10"/>
        <v/>
      </c>
      <c r="E82" s="921" t="str">
        <f t="shared" si="11"/>
        <v/>
      </c>
      <c r="F82" s="921" t="str">
        <f t="shared" si="12"/>
        <v/>
      </c>
      <c r="G82" s="822" t="str">
        <f t="shared" si="13"/>
        <v/>
      </c>
      <c r="H82" s="922" t="str">
        <f t="shared" si="14"/>
        <v/>
      </c>
      <c r="I82" s="923" t="str">
        <f t="shared" si="15"/>
        <v/>
      </c>
      <c r="J82" s="922" t="str">
        <f t="shared" si="16"/>
        <v/>
      </c>
      <c r="K82" s="822" t="str">
        <f t="shared" si="17"/>
        <v/>
      </c>
      <c r="L82" s="850" t="str">
        <f>IF($F$4&gt;=B81,IF(ISNUMBER($C82),($D82-$H82)/'3.1 Delinquency Data'!C82,""),"")</f>
        <v/>
      </c>
      <c r="M82" s="313"/>
    </row>
    <row r="83" spans="1:13">
      <c r="A83" s="238"/>
      <c r="B83" s="418">
        <v>63</v>
      </c>
      <c r="C83" s="988" t="str">
        <f t="shared" si="9"/>
        <v/>
      </c>
      <c r="D83" s="921" t="str">
        <f t="shared" si="10"/>
        <v/>
      </c>
      <c r="E83" s="921" t="str">
        <f t="shared" si="11"/>
        <v/>
      </c>
      <c r="F83" s="921" t="str">
        <f t="shared" si="12"/>
        <v/>
      </c>
      <c r="G83" s="822" t="str">
        <f t="shared" si="13"/>
        <v/>
      </c>
      <c r="H83" s="922" t="str">
        <f t="shared" si="14"/>
        <v/>
      </c>
      <c r="I83" s="923" t="str">
        <f t="shared" si="15"/>
        <v/>
      </c>
      <c r="J83" s="922" t="str">
        <f t="shared" si="16"/>
        <v/>
      </c>
      <c r="K83" s="822" t="str">
        <f t="shared" si="17"/>
        <v/>
      </c>
      <c r="L83" s="850" t="str">
        <f>IF($F$4&gt;=B82,IF(ISNUMBER($C83),($D83-$H83)/'3.1 Delinquency Data'!C83,""),"")</f>
        <v/>
      </c>
      <c r="M83" s="313"/>
    </row>
    <row r="84" spans="1:13">
      <c r="A84" s="238"/>
      <c r="B84" s="418">
        <v>64</v>
      </c>
      <c r="C84" s="988" t="str">
        <f t="shared" si="9"/>
        <v/>
      </c>
      <c r="D84" s="921" t="str">
        <f t="shared" si="10"/>
        <v/>
      </c>
      <c r="E84" s="921" t="str">
        <f t="shared" si="11"/>
        <v/>
      </c>
      <c r="F84" s="921" t="str">
        <f t="shared" si="12"/>
        <v/>
      </c>
      <c r="G84" s="822" t="str">
        <f t="shared" si="13"/>
        <v/>
      </c>
      <c r="H84" s="922" t="str">
        <f t="shared" si="14"/>
        <v/>
      </c>
      <c r="I84" s="923" t="str">
        <f t="shared" si="15"/>
        <v/>
      </c>
      <c r="J84" s="922" t="str">
        <f t="shared" si="16"/>
        <v/>
      </c>
      <c r="K84" s="822" t="str">
        <f t="shared" si="17"/>
        <v/>
      </c>
      <c r="L84" s="850" t="str">
        <f>IF($F$4&gt;=B83,IF(ISNUMBER($C84),($D84-$H84)/'3.1 Delinquency Data'!C84,""),"")</f>
        <v/>
      </c>
      <c r="M84" s="313"/>
    </row>
    <row r="85" spans="1:13">
      <c r="A85" s="238"/>
      <c r="B85" s="418">
        <v>65</v>
      </c>
      <c r="C85" s="988" t="str">
        <f t="shared" ref="C85:C100" si="18">IF($F$4&gt;=B85,VLOOKUP(CONCATENATE("defaults_",$B85),defaults_21,2,0),"")</f>
        <v/>
      </c>
      <c r="D85" s="921" t="str">
        <f t="shared" ref="D85:D100" si="19">IF($F$4&gt;=B85,VLOOKUP(CONCATENATE("defaults_",$B85),defaults_21,3,0),"")</f>
        <v/>
      </c>
      <c r="E85" s="921" t="str">
        <f t="shared" ref="E85:E100" si="20">IF($F$4&gt;=B85,VLOOKUP(CONCATENATE("defaults_",$B85),defaults_21,4,0),"")</f>
        <v/>
      </c>
      <c r="F85" s="921" t="str">
        <f t="shared" ref="F85:F100" si="21">IF($F$4&gt;=B85,VLOOKUP(CONCATENATE("defaults_",$B85),defaults_21,5,0),"")</f>
        <v/>
      </c>
      <c r="G85" s="822" t="str">
        <f t="shared" ref="G85:G100" si="22">IF($F$4&gt;=B85,VLOOKUP(CONCATENATE("defaults_",$B85),defaults_21,6,0),"")</f>
        <v/>
      </c>
      <c r="H85" s="922" t="str">
        <f t="shared" ref="H85:H100" si="23">IF($F$4&gt;=B85,VLOOKUP(CONCATENATE("defaults_",$B85),defaults_21,7,0),"")</f>
        <v/>
      </c>
      <c r="I85" s="923" t="str">
        <f t="shared" ref="I85:I100" si="24">IF($F$4&gt;=B85,VLOOKUP(CONCATENATE("defaults_",$B85),defaults_21,8,0),"")</f>
        <v/>
      </c>
      <c r="J85" s="922" t="str">
        <f t="shared" ref="J85:J100" si="25">IF($F$4&gt;=B85,VLOOKUP(CONCATENATE("defaults_",$B85),defaults_21,9,0),"")</f>
        <v/>
      </c>
      <c r="K85" s="822" t="str">
        <f t="shared" ref="K85:K100" si="26">IF($F$4&gt;=B85,VLOOKUP(CONCATENATE("defaults_",$B85),defaults_21,10,0),"")</f>
        <v/>
      </c>
      <c r="L85" s="850" t="str">
        <f>IF($F$4&gt;=B84,IF(ISNUMBER($C85),($D85-$H85)/'3.1 Delinquency Data'!C85,""),"")</f>
        <v/>
      </c>
      <c r="M85" s="313"/>
    </row>
    <row r="86" spans="1:13">
      <c r="A86" s="238"/>
      <c r="B86" s="418">
        <v>66</v>
      </c>
      <c r="C86" s="988" t="str">
        <f t="shared" si="18"/>
        <v/>
      </c>
      <c r="D86" s="921" t="str">
        <f t="shared" si="19"/>
        <v/>
      </c>
      <c r="E86" s="921" t="str">
        <f t="shared" si="20"/>
        <v/>
      </c>
      <c r="F86" s="921" t="str">
        <f t="shared" si="21"/>
        <v/>
      </c>
      <c r="G86" s="822" t="str">
        <f t="shared" si="22"/>
        <v/>
      </c>
      <c r="H86" s="922" t="str">
        <f t="shared" si="23"/>
        <v/>
      </c>
      <c r="I86" s="923" t="str">
        <f t="shared" si="24"/>
        <v/>
      </c>
      <c r="J86" s="922" t="str">
        <f t="shared" si="25"/>
        <v/>
      </c>
      <c r="K86" s="822" t="str">
        <f t="shared" si="26"/>
        <v/>
      </c>
      <c r="L86" s="850" t="str">
        <f>IF($F$4&gt;=B85,IF(ISNUMBER($C86),($D86-$H86)/'3.1 Delinquency Data'!C86,""),"")</f>
        <v/>
      </c>
      <c r="M86" s="313"/>
    </row>
    <row r="87" spans="1:13">
      <c r="A87" s="238"/>
      <c r="B87" s="418">
        <v>67</v>
      </c>
      <c r="C87" s="988" t="str">
        <f t="shared" si="18"/>
        <v/>
      </c>
      <c r="D87" s="921" t="str">
        <f t="shared" si="19"/>
        <v/>
      </c>
      <c r="E87" s="921" t="str">
        <f t="shared" si="20"/>
        <v/>
      </c>
      <c r="F87" s="921" t="str">
        <f t="shared" si="21"/>
        <v/>
      </c>
      <c r="G87" s="822" t="str">
        <f t="shared" si="22"/>
        <v/>
      </c>
      <c r="H87" s="922" t="str">
        <f t="shared" si="23"/>
        <v/>
      </c>
      <c r="I87" s="923" t="str">
        <f t="shared" si="24"/>
        <v/>
      </c>
      <c r="J87" s="922" t="str">
        <f t="shared" si="25"/>
        <v/>
      </c>
      <c r="K87" s="822" t="str">
        <f t="shared" si="26"/>
        <v/>
      </c>
      <c r="L87" s="850" t="str">
        <f>IF($F$4&gt;=B86,IF(ISNUMBER($C87),($D87-$H87)/'3.1 Delinquency Data'!C87,""),"")</f>
        <v/>
      </c>
      <c r="M87" s="313"/>
    </row>
    <row r="88" spans="1:13">
      <c r="A88" s="238"/>
      <c r="B88" s="418">
        <v>68</v>
      </c>
      <c r="C88" s="988" t="str">
        <f t="shared" si="18"/>
        <v/>
      </c>
      <c r="D88" s="921" t="str">
        <f t="shared" si="19"/>
        <v/>
      </c>
      <c r="E88" s="921" t="str">
        <f t="shared" si="20"/>
        <v/>
      </c>
      <c r="F88" s="921" t="str">
        <f t="shared" si="21"/>
        <v/>
      </c>
      <c r="G88" s="822" t="str">
        <f t="shared" si="22"/>
        <v/>
      </c>
      <c r="H88" s="922" t="str">
        <f t="shared" si="23"/>
        <v/>
      </c>
      <c r="I88" s="923" t="str">
        <f t="shared" si="24"/>
        <v/>
      </c>
      <c r="J88" s="922" t="str">
        <f t="shared" si="25"/>
        <v/>
      </c>
      <c r="K88" s="822" t="str">
        <f t="shared" si="26"/>
        <v/>
      </c>
      <c r="L88" s="850" t="str">
        <f>IF($F$4&gt;=B87,IF(ISNUMBER($C88),($D88-$H88)/'3.1 Delinquency Data'!C88,""),"")</f>
        <v/>
      </c>
      <c r="M88" s="313"/>
    </row>
    <row r="89" spans="1:13">
      <c r="A89" s="238"/>
      <c r="B89" s="418">
        <v>69</v>
      </c>
      <c r="C89" s="988" t="str">
        <f t="shared" si="18"/>
        <v/>
      </c>
      <c r="D89" s="921" t="str">
        <f t="shared" si="19"/>
        <v/>
      </c>
      <c r="E89" s="921" t="str">
        <f t="shared" si="20"/>
        <v/>
      </c>
      <c r="F89" s="921" t="str">
        <f t="shared" si="21"/>
        <v/>
      </c>
      <c r="G89" s="822" t="str">
        <f t="shared" si="22"/>
        <v/>
      </c>
      <c r="H89" s="922" t="str">
        <f t="shared" si="23"/>
        <v/>
      </c>
      <c r="I89" s="923" t="str">
        <f t="shared" si="24"/>
        <v/>
      </c>
      <c r="J89" s="922" t="str">
        <f t="shared" si="25"/>
        <v/>
      </c>
      <c r="K89" s="822" t="str">
        <f t="shared" si="26"/>
        <v/>
      </c>
      <c r="L89" s="850" t="str">
        <f>IF($F$4&gt;=B88,IF(ISNUMBER($C89),($D89-$H89)/'3.1 Delinquency Data'!C89,""),"")</f>
        <v/>
      </c>
      <c r="M89" s="313"/>
    </row>
    <row r="90" spans="1:13">
      <c r="A90" s="238"/>
      <c r="B90" s="418">
        <v>70</v>
      </c>
      <c r="C90" s="988" t="str">
        <f t="shared" si="18"/>
        <v/>
      </c>
      <c r="D90" s="921" t="str">
        <f t="shared" si="19"/>
        <v/>
      </c>
      <c r="E90" s="921" t="str">
        <f t="shared" si="20"/>
        <v/>
      </c>
      <c r="F90" s="921" t="str">
        <f t="shared" si="21"/>
        <v/>
      </c>
      <c r="G90" s="822" t="str">
        <f t="shared" si="22"/>
        <v/>
      </c>
      <c r="H90" s="922" t="str">
        <f t="shared" si="23"/>
        <v/>
      </c>
      <c r="I90" s="923" t="str">
        <f t="shared" si="24"/>
        <v/>
      </c>
      <c r="J90" s="922" t="str">
        <f t="shared" si="25"/>
        <v/>
      </c>
      <c r="K90" s="822" t="str">
        <f t="shared" si="26"/>
        <v/>
      </c>
      <c r="L90" s="850" t="str">
        <f>IF($F$4&gt;=B89,IF(ISNUMBER($C90),($D90-$H90)/'3.1 Delinquency Data'!C90,""),"")</f>
        <v/>
      </c>
      <c r="M90" s="313"/>
    </row>
    <row r="91" spans="1:13">
      <c r="A91" s="238"/>
      <c r="B91" s="418">
        <v>71</v>
      </c>
      <c r="C91" s="988" t="str">
        <f t="shared" si="18"/>
        <v/>
      </c>
      <c r="D91" s="921" t="str">
        <f t="shared" si="19"/>
        <v/>
      </c>
      <c r="E91" s="921" t="str">
        <f t="shared" si="20"/>
        <v/>
      </c>
      <c r="F91" s="921" t="str">
        <f t="shared" si="21"/>
        <v/>
      </c>
      <c r="G91" s="822" t="str">
        <f t="shared" si="22"/>
        <v/>
      </c>
      <c r="H91" s="922" t="str">
        <f t="shared" si="23"/>
        <v/>
      </c>
      <c r="I91" s="923" t="str">
        <f t="shared" si="24"/>
        <v/>
      </c>
      <c r="J91" s="922" t="str">
        <f t="shared" si="25"/>
        <v/>
      </c>
      <c r="K91" s="822" t="str">
        <f t="shared" si="26"/>
        <v/>
      </c>
      <c r="L91" s="850" t="str">
        <f>IF($F$4&gt;=B90,IF(ISNUMBER($C91),($D91-$H91)/'3.1 Delinquency Data'!C91,""),"")</f>
        <v/>
      </c>
      <c r="M91" s="313"/>
    </row>
    <row r="92" spans="1:13">
      <c r="A92" s="238"/>
      <c r="B92" s="418">
        <v>72</v>
      </c>
      <c r="C92" s="988" t="str">
        <f t="shared" si="18"/>
        <v/>
      </c>
      <c r="D92" s="921" t="str">
        <f t="shared" si="19"/>
        <v/>
      </c>
      <c r="E92" s="921" t="str">
        <f t="shared" si="20"/>
        <v/>
      </c>
      <c r="F92" s="921" t="str">
        <f t="shared" si="21"/>
        <v/>
      </c>
      <c r="G92" s="822" t="str">
        <f t="shared" si="22"/>
        <v/>
      </c>
      <c r="H92" s="922" t="str">
        <f t="shared" si="23"/>
        <v/>
      </c>
      <c r="I92" s="923" t="str">
        <f t="shared" si="24"/>
        <v/>
      </c>
      <c r="J92" s="922" t="str">
        <f t="shared" si="25"/>
        <v/>
      </c>
      <c r="K92" s="822" t="str">
        <f t="shared" si="26"/>
        <v/>
      </c>
      <c r="L92" s="850" t="str">
        <f>IF($F$4&gt;=B91,IF(ISNUMBER($C92),($D92-$H92)/'3.1 Delinquency Data'!C92,""),"")</f>
        <v/>
      </c>
      <c r="M92" s="313"/>
    </row>
    <row r="93" spans="1:13">
      <c r="A93" s="238"/>
      <c r="B93" s="418">
        <v>73</v>
      </c>
      <c r="C93" s="988" t="str">
        <f t="shared" si="18"/>
        <v/>
      </c>
      <c r="D93" s="921" t="str">
        <f t="shared" si="19"/>
        <v/>
      </c>
      <c r="E93" s="921" t="str">
        <f t="shared" si="20"/>
        <v/>
      </c>
      <c r="F93" s="921" t="str">
        <f t="shared" si="21"/>
        <v/>
      </c>
      <c r="G93" s="822" t="str">
        <f t="shared" si="22"/>
        <v/>
      </c>
      <c r="H93" s="922" t="str">
        <f t="shared" si="23"/>
        <v/>
      </c>
      <c r="I93" s="923" t="str">
        <f t="shared" si="24"/>
        <v/>
      </c>
      <c r="J93" s="922" t="str">
        <f t="shared" si="25"/>
        <v/>
      </c>
      <c r="K93" s="822" t="str">
        <f t="shared" si="26"/>
        <v/>
      </c>
      <c r="L93" s="850" t="str">
        <f>IF($F$4&gt;=B92,IF(ISNUMBER($C93),($D93-$H93)/'3.1 Delinquency Data'!C93,""),"")</f>
        <v/>
      </c>
      <c r="M93" s="313"/>
    </row>
    <row r="94" spans="1:13">
      <c r="A94" s="238"/>
      <c r="B94" s="418">
        <v>74</v>
      </c>
      <c r="C94" s="988" t="str">
        <f t="shared" si="18"/>
        <v/>
      </c>
      <c r="D94" s="921" t="str">
        <f t="shared" si="19"/>
        <v/>
      </c>
      <c r="E94" s="921" t="str">
        <f t="shared" si="20"/>
        <v/>
      </c>
      <c r="F94" s="921" t="str">
        <f t="shared" si="21"/>
        <v/>
      </c>
      <c r="G94" s="822" t="str">
        <f t="shared" si="22"/>
        <v/>
      </c>
      <c r="H94" s="922" t="str">
        <f t="shared" si="23"/>
        <v/>
      </c>
      <c r="I94" s="923" t="str">
        <f t="shared" si="24"/>
        <v/>
      </c>
      <c r="J94" s="922" t="str">
        <f t="shared" si="25"/>
        <v/>
      </c>
      <c r="K94" s="822" t="str">
        <f t="shared" si="26"/>
        <v/>
      </c>
      <c r="L94" s="850" t="str">
        <f>IF($F$4&gt;=B93,IF(ISNUMBER($C94),($D94-$H94)/'3.1 Delinquency Data'!C94,""),"")</f>
        <v/>
      </c>
      <c r="M94" s="313"/>
    </row>
    <row r="95" spans="1:13">
      <c r="A95" s="238"/>
      <c r="B95" s="418">
        <v>75</v>
      </c>
      <c r="C95" s="988" t="str">
        <f t="shared" si="18"/>
        <v/>
      </c>
      <c r="D95" s="921" t="str">
        <f t="shared" si="19"/>
        <v/>
      </c>
      <c r="E95" s="921" t="str">
        <f t="shared" si="20"/>
        <v/>
      </c>
      <c r="F95" s="921" t="str">
        <f t="shared" si="21"/>
        <v/>
      </c>
      <c r="G95" s="822" t="str">
        <f t="shared" si="22"/>
        <v/>
      </c>
      <c r="H95" s="922" t="str">
        <f t="shared" si="23"/>
        <v/>
      </c>
      <c r="I95" s="923" t="str">
        <f t="shared" si="24"/>
        <v/>
      </c>
      <c r="J95" s="922" t="str">
        <f t="shared" si="25"/>
        <v/>
      </c>
      <c r="K95" s="822" t="str">
        <f t="shared" si="26"/>
        <v/>
      </c>
      <c r="L95" s="850" t="str">
        <f>IF($F$4&gt;=B94,IF(ISNUMBER($C95),($D95-$H95)/'3.1 Delinquency Data'!C95,""),"")</f>
        <v/>
      </c>
      <c r="M95" s="313"/>
    </row>
    <row r="96" spans="1:13">
      <c r="A96" s="238"/>
      <c r="B96" s="418">
        <v>76</v>
      </c>
      <c r="C96" s="988" t="str">
        <f t="shared" si="18"/>
        <v/>
      </c>
      <c r="D96" s="921" t="str">
        <f t="shared" si="19"/>
        <v/>
      </c>
      <c r="E96" s="921" t="str">
        <f t="shared" si="20"/>
        <v/>
      </c>
      <c r="F96" s="921" t="str">
        <f t="shared" si="21"/>
        <v/>
      </c>
      <c r="G96" s="822" t="str">
        <f t="shared" si="22"/>
        <v/>
      </c>
      <c r="H96" s="922" t="str">
        <f t="shared" si="23"/>
        <v/>
      </c>
      <c r="I96" s="923" t="str">
        <f t="shared" si="24"/>
        <v/>
      </c>
      <c r="J96" s="922" t="str">
        <f t="shared" si="25"/>
        <v/>
      </c>
      <c r="K96" s="822" t="str">
        <f t="shared" si="26"/>
        <v/>
      </c>
      <c r="L96" s="850" t="str">
        <f>IF($F$4&gt;=B95,IF(ISNUMBER($C96),($D96-$H96)/'3.1 Delinquency Data'!C96,""),"")</f>
        <v/>
      </c>
      <c r="M96" s="313"/>
    </row>
    <row r="97" spans="1:13">
      <c r="A97" s="238"/>
      <c r="B97" s="418">
        <v>77</v>
      </c>
      <c r="C97" s="988" t="str">
        <f t="shared" si="18"/>
        <v/>
      </c>
      <c r="D97" s="921" t="str">
        <f t="shared" si="19"/>
        <v/>
      </c>
      <c r="E97" s="921" t="str">
        <f t="shared" si="20"/>
        <v/>
      </c>
      <c r="F97" s="921" t="str">
        <f t="shared" si="21"/>
        <v/>
      </c>
      <c r="G97" s="822" t="str">
        <f t="shared" si="22"/>
        <v/>
      </c>
      <c r="H97" s="922" t="str">
        <f t="shared" si="23"/>
        <v/>
      </c>
      <c r="I97" s="923" t="str">
        <f t="shared" si="24"/>
        <v/>
      </c>
      <c r="J97" s="922" t="str">
        <f t="shared" si="25"/>
        <v/>
      </c>
      <c r="K97" s="822" t="str">
        <f t="shared" si="26"/>
        <v/>
      </c>
      <c r="L97" s="850" t="str">
        <f>IF($F$4&gt;=B96,IF(ISNUMBER($C97),($D97-$H97)/'3.1 Delinquency Data'!C97,""),"")</f>
        <v/>
      </c>
      <c r="M97" s="313"/>
    </row>
    <row r="98" spans="1:13">
      <c r="A98" s="238"/>
      <c r="B98" s="418">
        <v>78</v>
      </c>
      <c r="C98" s="988" t="str">
        <f t="shared" si="18"/>
        <v/>
      </c>
      <c r="D98" s="921" t="str">
        <f t="shared" si="19"/>
        <v/>
      </c>
      <c r="E98" s="921" t="str">
        <f t="shared" si="20"/>
        <v/>
      </c>
      <c r="F98" s="921" t="str">
        <f t="shared" si="21"/>
        <v/>
      </c>
      <c r="G98" s="822" t="str">
        <f t="shared" si="22"/>
        <v/>
      </c>
      <c r="H98" s="922" t="str">
        <f t="shared" si="23"/>
        <v/>
      </c>
      <c r="I98" s="923" t="str">
        <f t="shared" si="24"/>
        <v/>
      </c>
      <c r="J98" s="922" t="str">
        <f t="shared" si="25"/>
        <v/>
      </c>
      <c r="K98" s="822" t="str">
        <f t="shared" si="26"/>
        <v/>
      </c>
      <c r="L98" s="850" t="str">
        <f>IF($F$4&gt;=B97,IF(ISNUMBER($C98),($D98-$H98)/'3.1 Delinquency Data'!C98,""),"")</f>
        <v/>
      </c>
      <c r="M98" s="313"/>
    </row>
    <row r="99" spans="1:13">
      <c r="A99" s="238"/>
      <c r="B99" s="860">
        <v>79</v>
      </c>
      <c r="C99" s="988" t="str">
        <f t="shared" si="18"/>
        <v/>
      </c>
      <c r="D99" s="921" t="str">
        <f t="shared" si="19"/>
        <v/>
      </c>
      <c r="E99" s="921" t="str">
        <f t="shared" si="20"/>
        <v/>
      </c>
      <c r="F99" s="921" t="str">
        <f t="shared" si="21"/>
        <v/>
      </c>
      <c r="G99" s="822" t="str">
        <f t="shared" si="22"/>
        <v/>
      </c>
      <c r="H99" s="922" t="str">
        <f t="shared" si="23"/>
        <v/>
      </c>
      <c r="I99" s="923" t="str">
        <f t="shared" si="24"/>
        <v/>
      </c>
      <c r="J99" s="922" t="str">
        <f t="shared" si="25"/>
        <v/>
      </c>
      <c r="K99" s="822" t="str">
        <f t="shared" si="26"/>
        <v/>
      </c>
      <c r="L99" s="850" t="str">
        <f>IF($F$4&gt;=B98,IF(ISNUMBER($C99),($D99-$H99)/'3.1 Delinquency Data'!C99,""),"")</f>
        <v/>
      </c>
      <c r="M99" s="313"/>
    </row>
    <row r="100" spans="1:13">
      <c r="A100" s="238"/>
      <c r="B100" s="861">
        <v>80</v>
      </c>
      <c r="C100" s="1011" t="str">
        <f t="shared" si="18"/>
        <v/>
      </c>
      <c r="D100" s="983" t="str">
        <f t="shared" si="19"/>
        <v/>
      </c>
      <c r="E100" s="983" t="str">
        <f t="shared" si="20"/>
        <v/>
      </c>
      <c r="F100" s="983" t="str">
        <f t="shared" si="21"/>
        <v/>
      </c>
      <c r="G100" s="984" t="str">
        <f t="shared" si="22"/>
        <v/>
      </c>
      <c r="H100" s="985" t="str">
        <f t="shared" si="23"/>
        <v/>
      </c>
      <c r="I100" s="986" t="str">
        <f t="shared" si="24"/>
        <v/>
      </c>
      <c r="J100" s="985" t="str">
        <f t="shared" si="25"/>
        <v/>
      </c>
      <c r="K100" s="984" t="str">
        <f t="shared" si="26"/>
        <v/>
      </c>
      <c r="L100" s="862" t="str">
        <f>IF($F$4&gt;=B99,IF(ISNUMBER($C100),($D100-$H100)/'3.1 Delinquency Data'!C100,""),"")</f>
        <v/>
      </c>
      <c r="M100" s="313"/>
    </row>
    <row r="101" spans="1:13">
      <c r="A101" s="314"/>
      <c r="B101" s="1010" t="s">
        <v>532</v>
      </c>
      <c r="C101" s="317"/>
      <c r="D101" s="317"/>
      <c r="E101" s="317"/>
      <c r="F101" s="317"/>
      <c r="G101" s="317"/>
      <c r="H101" s="317"/>
      <c r="I101" s="317"/>
      <c r="J101" s="317"/>
      <c r="K101" s="317"/>
      <c r="L101" s="317"/>
      <c r="M101" s="351"/>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3"/>
  <sheetViews>
    <sheetView view="pageBreakPreview" topLeftCell="B1" zoomScale="80" zoomScaleNormal="100" zoomScaleSheetLayoutView="80" workbookViewId="0">
      <selection activeCell="B3" sqref="B3"/>
    </sheetView>
  </sheetViews>
  <sheetFormatPr baseColWidth="10" defaultColWidth="9.1796875" defaultRowHeight="12.5"/>
  <cols>
    <col min="1" max="1" width="1.1796875" style="33" customWidth="1"/>
    <col min="2" max="2" width="86"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1"/>
      <c r="B1" s="772"/>
      <c r="C1" s="772"/>
      <c r="D1" s="772"/>
      <c r="E1" s="772"/>
      <c r="F1" s="772"/>
      <c r="G1" s="772"/>
      <c r="H1" s="772"/>
      <c r="I1" s="772"/>
      <c r="J1" s="772"/>
      <c r="K1" s="772"/>
      <c r="L1" s="772"/>
      <c r="M1" s="773"/>
    </row>
    <row r="2" spans="1:13" ht="18" customHeight="1">
      <c r="A2" s="283"/>
      <c r="B2" s="274" t="str">
        <f>'Cover Sheet'!B2</f>
        <v>SC Germany Consumer 2021-1</v>
      </c>
      <c r="C2" s="274"/>
      <c r="D2" s="774" t="str">
        <f>'Cover Sheet'!D2</f>
        <v>Calculation Date</v>
      </c>
      <c r="E2" s="775"/>
      <c r="F2" s="776">
        <f>'Cover Sheet'!F2</f>
        <v>45820</v>
      </c>
      <c r="G2" s="775"/>
      <c r="H2" s="775"/>
      <c r="I2" s="775"/>
      <c r="J2" s="775"/>
      <c r="K2" s="775"/>
      <c r="L2" s="777"/>
      <c r="M2" s="245"/>
    </row>
    <row r="3" spans="1:13" ht="18" customHeight="1">
      <c r="A3" s="283"/>
      <c r="B3" s="274" t="str">
        <f>'Cover Sheet'!B3</f>
        <v>Monthly Investor Report</v>
      </c>
      <c r="C3" s="274"/>
      <c r="D3" s="778" t="str">
        <f>'Cover Sheet'!D3</f>
        <v>Payment Date</v>
      </c>
      <c r="E3" s="779"/>
      <c r="F3" s="780">
        <f>'Cover Sheet'!F3</f>
        <v>45824</v>
      </c>
      <c r="G3" s="779"/>
      <c r="H3" s="779"/>
      <c r="I3" s="779"/>
      <c r="J3" s="779"/>
      <c r="K3" s="779"/>
      <c r="L3" s="781"/>
      <c r="M3" s="245"/>
    </row>
    <row r="4" spans="1:13">
      <c r="A4" s="283"/>
      <c r="B4" s="782"/>
      <c r="C4" s="713"/>
      <c r="D4" s="778" t="str">
        <f>'Cover Sheet'!D4</f>
        <v>Period  No</v>
      </c>
      <c r="E4" s="779"/>
      <c r="F4" s="783">
        <f>'Cover Sheet'!F4</f>
        <v>43</v>
      </c>
      <c r="G4" s="779"/>
      <c r="H4" s="784"/>
      <c r="I4" s="779"/>
      <c r="J4" s="785"/>
      <c r="K4" s="779"/>
      <c r="L4" s="781"/>
      <c r="M4" s="245"/>
    </row>
    <row r="5" spans="1:13" ht="17.25" customHeight="1">
      <c r="A5" s="283"/>
      <c r="B5" s="256" t="s">
        <v>164</v>
      </c>
      <c r="C5" s="256"/>
      <c r="D5" s="778" t="str">
        <f>'Cover Sheet'!D5</f>
        <v>Monthly Period</v>
      </c>
      <c r="E5" s="779"/>
      <c r="F5" s="120">
        <f>'Cover Sheet'!F5</f>
        <v>45824</v>
      </c>
      <c r="G5" s="779"/>
      <c r="H5" s="784"/>
      <c r="I5" s="779"/>
      <c r="J5" s="785"/>
      <c r="K5" s="779"/>
      <c r="L5" s="781"/>
      <c r="M5" s="245"/>
    </row>
    <row r="6" spans="1:13" ht="15" customHeight="1">
      <c r="A6" s="283"/>
      <c r="B6" s="786"/>
      <c r="C6" s="787"/>
      <c r="D6" s="778" t="str">
        <f>'Cover Sheet'!D6</f>
        <v>Interest Period</v>
      </c>
      <c r="E6" s="785" t="s">
        <v>34</v>
      </c>
      <c r="F6" s="780">
        <f>'Cover Sheet'!F6</f>
        <v>45791</v>
      </c>
      <c r="G6" s="785" t="str">
        <f>'Cover Sheet'!G6</f>
        <v>to</v>
      </c>
      <c r="H6" s="780">
        <f>'Cover Sheet'!H6</f>
        <v>45824</v>
      </c>
      <c r="I6" s="779" t="str">
        <f>'Cover Sheet'!I6</f>
        <v>=</v>
      </c>
      <c r="J6" s="788" t="str">
        <f>'Cover Sheet'!J6</f>
        <v>33 days</v>
      </c>
      <c r="K6" s="785"/>
      <c r="L6" s="789"/>
      <c r="M6" s="245"/>
    </row>
    <row r="7" spans="1:13" s="246" customFormat="1" ht="12.75" customHeight="1">
      <c r="A7" s="283"/>
      <c r="B7" s="25"/>
      <c r="C7" s="25"/>
      <c r="D7" s="790" t="str">
        <f>'Cover Sheet'!D7</f>
        <v>Collection Period</v>
      </c>
      <c r="E7" s="791" t="s">
        <v>34</v>
      </c>
      <c r="F7" s="792" t="str">
        <f>'Cover Sheet'!F7</f>
        <v>01.05.2025</v>
      </c>
      <c r="G7" s="791" t="str">
        <f>'Cover Sheet'!G7</f>
        <v>to</v>
      </c>
      <c r="H7" s="792">
        <f>'Cover Sheet'!H7</f>
        <v>45808</v>
      </c>
      <c r="I7" s="793"/>
      <c r="J7" s="793"/>
      <c r="K7" s="793"/>
      <c r="L7" s="794"/>
      <c r="M7" s="326"/>
    </row>
    <row r="8" spans="1:13" ht="13">
      <c r="A8" s="283"/>
      <c r="B8" s="25"/>
      <c r="C8" s="25"/>
      <c r="D8" s="25"/>
      <c r="E8" s="25"/>
      <c r="F8" s="795"/>
      <c r="G8" s="6"/>
      <c r="H8" s="710"/>
      <c r="I8" s="25"/>
      <c r="J8" s="711"/>
      <c r="K8" s="25"/>
      <c r="L8" s="78"/>
      <c r="M8" s="245"/>
    </row>
    <row r="9" spans="1:13">
      <c r="A9" s="283"/>
      <c r="B9" s="25"/>
      <c r="C9" s="25"/>
      <c r="D9" s="25"/>
      <c r="E9" s="25"/>
      <c r="F9" s="713"/>
      <c r="G9" s="25"/>
      <c r="H9" s="25"/>
      <c r="I9" s="25"/>
      <c r="J9" s="25"/>
      <c r="K9" s="25"/>
      <c r="L9" s="25"/>
      <c r="M9" s="245"/>
    </row>
    <row r="10" spans="1:13">
      <c r="A10" s="283"/>
      <c r="B10" s="25"/>
      <c r="C10" s="25"/>
      <c r="D10" s="25"/>
      <c r="E10" s="25"/>
      <c r="F10" s="713"/>
      <c r="G10" s="25"/>
      <c r="H10" s="25"/>
      <c r="I10" s="25"/>
      <c r="J10" s="25"/>
      <c r="K10" s="25"/>
      <c r="L10" s="25"/>
      <c r="M10" s="245"/>
    </row>
    <row r="11" spans="1:13" ht="18">
      <c r="A11" s="283"/>
      <c r="B11" s="25"/>
      <c r="C11" s="25"/>
      <c r="D11" s="408" t="s">
        <v>250</v>
      </c>
      <c r="E11" s="25"/>
      <c r="F11" s="713"/>
      <c r="G11" s="25"/>
      <c r="H11" s="971" t="s">
        <v>536</v>
      </c>
      <c r="I11" s="25"/>
      <c r="J11" s="25"/>
      <c r="K11" s="25"/>
      <c r="L11" s="25"/>
      <c r="M11" s="245"/>
    </row>
    <row r="12" spans="1:13" ht="18" customHeight="1">
      <c r="A12" s="283"/>
      <c r="B12" s="25"/>
      <c r="C12" s="25"/>
      <c r="D12" s="25"/>
      <c r="E12" s="25"/>
      <c r="F12" s="6"/>
      <c r="G12" s="796"/>
      <c r="H12" s="796"/>
      <c r="I12" s="796"/>
      <c r="J12" s="796"/>
      <c r="K12" s="796"/>
      <c r="L12" s="6"/>
      <c r="M12" s="245"/>
    </row>
    <row r="13" spans="1:13" ht="14.5">
      <c r="A13" s="283"/>
      <c r="B13" s="797" t="s">
        <v>165</v>
      </c>
      <c r="C13" s="78" t="s">
        <v>166</v>
      </c>
      <c r="D13" s="78" t="s">
        <v>167</v>
      </c>
      <c r="E13" s="78"/>
      <c r="F13" s="78" t="s">
        <v>168</v>
      </c>
      <c r="G13" s="78"/>
      <c r="H13" s="78" t="s">
        <v>12</v>
      </c>
      <c r="I13" s="798"/>
      <c r="J13" s="798"/>
      <c r="K13" s="798"/>
      <c r="L13" s="798"/>
      <c r="M13" s="245"/>
    </row>
    <row r="14" spans="1:13" ht="13">
      <c r="A14" s="283"/>
      <c r="B14" s="797"/>
      <c r="C14" s="78"/>
      <c r="D14" s="78"/>
      <c r="E14" s="78"/>
      <c r="F14" s="78"/>
      <c r="G14" s="78"/>
      <c r="H14" s="78"/>
      <c r="I14" s="796"/>
      <c r="J14" s="796"/>
      <c r="K14" s="796"/>
      <c r="L14" s="796"/>
      <c r="M14" s="245"/>
    </row>
    <row r="15" spans="1:13">
      <c r="A15" s="283"/>
      <c r="B15" s="64" t="s">
        <v>263</v>
      </c>
      <c r="C15" s="799">
        <v>5.2999999999999999E-2</v>
      </c>
      <c r="D15" s="800" t="s">
        <v>35</v>
      </c>
      <c r="E15" s="25"/>
      <c r="F15" s="800" t="s">
        <v>35</v>
      </c>
      <c r="G15" s="6"/>
      <c r="H15" s="137"/>
      <c r="I15" s="796"/>
      <c r="J15" s="796"/>
      <c r="K15" s="796"/>
      <c r="L15" s="796"/>
      <c r="M15" s="245"/>
    </row>
    <row r="16" spans="1:13">
      <c r="A16" s="283"/>
      <c r="B16" s="25"/>
      <c r="C16" s="25"/>
      <c r="D16" s="25"/>
      <c r="E16" s="25"/>
      <c r="F16" s="25"/>
      <c r="G16" s="25"/>
      <c r="H16" s="25"/>
      <c r="I16" s="25"/>
      <c r="J16" s="25"/>
      <c r="K16" s="25"/>
      <c r="L16" s="25"/>
      <c r="M16" s="245"/>
    </row>
    <row r="17" spans="1:13">
      <c r="A17" s="283"/>
      <c r="B17" s="801" t="s">
        <v>264</v>
      </c>
      <c r="C17" s="802" t="s">
        <v>35</v>
      </c>
      <c r="D17" s="940">
        <v>200000</v>
      </c>
      <c r="E17" s="796"/>
      <c r="F17" s="800" t="s">
        <v>35</v>
      </c>
      <c r="G17" s="796"/>
      <c r="H17" s="137"/>
      <c r="I17" s="796"/>
      <c r="J17" s="796"/>
      <c r="K17" s="796"/>
      <c r="L17" s="796"/>
      <c r="M17" s="245"/>
    </row>
    <row r="18" spans="1:13">
      <c r="A18" s="283"/>
      <c r="B18" s="804"/>
      <c r="C18" s="802"/>
      <c r="D18" s="805"/>
      <c r="E18" s="796"/>
      <c r="F18" s="796"/>
      <c r="G18" s="796"/>
      <c r="H18" s="796"/>
      <c r="I18" s="796"/>
      <c r="J18" s="796"/>
      <c r="K18" s="796"/>
      <c r="L18" s="796"/>
      <c r="M18" s="245"/>
    </row>
    <row r="19" spans="1:13">
      <c r="A19" s="283"/>
      <c r="B19" s="804" t="s">
        <v>65</v>
      </c>
      <c r="C19" s="802"/>
      <c r="D19" s="806">
        <v>85</v>
      </c>
      <c r="E19" s="796"/>
      <c r="F19" s="800" t="s">
        <v>35</v>
      </c>
      <c r="G19" s="796"/>
      <c r="H19" s="137"/>
      <c r="I19" s="796"/>
      <c r="J19" s="796"/>
      <c r="K19" s="796"/>
      <c r="L19" s="796"/>
      <c r="M19" s="245"/>
    </row>
    <row r="20" spans="1:13">
      <c r="A20" s="283"/>
      <c r="B20" s="804"/>
      <c r="C20" s="802"/>
      <c r="D20" s="805"/>
      <c r="E20" s="796"/>
      <c r="F20" s="796"/>
      <c r="G20" s="796"/>
      <c r="H20" s="796"/>
      <c r="I20" s="796"/>
      <c r="J20" s="796"/>
      <c r="K20" s="796"/>
      <c r="L20" s="796"/>
      <c r="M20" s="245"/>
    </row>
    <row r="21" spans="1:13" ht="13">
      <c r="A21" s="283"/>
      <c r="B21" s="797"/>
      <c r="C21" s="25"/>
      <c r="D21" s="78" t="s">
        <v>167</v>
      </c>
      <c r="E21" s="78"/>
      <c r="F21" s="78" t="s">
        <v>168</v>
      </c>
      <c r="G21" s="78"/>
      <c r="H21" s="78" t="s">
        <v>12</v>
      </c>
      <c r="I21" s="796"/>
      <c r="J21" s="796"/>
      <c r="K21" s="796"/>
      <c r="L21" s="796"/>
      <c r="M21" s="245"/>
    </row>
    <row r="22" spans="1:13">
      <c r="A22" s="283"/>
      <c r="B22" s="804"/>
      <c r="C22" s="802"/>
      <c r="D22" s="805"/>
      <c r="E22" s="796"/>
      <c r="F22" s="796"/>
      <c r="G22" s="796"/>
      <c r="H22" s="796"/>
      <c r="I22" s="796"/>
      <c r="J22" s="796"/>
      <c r="K22" s="796"/>
      <c r="L22" s="796"/>
      <c r="M22" s="245"/>
    </row>
    <row r="23" spans="1:13">
      <c r="A23" s="283"/>
      <c r="B23" s="801"/>
      <c r="C23" s="802"/>
      <c r="D23" s="807"/>
      <c r="E23" s="796"/>
      <c r="F23" s="808"/>
      <c r="G23" s="796"/>
      <c r="H23" s="137"/>
      <c r="I23" s="796"/>
      <c r="J23" s="796"/>
      <c r="K23" s="796"/>
      <c r="L23" s="796"/>
      <c r="M23" s="245"/>
    </row>
    <row r="24" spans="1:13" ht="13">
      <c r="A24" s="283"/>
      <c r="B24" s="24" t="s">
        <v>169</v>
      </c>
      <c r="C24" s="802"/>
      <c r="D24" s="805"/>
      <c r="E24" s="796"/>
      <c r="F24" s="796"/>
      <c r="G24" s="796"/>
      <c r="H24" s="137" t="str">
        <f>IF(AND(F25&gt;D25,F26&gt;D26,F27&gt;D27),"yes","no")</f>
        <v>no</v>
      </c>
      <c r="I24" s="796"/>
      <c r="J24" s="796"/>
      <c r="K24" s="796"/>
      <c r="L24" s="796"/>
      <c r="M24" s="245"/>
    </row>
    <row r="25" spans="1:13" ht="13">
      <c r="A25" s="283"/>
      <c r="B25" s="804" t="s">
        <v>170</v>
      </c>
      <c r="C25" s="809"/>
      <c r="D25" s="940">
        <v>150000000</v>
      </c>
      <c r="E25" s="925"/>
      <c r="F25" s="924"/>
      <c r="G25" s="811"/>
      <c r="H25" s="810"/>
      <c r="I25" s="810"/>
      <c r="J25" s="810"/>
      <c r="K25" s="810"/>
      <c r="L25" s="796"/>
      <c r="M25" s="245"/>
    </row>
    <row r="26" spans="1:13">
      <c r="A26" s="283"/>
      <c r="B26" s="804" t="s">
        <v>171</v>
      </c>
      <c r="C26" s="802"/>
      <c r="D26" s="940">
        <v>150000000</v>
      </c>
      <c r="E26" s="926"/>
      <c r="F26" s="924"/>
      <c r="G26" s="796"/>
      <c r="H26" s="25"/>
      <c r="I26" s="796"/>
      <c r="J26" s="796"/>
      <c r="K26" s="796"/>
      <c r="L26" s="796"/>
      <c r="M26" s="245"/>
    </row>
    <row r="27" spans="1:13">
      <c r="A27" s="283"/>
      <c r="B27" s="804" t="s">
        <v>172</v>
      </c>
      <c r="C27" s="802"/>
      <c r="D27" s="940">
        <v>150000000</v>
      </c>
      <c r="E27" s="926"/>
      <c r="F27" s="924"/>
      <c r="G27" s="796"/>
      <c r="H27" s="796"/>
      <c r="I27" s="796"/>
      <c r="J27" s="796"/>
      <c r="K27" s="796"/>
      <c r="L27" s="796"/>
      <c r="M27" s="245"/>
    </row>
    <row r="28" spans="1:13">
      <c r="A28" s="283"/>
      <c r="B28" s="804"/>
      <c r="C28" s="802"/>
      <c r="D28" s="796"/>
      <c r="E28" s="796"/>
      <c r="F28" s="796"/>
      <c r="G28" s="796"/>
      <c r="H28" s="796"/>
      <c r="I28" s="796"/>
      <c r="J28" s="796"/>
      <c r="K28" s="796"/>
      <c r="L28" s="796"/>
      <c r="M28" s="245"/>
    </row>
    <row r="29" spans="1:13" ht="13">
      <c r="A29" s="283"/>
      <c r="B29" s="24" t="s">
        <v>266</v>
      </c>
      <c r="C29" s="802"/>
      <c r="D29" s="796"/>
      <c r="E29" s="796"/>
      <c r="F29" s="803"/>
      <c r="G29" s="796"/>
      <c r="H29" s="137" t="s">
        <v>43</v>
      </c>
      <c r="I29" s="796"/>
      <c r="J29" s="796"/>
      <c r="K29" s="796"/>
      <c r="L29" s="796"/>
      <c r="M29" s="245"/>
    </row>
    <row r="30" spans="1:13">
      <c r="A30" s="283"/>
      <c r="B30" s="25"/>
      <c r="C30" s="802"/>
      <c r="D30" s="796"/>
      <c r="E30" s="796"/>
      <c r="F30" s="803"/>
      <c r="G30" s="796"/>
      <c r="H30" s="137"/>
      <c r="I30" s="796"/>
      <c r="J30" s="796"/>
      <c r="K30" s="796"/>
      <c r="L30" s="796"/>
      <c r="M30" s="245"/>
    </row>
    <row r="31" spans="1:13" ht="13">
      <c r="A31" s="283"/>
      <c r="B31" s="24" t="s">
        <v>313</v>
      </c>
      <c r="C31" s="802"/>
      <c r="D31" s="796"/>
      <c r="E31" s="796"/>
      <c r="F31" s="803"/>
      <c r="G31" s="796"/>
      <c r="H31" s="137" t="s">
        <v>43</v>
      </c>
      <c r="I31" s="796"/>
      <c r="J31" s="796"/>
      <c r="K31" s="796"/>
      <c r="L31" s="796"/>
      <c r="M31" s="245"/>
    </row>
    <row r="32" spans="1:13">
      <c r="A32" s="283"/>
      <c r="B32" s="25"/>
      <c r="C32" s="802"/>
      <c r="D32" s="796"/>
      <c r="E32" s="796"/>
      <c r="F32" s="803"/>
      <c r="G32" s="796"/>
      <c r="H32" s="137"/>
      <c r="I32" s="796"/>
      <c r="J32" s="796"/>
      <c r="K32" s="796"/>
      <c r="L32" s="796"/>
      <c r="M32" s="245"/>
    </row>
    <row r="33" spans="1:13" ht="13">
      <c r="A33" s="283"/>
      <c r="B33" s="95" t="s">
        <v>314</v>
      </c>
      <c r="C33" s="802"/>
      <c r="D33" s="796"/>
      <c r="E33" s="796"/>
      <c r="F33" s="796"/>
      <c r="G33" s="796"/>
      <c r="H33" s="137"/>
      <c r="I33" s="796"/>
      <c r="J33" s="796"/>
      <c r="K33" s="796"/>
      <c r="L33" s="796"/>
      <c r="M33" s="245"/>
    </row>
    <row r="34" spans="1:13" ht="13">
      <c r="A34" s="283"/>
      <c r="B34" s="804" t="s">
        <v>265</v>
      </c>
      <c r="C34" s="802"/>
      <c r="D34" s="964" t="s">
        <v>167</v>
      </c>
      <c r="E34" s="965"/>
      <c r="F34" s="966">
        <v>45230</v>
      </c>
      <c r="G34" s="796"/>
      <c r="H34" s="796"/>
      <c r="I34" s="796"/>
      <c r="J34" s="796"/>
      <c r="K34" s="796"/>
      <c r="L34" s="796"/>
      <c r="M34" s="245"/>
    </row>
    <row r="35" spans="1:13">
      <c r="A35" s="283"/>
      <c r="B35" s="801" t="s">
        <v>515</v>
      </c>
      <c r="C35" s="802"/>
      <c r="D35" s="807">
        <v>2.75E-2</v>
      </c>
      <c r="E35" s="796"/>
      <c r="F35" s="946">
        <v>2.8000000000000001E-2</v>
      </c>
      <c r="G35" s="796"/>
      <c r="H35" s="137" t="s">
        <v>546</v>
      </c>
      <c r="I35" s="796"/>
      <c r="J35" s="796"/>
      <c r="K35" s="796"/>
      <c r="L35" s="796"/>
      <c r="M35" s="245"/>
    </row>
    <row r="36" spans="1:13" ht="8.5" customHeight="1">
      <c r="A36" s="283"/>
      <c r="B36" s="968"/>
      <c r="C36" s="802"/>
      <c r="D36" s="807"/>
      <c r="E36" s="796"/>
      <c r="F36" s="384"/>
      <c r="G36" s="796"/>
      <c r="H36" s="137"/>
      <c r="I36" s="796"/>
      <c r="J36" s="796"/>
      <c r="K36" s="796"/>
      <c r="L36" s="796"/>
      <c r="M36" s="245"/>
    </row>
    <row r="37" spans="1:13" ht="13">
      <c r="A37" s="283"/>
      <c r="B37" s="1025" t="s">
        <v>542</v>
      </c>
      <c r="C37" s="802"/>
      <c r="D37" s="807"/>
      <c r="E37" s="796"/>
      <c r="F37" s="967">
        <f>EOMONTH(F2,-1)</f>
        <v>45808</v>
      </c>
      <c r="G37" s="796"/>
      <c r="H37" s="137"/>
      <c r="I37" s="796"/>
      <c r="J37" s="796"/>
      <c r="K37" s="796"/>
      <c r="L37" s="796"/>
      <c r="M37" s="245"/>
    </row>
    <row r="38" spans="1:13">
      <c r="A38" s="283"/>
      <c r="B38" s="1025"/>
      <c r="C38" s="802"/>
      <c r="D38" s="807"/>
      <c r="E38" s="796"/>
      <c r="F38" s="989">
        <f>VLOOKUP(F4,'3.3 Defaults &amp; Recoveries p.p.'!B23:K103,10,FALSE)</f>
        <v>4.4254851267704634E-2</v>
      </c>
      <c r="G38" s="796"/>
      <c r="H38" s="137"/>
      <c r="I38" s="796"/>
      <c r="J38" s="796"/>
      <c r="K38" s="796"/>
      <c r="L38" s="796"/>
      <c r="M38" s="245"/>
    </row>
    <row r="39" spans="1:13" ht="7" customHeight="1">
      <c r="A39" s="283"/>
      <c r="B39" s="968"/>
      <c r="C39" s="802"/>
      <c r="D39" s="807"/>
      <c r="E39" s="796"/>
      <c r="G39" s="796"/>
      <c r="H39" s="137"/>
      <c r="I39" s="796"/>
      <c r="J39" s="796"/>
      <c r="K39" s="796"/>
      <c r="L39" s="796"/>
      <c r="M39" s="245"/>
    </row>
    <row r="40" spans="1:13">
      <c r="A40" s="283"/>
      <c r="B40" s="804" t="s">
        <v>518</v>
      </c>
      <c r="C40" s="812"/>
      <c r="D40" s="941">
        <f>'5. Outstanding Notes'!C22*0.005</f>
        <v>7500000</v>
      </c>
      <c r="E40" s="942"/>
      <c r="F40" s="969">
        <f>'3.2 Default Data'!F68+'3.2 Default Data'!F74</f>
        <v>0</v>
      </c>
      <c r="G40" s="72"/>
      <c r="H40" s="137" t="str">
        <f>IF(NOT(ISNUMBER(F40)),"no",IF(F40&gt;D40,"yes","no"))</f>
        <v>no</v>
      </c>
      <c r="I40" s="796"/>
      <c r="J40" s="796"/>
      <c r="K40" s="796"/>
      <c r="L40" s="796"/>
      <c r="M40" s="245"/>
    </row>
    <row r="41" spans="1:13" ht="25">
      <c r="A41" s="283"/>
      <c r="B41" s="813" t="s">
        <v>529</v>
      </c>
      <c r="C41" s="814">
        <v>0.1</v>
      </c>
      <c r="D41" s="807"/>
      <c r="E41" s="796"/>
      <c r="F41" s="808">
        <f>'1. Portfolio Information'!F28/'1.1 Portfolio Information p.p.'!C15</f>
        <v>0.34226882573197598</v>
      </c>
      <c r="G41" s="796"/>
      <c r="H41" s="137" t="str">
        <f>IF(NOT(ISNUMBER(F41)),"no",IF(F41&lt;C41,"yes","no"))</f>
        <v>no</v>
      </c>
      <c r="I41" s="796"/>
      <c r="J41" s="796"/>
      <c r="K41" s="796"/>
      <c r="L41" s="796"/>
      <c r="M41" s="245"/>
    </row>
    <row r="42" spans="1:13">
      <c r="A42" s="283"/>
      <c r="B42" s="813" t="s">
        <v>530</v>
      </c>
      <c r="C42" s="814"/>
      <c r="D42" s="807">
        <v>4.0000000000000001E-3</v>
      </c>
      <c r="E42" s="796"/>
      <c r="F42" s="808" t="str">
        <f>'3.3 Defaults &amp; Recoveries p.p.'!L17</f>
        <v>n/a</v>
      </c>
      <c r="G42" s="796"/>
      <c r="H42" s="137" t="str">
        <f>IF(OR(F42&lt;D42,F42="n/a"),"no","yes")</f>
        <v>no</v>
      </c>
      <c r="I42" s="796"/>
      <c r="J42" s="796"/>
      <c r="K42" s="796"/>
      <c r="L42" s="796"/>
      <c r="M42" s="245"/>
    </row>
    <row r="43" spans="1:13">
      <c r="A43" s="283"/>
      <c r="B43" s="801" t="s">
        <v>503</v>
      </c>
      <c r="C43" s="802"/>
      <c r="D43" s="807"/>
      <c r="E43" s="796"/>
      <c r="F43" s="808"/>
      <c r="G43" s="796"/>
      <c r="H43" s="137" t="s">
        <v>43</v>
      </c>
      <c r="I43" s="796"/>
      <c r="J43" s="796"/>
      <c r="K43" s="796"/>
      <c r="L43" s="796"/>
      <c r="M43" s="245"/>
    </row>
    <row r="44" spans="1:13">
      <c r="A44" s="283"/>
      <c r="B44" s="96" t="s">
        <v>345</v>
      </c>
      <c r="C44" s="802"/>
      <c r="D44" s="796"/>
      <c r="E44" s="796"/>
      <c r="F44" s="796"/>
      <c r="G44" s="796"/>
      <c r="H44" s="137" t="s">
        <v>43</v>
      </c>
      <c r="I44" s="796"/>
      <c r="J44" s="796"/>
      <c r="K44" s="796"/>
      <c r="L44" s="796"/>
      <c r="M44" s="245"/>
    </row>
    <row r="45" spans="1:13">
      <c r="A45" s="283"/>
      <c r="B45" s="804" t="s">
        <v>347</v>
      </c>
      <c r="C45" s="802"/>
      <c r="D45" s="796"/>
      <c r="E45" s="796"/>
      <c r="F45" s="796"/>
      <c r="G45" s="796"/>
      <c r="H45" s="796"/>
      <c r="I45" s="796"/>
      <c r="J45" s="796"/>
      <c r="K45" s="796"/>
      <c r="L45" s="796"/>
      <c r="M45" s="245"/>
    </row>
    <row r="46" spans="1:13">
      <c r="A46" s="283"/>
      <c r="B46" s="804"/>
      <c r="C46" s="802"/>
      <c r="D46" s="796"/>
      <c r="E46" s="796"/>
      <c r="F46" s="796"/>
      <c r="G46" s="796"/>
      <c r="H46" s="796"/>
      <c r="I46" s="796"/>
      <c r="J46" s="796"/>
      <c r="K46" s="796"/>
      <c r="L46" s="796"/>
      <c r="M46" s="245"/>
    </row>
    <row r="47" spans="1:13" ht="13">
      <c r="A47" s="283"/>
      <c r="B47" s="815" t="s">
        <v>346</v>
      </c>
      <c r="C47" s="815"/>
      <c r="D47" s="816"/>
      <c r="E47" s="815"/>
      <c r="F47" s="817"/>
      <c r="G47" s="815"/>
      <c r="H47" s="137"/>
      <c r="I47" s="796"/>
      <c r="J47" s="796"/>
      <c r="K47" s="796"/>
      <c r="L47" s="796"/>
      <c r="M47" s="245"/>
    </row>
    <row r="48" spans="1:13" ht="13">
      <c r="A48" s="238"/>
      <c r="B48" s="804" t="s">
        <v>265</v>
      </c>
      <c r="C48" s="802"/>
      <c r="D48" s="25"/>
      <c r="E48" s="796"/>
      <c r="F48" s="796"/>
      <c r="G48" s="796"/>
      <c r="H48" s="796"/>
      <c r="I48" s="25"/>
      <c r="J48" s="818"/>
      <c r="K48" s="25"/>
      <c r="L48" s="819"/>
      <c r="M48" s="245"/>
    </row>
    <row r="49" spans="1:13">
      <c r="A49" s="238"/>
      <c r="B49" s="801" t="s">
        <v>470</v>
      </c>
      <c r="C49" s="802"/>
      <c r="D49" s="807">
        <v>1.4999999999999999E-2</v>
      </c>
      <c r="E49" s="943"/>
      <c r="F49" s="928" t="s">
        <v>35</v>
      </c>
      <c r="G49" s="796"/>
      <c r="H49" s="137"/>
      <c r="I49" s="25"/>
      <c r="J49" s="25"/>
      <c r="K49" s="25"/>
      <c r="L49" s="25"/>
      <c r="M49" s="245"/>
    </row>
    <row r="50" spans="1:13">
      <c r="A50" s="238"/>
      <c r="B50" s="820" t="s">
        <v>169</v>
      </c>
      <c r="C50" s="266"/>
      <c r="D50" s="821"/>
      <c r="F50" s="822"/>
      <c r="H50" s="137"/>
      <c r="I50" s="25"/>
      <c r="J50" s="25"/>
      <c r="K50" s="25"/>
      <c r="L50" s="25"/>
      <c r="M50" s="245"/>
    </row>
    <row r="51" spans="1:13" ht="13">
      <c r="A51" s="238"/>
      <c r="B51" s="25" t="s">
        <v>347</v>
      </c>
      <c r="C51" s="815"/>
      <c r="D51" s="816"/>
      <c r="E51" s="815"/>
      <c r="F51" s="817"/>
      <c r="G51" s="815"/>
      <c r="H51" s="137"/>
      <c r="I51" s="25"/>
      <c r="J51" s="818"/>
      <c r="K51" s="25"/>
      <c r="L51" s="818"/>
      <c r="M51" s="245"/>
    </row>
    <row r="52" spans="1:13" ht="13">
      <c r="A52" s="238"/>
      <c r="B52" s="25" t="s">
        <v>313</v>
      </c>
      <c r="H52" s="266"/>
      <c r="I52" s="25"/>
      <c r="J52" s="818"/>
      <c r="K52" s="25"/>
      <c r="L52" s="818"/>
      <c r="M52" s="245"/>
    </row>
    <row r="53" spans="1:13" ht="13">
      <c r="A53" s="238"/>
      <c r="B53" s="25" t="s">
        <v>504</v>
      </c>
      <c r="C53" s="25"/>
      <c r="D53" s="941">
        <v>0</v>
      </c>
      <c r="E53" s="970"/>
      <c r="F53" s="946" t="s">
        <v>35</v>
      </c>
      <c r="G53" s="72"/>
      <c r="H53" s="137"/>
      <c r="I53" s="25"/>
      <c r="J53" s="823"/>
      <c r="K53" s="25"/>
      <c r="L53" s="823"/>
      <c r="M53" s="245"/>
    </row>
    <row r="54" spans="1:13" ht="13">
      <c r="A54" s="238"/>
      <c r="I54" s="25"/>
      <c r="J54" s="824"/>
      <c r="K54" s="25"/>
      <c r="L54" s="713"/>
      <c r="M54" s="245"/>
    </row>
    <row r="55" spans="1:13">
      <c r="A55" s="238"/>
      <c r="B55" s="825"/>
      <c r="D55" s="327"/>
      <c r="F55" s="327"/>
      <c r="H55" s="137"/>
      <c r="I55" s="25"/>
      <c r="J55" s="25"/>
      <c r="K55" s="25"/>
      <c r="L55" s="25"/>
      <c r="M55" s="245"/>
    </row>
    <row r="56" spans="1:13">
      <c r="A56" s="238"/>
      <c r="D56" s="327"/>
      <c r="F56" s="327"/>
      <c r="H56" s="25"/>
      <c r="I56" s="25"/>
      <c r="J56" s="25"/>
      <c r="K56" s="25"/>
      <c r="L56" s="25"/>
      <c r="M56" s="245"/>
    </row>
    <row r="57" spans="1:13" ht="18" customHeight="1">
      <c r="A57" s="238"/>
      <c r="B57" s="239"/>
      <c r="D57" s="327"/>
      <c r="F57" s="327"/>
      <c r="H57" s="25"/>
      <c r="I57" s="25"/>
      <c r="J57" s="25"/>
      <c r="K57" s="25"/>
      <c r="L57" s="25"/>
      <c r="M57" s="245"/>
    </row>
    <row r="58" spans="1:13" ht="12.75" customHeight="1">
      <c r="A58" s="238"/>
      <c r="D58" s="826"/>
      <c r="F58" s="327"/>
      <c r="H58" s="25"/>
      <c r="I58" s="25"/>
      <c r="J58" s="25"/>
      <c r="K58" s="25"/>
      <c r="L58" s="25"/>
      <c r="M58" s="245"/>
    </row>
    <row r="59" spans="1:13" ht="12.75" customHeight="1">
      <c r="A59" s="238"/>
      <c r="D59" s="826"/>
      <c r="F59" s="327"/>
      <c r="H59" s="25"/>
      <c r="I59" s="25"/>
      <c r="J59" s="25"/>
      <c r="K59" s="25"/>
      <c r="L59" s="25"/>
      <c r="M59" s="245"/>
    </row>
    <row r="60" spans="1:13">
      <c r="A60" s="238"/>
      <c r="D60" s="827"/>
      <c r="F60" s="327"/>
      <c r="H60" s="25"/>
      <c r="I60" s="25"/>
      <c r="J60" s="25"/>
      <c r="K60" s="25"/>
      <c r="L60" s="25"/>
      <c r="M60" s="245"/>
    </row>
    <row r="61" spans="1:13" ht="5.25" customHeight="1">
      <c r="A61" s="238"/>
      <c r="D61" s="821"/>
      <c r="F61" s="327"/>
      <c r="H61" s="25"/>
      <c r="I61" s="25"/>
      <c r="J61" s="25"/>
      <c r="K61" s="25"/>
      <c r="L61" s="25"/>
      <c r="M61" s="245"/>
    </row>
    <row r="62" spans="1:13">
      <c r="A62" s="238"/>
      <c r="B62" s="828" t="s">
        <v>532</v>
      </c>
      <c r="D62" s="821"/>
      <c r="F62" s="327"/>
      <c r="H62" s="25"/>
      <c r="I62" s="25"/>
      <c r="J62" s="25"/>
      <c r="K62" s="25"/>
      <c r="L62" s="25"/>
      <c r="M62" s="245"/>
    </row>
    <row r="63" spans="1:13">
      <c r="A63" s="347"/>
      <c r="B63" s="40"/>
      <c r="C63" s="829"/>
      <c r="D63" s="830"/>
      <c r="E63" s="830"/>
      <c r="F63" s="830"/>
      <c r="G63" s="830"/>
      <c r="H63" s="830"/>
      <c r="I63" s="830"/>
      <c r="J63" s="830"/>
      <c r="K63" s="830"/>
      <c r="L63" s="830"/>
      <c r="M63" s="318"/>
    </row>
    <row r="64" spans="1:13">
      <c r="D64" s="821"/>
      <c r="F64" s="327"/>
      <c r="H64" s="25"/>
      <c r="I64" s="25"/>
      <c r="J64" s="25"/>
      <c r="K64" s="25"/>
      <c r="L64" s="25"/>
    </row>
    <row r="65" spans="3:12">
      <c r="D65" s="821"/>
      <c r="F65" s="327"/>
      <c r="H65" s="25"/>
      <c r="I65" s="25"/>
      <c r="J65" s="25"/>
      <c r="K65" s="25"/>
      <c r="L65" s="25"/>
    </row>
    <row r="66" spans="3:12">
      <c r="D66" s="821"/>
      <c r="F66" s="327"/>
      <c r="H66" s="25"/>
      <c r="I66" s="25"/>
      <c r="J66" s="25"/>
      <c r="K66" s="25"/>
      <c r="L66" s="25"/>
    </row>
    <row r="67" spans="3:12">
      <c r="D67" s="831"/>
      <c r="F67" s="327"/>
      <c r="H67" s="25"/>
      <c r="I67" s="25"/>
      <c r="J67" s="25"/>
      <c r="K67" s="25"/>
      <c r="L67" s="25"/>
    </row>
    <row r="68" spans="3:12">
      <c r="D68" s="831"/>
      <c r="F68" s="327"/>
      <c r="H68" s="25"/>
      <c r="I68" s="25"/>
      <c r="J68" s="25"/>
      <c r="K68" s="25"/>
      <c r="L68" s="25"/>
    </row>
    <row r="69" spans="3:12">
      <c r="D69" s="821"/>
      <c r="H69" s="25"/>
      <c r="I69" s="25"/>
      <c r="J69" s="25"/>
      <c r="K69" s="25"/>
      <c r="L69" s="25"/>
    </row>
    <row r="70" spans="3:12">
      <c r="D70" s="821"/>
      <c r="H70" s="25"/>
      <c r="I70" s="25"/>
      <c r="J70" s="25"/>
      <c r="K70" s="25"/>
      <c r="L70" s="25"/>
    </row>
    <row r="71" spans="3:12" ht="12.75" customHeight="1">
      <c r="D71" s="327"/>
    </row>
    <row r="73" spans="3:12">
      <c r="H73" s="269"/>
    </row>
    <row r="74" spans="3:12">
      <c r="H74" s="269"/>
    </row>
    <row r="76" spans="3:12">
      <c r="C76" s="832"/>
      <c r="D76" s="833"/>
      <c r="F76" s="833"/>
      <c r="H76" s="269"/>
    </row>
    <row r="77" spans="3:12">
      <c r="C77" s="832"/>
      <c r="D77" s="833"/>
      <c r="F77" s="833"/>
    </row>
    <row r="79" spans="3:12">
      <c r="C79" s="832"/>
      <c r="D79" s="832"/>
      <c r="E79" s="832"/>
      <c r="F79" s="832"/>
    </row>
    <row r="81" spans="2:2">
      <c r="B81" s="25"/>
    </row>
    <row r="82" spans="2:2">
      <c r="B82" s="25"/>
    </row>
    <row r="83" spans="2:2">
      <c r="B83" s="25"/>
    </row>
  </sheetData>
  <mergeCells count="1">
    <mergeCell ref="B37:B38"/>
  </mergeCells>
  <conditionalFormatting sqref="H15">
    <cfRule type="cellIs" dxfId="7" priority="15" stopIfTrue="1" operator="equal">
      <formula>"yes"</formula>
    </cfRule>
  </conditionalFormatting>
  <conditionalFormatting sqref="H17">
    <cfRule type="cellIs" dxfId="6" priority="14" stopIfTrue="1" operator="equal">
      <formula>"yes"</formula>
    </cfRule>
  </conditionalFormatting>
  <conditionalFormatting sqref="H19">
    <cfRule type="cellIs" dxfId="5" priority="9" stopIfTrue="1" operator="equal">
      <formula>"yes"</formula>
    </cfRule>
  </conditionalFormatting>
  <conditionalFormatting sqref="H23:H24">
    <cfRule type="cellIs" dxfId="4" priority="12" stopIfTrue="1" operator="equal">
      <formula>"yes"</formula>
    </cfRule>
  </conditionalFormatting>
  <conditionalFormatting sqref="H29:H44">
    <cfRule type="cellIs" dxfId="3" priority="5" stopIfTrue="1" operator="equal">
      <formula>"yes"</formula>
    </cfRule>
  </conditionalFormatting>
  <conditionalFormatting sqref="H47:H51">
    <cfRule type="cellIs" dxfId="2" priority="7" stopIfTrue="1" operator="equal">
      <formula>"yes"</formula>
    </cfRule>
  </conditionalFormatting>
  <conditionalFormatting sqref="H53">
    <cfRule type="cellIs" dxfId="1" priority="1" stopIfTrue="1" operator="equal">
      <formula>"yes"</formula>
    </cfRule>
  </conditionalFormatting>
  <conditionalFormatting sqref="H55">
    <cfRule type="cellIs" dxfId="0" priority="10"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calc_data</vt:lpstr>
      <vt:lpstr>Daten</vt:lpstr>
      <vt:lpstr>rating</vt:lpstr>
      <vt:lpstr>portfolio</vt:lpstr>
      <vt:lpstr>delinquency</vt:lpstr>
      <vt:lpstr>default</vt:lpstr>
      <vt:lpstr>Assets_21</vt:lpstr>
      <vt:lpstr>calc_data</vt:lpstr>
      <vt:lpstr>calcdata_21</vt:lpstr>
      <vt:lpstr>Counterparties</vt:lpstr>
      <vt:lpstr>daten</vt:lpstr>
      <vt:lpstr>default</vt:lpstr>
      <vt:lpstr>defaults_21</vt:lpstr>
      <vt:lpstr>delinquencies_21</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portfolio_p.p_21</vt:lpstr>
      <vt:lpstr>rating</vt:lpstr>
      <vt:lpstr>rating_21</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2024-11-08T11:13:00Z</dcterms:created>
  <dcterms:modified xsi:type="dcterms:W3CDTF">2025-06-06T09:21:22Z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2024-11-08T15:42:31Z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25d4981d-1c27-4922-a06b-79d978ef32fe</vt:lpwstr>
  </property>
  <property fmtid="{D5CDD505-2E9C-101B-9397-08002B2CF9AE}" pid="8" name="MSIP_Label_41b88ec2-a72b-4523-9e84-0458a1764731_ContentBits">
    <vt:lpwstr>0</vt:lpwstr>
  </property>
</Properties>
</file>