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29413215-8E90-4DC6-BA8C-FE7118383958}"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3" state="hidden" r:id="rId38"/>
    <sheet name="calc_data" sheetId="94" state="hidden" r:id="rId39"/>
    <sheet name="delinquency" sheetId="95" state="hidden" r:id="rId40"/>
    <sheet name="default" sheetId="96" state="hidden" r:id="rId41"/>
    <sheet name="portfolio" sheetId="97" state="hidden" r:id="rId42"/>
    <sheet name="rating" sheetId="98" state="hidden" r:id="rId43"/>
  </sheets>
  <externalReferences>
    <externalReference r:id="rId44"/>
    <externalReference r:id="rId45"/>
  </externalReferences>
  <definedNames>
    <definedName name="Assets">Daten!$B:$D</definedName>
    <definedName name="Assets_Daten">[1]Daten!$B:$E</definedName>
    <definedName name="calc_data">calc_data!$A$1:$E$243</definedName>
    <definedName name="calcdata">[2]calc_data!$B:$E</definedName>
    <definedName name="calcdata_22">calc_data!$B:$E</definedName>
    <definedName name="Counterparties">'21. Counterparties'!$B$2</definedName>
    <definedName name="daten">Daten!$A$1:$D$348</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Costs'!$A$1:$U$69</definedName>
    <definedName name="_xlnm.Print_Area" localSheetId="4">'2. Reserve Accounts'!$A$1:$K$48</definedName>
    <definedName name="_xlnm.Print_Area" localSheetId="31">'20. Retention'!$A$1:$K$24</definedName>
    <definedName name="_xlnm.Print_Area" localSheetId="32">'21. Counterparties'!$A$1:$M$76</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Notes'!$A$1:$S$54</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portfolio!$A$1:$G$35</definedName>
    <definedName name="portfolio_p.p">[1]portfolio!$B:$G</definedName>
    <definedName name="portfolio_p.p.">portfolio!$B:$G</definedName>
    <definedName name="rating">rating!$A$1:$S$18</definedName>
    <definedName name="ratings">rating!$B$1:$S$18</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H3" i="82"/>
  <c r="E3" i="82"/>
  <c r="B3" i="82"/>
  <c r="E2" i="82"/>
  <c r="B2" i="8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B36" i="72" s="1"/>
  <c r="C33" i="89"/>
  <c r="C32" i="89"/>
  <c r="C31" i="89"/>
  <c r="C30" i="89"/>
  <c r="L29" i="89"/>
  <c r="C29" i="89"/>
  <c r="L28" i="89"/>
  <c r="I24" i="89"/>
  <c r="H24" i="89"/>
  <c r="G24" i="89"/>
  <c r="F24" i="89"/>
  <c r="E24" i="89"/>
  <c r="D24" i="89"/>
  <c r="D7" i="89"/>
  <c r="D6" i="89"/>
  <c r="D5" i="89"/>
  <c r="D4" i="89"/>
  <c r="F3" i="89"/>
  <c r="D3" i="89"/>
  <c r="B3" i="89"/>
  <c r="D2" i="89"/>
  <c r="B2" i="89"/>
  <c r="D7" i="79"/>
  <c r="D6" i="79"/>
  <c r="D5" i="79"/>
  <c r="D4" i="79"/>
  <c r="F3" i="79"/>
  <c r="D3" i="79"/>
  <c r="B3" i="79"/>
  <c r="D2" i="79"/>
  <c r="B2" i="79"/>
  <c r="B76" i="78"/>
  <c r="I60" i="78"/>
  <c r="H60" i="78"/>
  <c r="G60" i="78"/>
  <c r="F60" i="78"/>
  <c r="E60" i="78"/>
  <c r="D60" i="78"/>
  <c r="I53" i="78"/>
  <c r="H53" i="78"/>
  <c r="G53" i="78"/>
  <c r="F53" i="78"/>
  <c r="E53" i="78"/>
  <c r="D53" i="78"/>
  <c r="I47" i="78"/>
  <c r="H47" i="78"/>
  <c r="G47" i="78"/>
  <c r="F47" i="78"/>
  <c r="E47" i="78"/>
  <c r="D47" i="78"/>
  <c r="I41" i="78"/>
  <c r="H41" i="78"/>
  <c r="G41" i="78"/>
  <c r="F41" i="78"/>
  <c r="E41" i="78"/>
  <c r="D41" i="78"/>
  <c r="I36" i="78"/>
  <c r="H36" i="78"/>
  <c r="G36" i="78"/>
  <c r="F36" i="78"/>
  <c r="E36" i="78"/>
  <c r="D36"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G3" i="78"/>
  <c r="D3" i="78"/>
  <c r="B3" i="78"/>
  <c r="D2" i="78"/>
  <c r="B2" i="78"/>
  <c r="D19" i="71"/>
  <c r="G7" i="71"/>
  <c r="E7" i="71"/>
  <c r="D7" i="71"/>
  <c r="I6" i="71"/>
  <c r="G6" i="71"/>
  <c r="E6" i="71"/>
  <c r="D6" i="71"/>
  <c r="D5" i="71"/>
  <c r="D4" i="71"/>
  <c r="D3" i="71"/>
  <c r="B3" i="71"/>
  <c r="D2" i="71"/>
  <c r="B2" i="71"/>
  <c r="S67" i="83"/>
  <c r="D67" i="83" s="1"/>
  <c r="S66" i="83"/>
  <c r="Q66" i="83"/>
  <c r="O66" i="83"/>
  <c r="M66" i="83"/>
  <c r="K66" i="83"/>
  <c r="I66" i="83"/>
  <c r="G66" i="83"/>
  <c r="E66" i="83"/>
  <c r="D66" i="83" s="1"/>
  <c r="S65" i="83"/>
  <c r="Q65" i="83"/>
  <c r="O65" i="83"/>
  <c r="M65" i="83"/>
  <c r="K65" i="83"/>
  <c r="I65" i="83"/>
  <c r="G65" i="83"/>
  <c r="E65" i="83"/>
  <c r="S64" i="83"/>
  <c r="Q64" i="83"/>
  <c r="O64" i="83"/>
  <c r="M64" i="83"/>
  <c r="K64" i="83"/>
  <c r="I64" i="83"/>
  <c r="G64" i="83"/>
  <c r="E64" i="83"/>
  <c r="S63" i="83"/>
  <c r="Q63" i="83"/>
  <c r="O63" i="83"/>
  <c r="M63" i="83"/>
  <c r="K63" i="83"/>
  <c r="I63" i="83"/>
  <c r="G63" i="83"/>
  <c r="E63" i="83"/>
  <c r="S62" i="83"/>
  <c r="Q62" i="83"/>
  <c r="O62" i="83"/>
  <c r="M62" i="83"/>
  <c r="K62" i="83"/>
  <c r="I62" i="83"/>
  <c r="G62" i="83"/>
  <c r="E62" i="83"/>
  <c r="D62" i="83" s="1"/>
  <c r="S61" i="83"/>
  <c r="Q61" i="83"/>
  <c r="O61" i="83"/>
  <c r="M61" i="83"/>
  <c r="K61" i="83"/>
  <c r="I61" i="83"/>
  <c r="G61" i="83"/>
  <c r="E61" i="83"/>
  <c r="D61" i="83" s="1"/>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D60" i="83" s="1"/>
  <c r="M30" i="83"/>
  <c r="E30"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F6" i="90"/>
  <c r="E6" i="90"/>
  <c r="D6" i="90"/>
  <c r="D5" i="90"/>
  <c r="D4" i="90"/>
  <c r="D3" i="90"/>
  <c r="B3" i="90"/>
  <c r="D2" i="90"/>
  <c r="B2" i="90"/>
  <c r="D21" i="69"/>
  <c r="H20" i="69"/>
  <c r="D20" i="69"/>
  <c r="H19" i="69"/>
  <c r="F19" i="69" s="1"/>
  <c r="D19" i="69"/>
  <c r="H18" i="69"/>
  <c r="D18" i="69"/>
  <c r="H17" i="69"/>
  <c r="D17" i="69"/>
  <c r="H16" i="69"/>
  <c r="F16" i="69"/>
  <c r="E16" i="69"/>
  <c r="D16" i="69"/>
  <c r="H15" i="69"/>
  <c r="F15" i="69" s="1"/>
  <c r="D15" i="69"/>
  <c r="H14" i="69"/>
  <c r="F14" i="69"/>
  <c r="D14" i="69"/>
  <c r="E14" i="69" s="1"/>
  <c r="G7" i="69"/>
  <c r="E7" i="69"/>
  <c r="D7" i="69"/>
  <c r="I6" i="69"/>
  <c r="G6" i="69"/>
  <c r="E6" i="69"/>
  <c r="D6" i="69"/>
  <c r="D5" i="69"/>
  <c r="D4" i="69"/>
  <c r="F3" i="69"/>
  <c r="D3" i="69"/>
  <c r="B3" i="69"/>
  <c r="D2" i="69"/>
  <c r="B2" i="69"/>
  <c r="G7" i="67"/>
  <c r="E7" i="67"/>
  <c r="D7" i="67"/>
  <c r="I6" i="67"/>
  <c r="G6" i="67"/>
  <c r="E6" i="67"/>
  <c r="D6" i="67"/>
  <c r="D5" i="67"/>
  <c r="D4" i="67"/>
  <c r="D3" i="67"/>
  <c r="B3" i="67"/>
  <c r="F2" i="67"/>
  <c r="D2" i="67"/>
  <c r="B2" i="67"/>
  <c r="E35" i="50"/>
  <c r="G29" i="50"/>
  <c r="E29" i="50"/>
  <c r="G28" i="50"/>
  <c r="E28" i="50"/>
  <c r="G27" i="50"/>
  <c r="E27" i="50"/>
  <c r="G26" i="50"/>
  <c r="E26" i="50"/>
  <c r="G25" i="50"/>
  <c r="H25" i="50" s="1"/>
  <c r="E25" i="50"/>
  <c r="G24" i="50"/>
  <c r="E24" i="50"/>
  <c r="G23" i="50"/>
  <c r="E23" i="50"/>
  <c r="G22" i="50"/>
  <c r="E22" i="50"/>
  <c r="G21" i="50"/>
  <c r="E21" i="50"/>
  <c r="G20" i="50"/>
  <c r="E20" i="50"/>
  <c r="G19" i="50"/>
  <c r="E19" i="50"/>
  <c r="G18" i="50"/>
  <c r="E18" i="50"/>
  <c r="G17" i="50"/>
  <c r="E17" i="50"/>
  <c r="G16" i="50"/>
  <c r="E16" i="50"/>
  <c r="G15" i="50"/>
  <c r="G30" i="50" s="1"/>
  <c r="E15" i="50"/>
  <c r="G14" i="50"/>
  <c r="E14" i="50"/>
  <c r="G7" i="50"/>
  <c r="E7" i="50"/>
  <c r="D7" i="50"/>
  <c r="I6" i="50"/>
  <c r="G6" i="50"/>
  <c r="E6" i="50"/>
  <c r="D6" i="50"/>
  <c r="D5" i="50"/>
  <c r="D4" i="50"/>
  <c r="D3" i="50"/>
  <c r="B3" i="50"/>
  <c r="D2" i="50"/>
  <c r="B2" i="50"/>
  <c r="H7" i="66"/>
  <c r="G7" i="66"/>
  <c r="E7" i="66"/>
  <c r="D7" i="66"/>
  <c r="I6" i="66"/>
  <c r="G6" i="66"/>
  <c r="E6" i="66"/>
  <c r="D6" i="66"/>
  <c r="D5" i="66"/>
  <c r="D4" i="66"/>
  <c r="F3"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G29" i="49" s="1"/>
  <c r="E15" i="49"/>
  <c r="G14" i="49"/>
  <c r="E14" i="49"/>
  <c r="G7" i="49"/>
  <c r="E7" i="49"/>
  <c r="D7" i="49"/>
  <c r="I6" i="49"/>
  <c r="G6" i="49"/>
  <c r="E6" i="49"/>
  <c r="D6" i="49"/>
  <c r="D5" i="49"/>
  <c r="D4" i="49"/>
  <c r="D3" i="49"/>
  <c r="B3" i="49"/>
  <c r="D2" i="49"/>
  <c r="B2" i="49"/>
  <c r="G7" i="65"/>
  <c r="E7" i="65"/>
  <c r="D7" i="65"/>
  <c r="I6" i="65"/>
  <c r="G6" i="65"/>
  <c r="F6" i="65"/>
  <c r="E6" i="65"/>
  <c r="D6" i="65"/>
  <c r="D5" i="65"/>
  <c r="D4" i="65"/>
  <c r="F3" i="65"/>
  <c r="D3" i="65"/>
  <c r="B3" i="65"/>
  <c r="D2" i="65"/>
  <c r="B2" i="65"/>
  <c r="E46" i="48"/>
  <c r="G41" i="48"/>
  <c r="E41" i="48"/>
  <c r="G40" i="48"/>
  <c r="E40" i="48"/>
  <c r="G39" i="48"/>
  <c r="E39" i="48"/>
  <c r="G38" i="48"/>
  <c r="E38" i="48"/>
  <c r="G37" i="48"/>
  <c r="E37" i="48"/>
  <c r="G36" i="48"/>
  <c r="E36" i="48"/>
  <c r="G35" i="48"/>
  <c r="E35" i="48"/>
  <c r="G34" i="48"/>
  <c r="E34" i="48"/>
  <c r="G33" i="48"/>
  <c r="E33" i="48"/>
  <c r="F33" i="48" s="1"/>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E42" i="48" s="1"/>
  <c r="G7" i="48"/>
  <c r="E7" i="48"/>
  <c r="D7" i="48"/>
  <c r="I6" i="48"/>
  <c r="G6" i="48"/>
  <c r="E6" i="48"/>
  <c r="D6" i="48"/>
  <c r="D5" i="48"/>
  <c r="D4" i="48"/>
  <c r="D3" i="48"/>
  <c r="B3" i="48"/>
  <c r="D2" i="48"/>
  <c r="B2" i="48"/>
  <c r="G7" i="64"/>
  <c r="E7" i="64"/>
  <c r="D7" i="64"/>
  <c r="I6" i="64"/>
  <c r="G6" i="64"/>
  <c r="F6" i="64"/>
  <c r="E6" i="64"/>
  <c r="D6" i="64"/>
  <c r="D5" i="64"/>
  <c r="D4" i="64"/>
  <c r="F3"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F7" i="47"/>
  <c r="E7" i="47"/>
  <c r="D7" i="47"/>
  <c r="I6" i="47"/>
  <c r="G6" i="47"/>
  <c r="E6" i="47"/>
  <c r="D6" i="47"/>
  <c r="D5" i="47"/>
  <c r="D4" i="47"/>
  <c r="F3" i="47"/>
  <c r="D3" i="47"/>
  <c r="B3" i="47"/>
  <c r="D2" i="47"/>
  <c r="B2" i="47"/>
  <c r="G22" i="46"/>
  <c r="E22" i="46"/>
  <c r="G21" i="46"/>
  <c r="E21" i="46"/>
  <c r="G15" i="46"/>
  <c r="E15" i="46"/>
  <c r="G14" i="46"/>
  <c r="E14" i="46"/>
  <c r="G7" i="46"/>
  <c r="E7" i="46"/>
  <c r="D7" i="46"/>
  <c r="I6" i="46"/>
  <c r="G6" i="46"/>
  <c r="E6" i="46"/>
  <c r="D6" i="46"/>
  <c r="D5" i="46"/>
  <c r="D4" i="46"/>
  <c r="F3" i="46"/>
  <c r="D3" i="46"/>
  <c r="B3" i="46"/>
  <c r="D2" i="46"/>
  <c r="B2" i="46"/>
  <c r="G16" i="44"/>
  <c r="H14" i="44" s="1"/>
  <c r="H15" i="44"/>
  <c r="G15" i="44"/>
  <c r="E15" i="44"/>
  <c r="G14" i="44"/>
  <c r="E14" i="44"/>
  <c r="G7" i="44"/>
  <c r="E7" i="44"/>
  <c r="D7" i="44"/>
  <c r="I6" i="44"/>
  <c r="G6" i="44"/>
  <c r="E6" i="44"/>
  <c r="D6" i="44"/>
  <c r="D5" i="44"/>
  <c r="D4" i="44"/>
  <c r="F3" i="44"/>
  <c r="D3" i="44"/>
  <c r="B3" i="44"/>
  <c r="D2" i="44"/>
  <c r="B2" i="44"/>
  <c r="E16" i="43"/>
  <c r="H15" i="43"/>
  <c r="G15" i="43"/>
  <c r="F15" i="43"/>
  <c r="E15" i="43"/>
  <c r="H14" i="43"/>
  <c r="G14" i="43"/>
  <c r="G16" i="43" s="1"/>
  <c r="F14" i="43"/>
  <c r="F16" i="43" s="1"/>
  <c r="E14" i="43"/>
  <c r="G7" i="43"/>
  <c r="E7" i="43"/>
  <c r="D7" i="43"/>
  <c r="I6" i="43"/>
  <c r="G6" i="43"/>
  <c r="F6" i="43"/>
  <c r="E6" i="43"/>
  <c r="D6" i="43"/>
  <c r="D5" i="43"/>
  <c r="D4" i="43"/>
  <c r="F3" i="43"/>
  <c r="D3" i="43"/>
  <c r="B3" i="43"/>
  <c r="D2" i="43"/>
  <c r="B2" i="43"/>
  <c r="G7" i="63"/>
  <c r="E7" i="63"/>
  <c r="D7" i="63"/>
  <c r="I6" i="63"/>
  <c r="G6" i="63"/>
  <c r="F6" i="63"/>
  <c r="E6" i="63"/>
  <c r="D6" i="63"/>
  <c r="D5" i="63"/>
  <c r="D4" i="63"/>
  <c r="F3"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F6" i="42"/>
  <c r="E6" i="42"/>
  <c r="D6" i="42"/>
  <c r="D5" i="42"/>
  <c r="D4" i="42"/>
  <c r="D3" i="42"/>
  <c r="B3" i="42"/>
  <c r="D2" i="42"/>
  <c r="B2" i="42"/>
  <c r="E15" i="41"/>
  <c r="H14" i="41"/>
  <c r="G14" i="41"/>
  <c r="F14" i="41"/>
  <c r="G7" i="41"/>
  <c r="E7" i="41"/>
  <c r="D7" i="41"/>
  <c r="I6" i="41"/>
  <c r="G6" i="41"/>
  <c r="E6" i="41"/>
  <c r="D6" i="41"/>
  <c r="D5" i="41"/>
  <c r="D4" i="41"/>
  <c r="F3" i="41"/>
  <c r="D3" i="41"/>
  <c r="B3" i="41"/>
  <c r="D2" i="41"/>
  <c r="B2" i="41"/>
  <c r="G7" i="62"/>
  <c r="E7" i="62"/>
  <c r="D7" i="62"/>
  <c r="I6" i="62"/>
  <c r="G6" i="62"/>
  <c r="E6" i="62"/>
  <c r="D6" i="62"/>
  <c r="D5" i="62"/>
  <c r="D4" i="62"/>
  <c r="F3"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H7" i="40"/>
  <c r="G7" i="40"/>
  <c r="E7" i="40"/>
  <c r="D7" i="40"/>
  <c r="I6" i="40"/>
  <c r="G6" i="40"/>
  <c r="E6" i="40"/>
  <c r="D6" i="40"/>
  <c r="D5" i="40"/>
  <c r="D4" i="40"/>
  <c r="F3" i="40"/>
  <c r="D3" i="40"/>
  <c r="B3" i="40"/>
  <c r="D2" i="40"/>
  <c r="B2" i="40"/>
  <c r="G7" i="61"/>
  <c r="E7" i="61"/>
  <c r="D7" i="61"/>
  <c r="I6" i="61"/>
  <c r="G6" i="61"/>
  <c r="E6" i="61"/>
  <c r="D6" i="61"/>
  <c r="D5" i="61"/>
  <c r="D4" i="61"/>
  <c r="F3"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F3" i="37"/>
  <c r="D3" i="37"/>
  <c r="B3" i="37"/>
  <c r="D2" i="37"/>
  <c r="B2" i="37"/>
  <c r="D51" i="84"/>
  <c r="P46" i="84"/>
  <c r="L46" i="84"/>
  <c r="D46" i="84"/>
  <c r="P45" i="84"/>
  <c r="N45" i="84"/>
  <c r="L45" i="84"/>
  <c r="J45" i="84"/>
  <c r="J46" i="84" s="1"/>
  <c r="H45" i="84"/>
  <c r="F45" i="84"/>
  <c r="F46" i="84" s="1"/>
  <c r="D45" i="84"/>
  <c r="P44" i="84"/>
  <c r="N44" i="84"/>
  <c r="L44" i="84"/>
  <c r="J44" i="84"/>
  <c r="H44" i="84"/>
  <c r="F44" i="84"/>
  <c r="D44" i="84"/>
  <c r="P41" i="84"/>
  <c r="P43" i="84" s="1"/>
  <c r="J41" i="84"/>
  <c r="H41" i="84"/>
  <c r="D41" i="84"/>
  <c r="D43" i="84" s="1"/>
  <c r="C40" i="84"/>
  <c r="C38" i="84"/>
  <c r="D35" i="84"/>
  <c r="J33" i="84"/>
  <c r="F33" i="84"/>
  <c r="D33" i="84"/>
  <c r="N32" i="84"/>
  <c r="N42" i="84" s="1"/>
  <c r="H32" i="84"/>
  <c r="H42" i="84" s="1"/>
  <c r="P31" i="84"/>
  <c r="N31" i="84"/>
  <c r="L31" i="84"/>
  <c r="J31" i="84"/>
  <c r="J32" i="84" s="1"/>
  <c r="J42" i="84" s="1"/>
  <c r="H31" i="84"/>
  <c r="H33" i="84" s="1"/>
  <c r="F31" i="84"/>
  <c r="F32" i="84" s="1"/>
  <c r="F42" i="84" s="1"/>
  <c r="D31" i="84"/>
  <c r="D32" i="84" s="1"/>
  <c r="D42" i="84" s="1"/>
  <c r="C30" i="84"/>
  <c r="C29" i="84"/>
  <c r="P27" i="84"/>
  <c r="P33" i="84" s="1"/>
  <c r="P35" i="84" s="1"/>
  <c r="N27" i="84"/>
  <c r="N41" i="84" s="1"/>
  <c r="L27" i="84"/>
  <c r="L33" i="84" s="1"/>
  <c r="L35" i="84" s="1"/>
  <c r="J27" i="84"/>
  <c r="H27" i="84"/>
  <c r="F27" i="84"/>
  <c r="D27" i="84"/>
  <c r="P24" i="84"/>
  <c r="P32" i="84" s="1"/>
  <c r="P42" i="84" s="1"/>
  <c r="N24" i="84"/>
  <c r="L24" i="84"/>
  <c r="L41" i="84" s="1"/>
  <c r="F24" i="84"/>
  <c r="D24" i="84"/>
  <c r="N23" i="84"/>
  <c r="L23" i="84"/>
  <c r="J23" i="84"/>
  <c r="J24" i="84" s="1"/>
  <c r="H23" i="84"/>
  <c r="H24" i="84" s="1"/>
  <c r="F23" i="84"/>
  <c r="C22" i="84"/>
  <c r="P21" i="84"/>
  <c r="N21" i="84"/>
  <c r="L21" i="84"/>
  <c r="J21" i="84"/>
  <c r="H21" i="84"/>
  <c r="F21" i="84"/>
  <c r="D21" i="84"/>
  <c r="G7" i="84"/>
  <c r="D7" i="84"/>
  <c r="I6" i="84"/>
  <c r="H6" i="84"/>
  <c r="G6" i="84"/>
  <c r="F6" i="84"/>
  <c r="D6" i="84"/>
  <c r="D5" i="84"/>
  <c r="D4" i="84"/>
  <c r="F3" i="84"/>
  <c r="D3" i="84"/>
  <c r="B3" i="84"/>
  <c r="D2" i="84"/>
  <c r="B2" i="84"/>
  <c r="G7" i="85"/>
  <c r="D7" i="85"/>
  <c r="I6" i="85"/>
  <c r="G6" i="85"/>
  <c r="F6" i="85"/>
  <c r="D6" i="85"/>
  <c r="D5" i="85"/>
  <c r="D4" i="85"/>
  <c r="F3" i="85"/>
  <c r="D3" i="85"/>
  <c r="B3" i="85"/>
  <c r="D2" i="85"/>
  <c r="B2" i="85"/>
  <c r="G7" i="91"/>
  <c r="D7" i="91"/>
  <c r="I6" i="91"/>
  <c r="G6" i="91"/>
  <c r="F6" i="91"/>
  <c r="D6" i="91"/>
  <c r="D5" i="91"/>
  <c r="D4" i="91"/>
  <c r="F3" i="91"/>
  <c r="D3" i="91"/>
  <c r="B3" i="91"/>
  <c r="D2" i="91"/>
  <c r="B2" i="91"/>
  <c r="F74" i="87"/>
  <c r="F73" i="87"/>
  <c r="F72" i="87"/>
  <c r="F71" i="87"/>
  <c r="F68" i="87"/>
  <c r="F40" i="85" s="1"/>
  <c r="H40" i="85" s="1"/>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2" i="87"/>
  <c r="F21" i="87"/>
  <c r="F20" i="87"/>
  <c r="G7" i="87"/>
  <c r="D7" i="87"/>
  <c r="I6" i="87"/>
  <c r="G6" i="87"/>
  <c r="F6" i="87"/>
  <c r="D6" i="87"/>
  <c r="D5" i="87"/>
  <c r="D4" i="87"/>
  <c r="F3" i="87"/>
  <c r="D3" i="87"/>
  <c r="B3" i="87"/>
  <c r="D2" i="87"/>
  <c r="B2" i="87"/>
  <c r="G7" i="86"/>
  <c r="F7" i="86"/>
  <c r="D7" i="86"/>
  <c r="I6" i="86"/>
  <c r="H6" i="86"/>
  <c r="G6" i="86"/>
  <c r="F6" i="86"/>
  <c r="D6" i="86"/>
  <c r="D5" i="86"/>
  <c r="D4" i="86"/>
  <c r="F3" i="86"/>
  <c r="D3" i="86"/>
  <c r="B3" i="86"/>
  <c r="D2" i="86"/>
  <c r="B2" i="86"/>
  <c r="D43" i="57"/>
  <c r="D42" i="57"/>
  <c r="D41" i="57"/>
  <c r="D38" i="57"/>
  <c r="D37" i="57"/>
  <c r="F36" i="57"/>
  <c r="D34" i="57"/>
  <c r="D33" i="57"/>
  <c r="D32" i="57"/>
  <c r="D29" i="57"/>
  <c r="D28" i="57"/>
  <c r="F27" i="57"/>
  <c r="D25" i="57"/>
  <c r="D24" i="57"/>
  <c r="L51" i="84" s="1"/>
  <c r="D23" i="57"/>
  <c r="D21" i="57"/>
  <c r="D20" i="57"/>
  <c r="D19" i="57"/>
  <c r="H7" i="57"/>
  <c r="G7" i="57"/>
  <c r="F7" i="57"/>
  <c r="E7" i="57"/>
  <c r="D7" i="57"/>
  <c r="I6" i="57"/>
  <c r="G6" i="57"/>
  <c r="F6" i="57"/>
  <c r="E6" i="57"/>
  <c r="D6" i="57"/>
  <c r="D5" i="57"/>
  <c r="D4" i="57"/>
  <c r="F3" i="57"/>
  <c r="D3" i="57"/>
  <c r="B3" i="57"/>
  <c r="F2" i="57"/>
  <c r="D2" i="57"/>
  <c r="B2" i="57"/>
  <c r="G7" i="92"/>
  <c r="F7" i="92"/>
  <c r="E7" i="92"/>
  <c r="D7" i="92"/>
  <c r="I6" i="92"/>
  <c r="H6" i="92"/>
  <c r="G6" i="92"/>
  <c r="F6" i="92"/>
  <c r="E6" i="92"/>
  <c r="D6" i="92"/>
  <c r="D5" i="92"/>
  <c r="D4" i="92"/>
  <c r="D3" i="92"/>
  <c r="B3" i="92"/>
  <c r="F2" i="92"/>
  <c r="D2" i="92"/>
  <c r="B2" i="92"/>
  <c r="J32" i="70"/>
  <c r="F32" i="70"/>
  <c r="J30" i="70"/>
  <c r="F30" i="70"/>
  <c r="J28" i="70"/>
  <c r="F28" i="70"/>
  <c r="J26" i="70"/>
  <c r="F26" i="70"/>
  <c r="J24" i="70"/>
  <c r="F24" i="70"/>
  <c r="J22" i="70"/>
  <c r="F22" i="70"/>
  <c r="J20" i="70"/>
  <c r="F20" i="70"/>
  <c r="J15" i="70"/>
  <c r="F15" i="70"/>
  <c r="C15" i="70"/>
  <c r="H7" i="70"/>
  <c r="G7" i="70"/>
  <c r="E7" i="70"/>
  <c r="D7" i="70"/>
  <c r="I6" i="70"/>
  <c r="G6" i="70"/>
  <c r="F6" i="70"/>
  <c r="E6" i="70"/>
  <c r="D6" i="70"/>
  <c r="D5" i="70"/>
  <c r="D4" i="70"/>
  <c r="F3" i="70"/>
  <c r="D3" i="70"/>
  <c r="B3" i="70"/>
  <c r="D2" i="70"/>
  <c r="B2" i="70"/>
  <c r="H7" i="56"/>
  <c r="H7" i="46" s="1"/>
  <c r="F7" i="56"/>
  <c r="H6" i="56"/>
  <c r="F6" i="56"/>
  <c r="F5" i="56"/>
  <c r="F4" i="56"/>
  <c r="F3" i="56"/>
  <c r="F2" i="56"/>
  <c r="F2" i="70" s="1"/>
  <c r="F4" i="83" l="1"/>
  <c r="F4" i="69"/>
  <c r="F4" i="63"/>
  <c r="F4" i="62"/>
  <c r="F4" i="37"/>
  <c r="F4" i="89"/>
  <c r="F4" i="79"/>
  <c r="F4" i="40"/>
  <c r="F4" i="66"/>
  <c r="F4" i="65"/>
  <c r="H4" i="72"/>
  <c r="F4" i="71"/>
  <c r="F4" i="50"/>
  <c r="F4" i="49"/>
  <c r="G4" i="78"/>
  <c r="F4" i="67"/>
  <c r="F4" i="64"/>
  <c r="F4" i="43"/>
  <c r="F4" i="91"/>
  <c r="F4" i="84"/>
  <c r="H4" i="82"/>
  <c r="F4" i="42"/>
  <c r="F4" i="86"/>
  <c r="F4" i="70"/>
  <c r="F4" i="90"/>
  <c r="F4" i="87"/>
  <c r="F4" i="61"/>
  <c r="F4" i="47"/>
  <c r="F4" i="44"/>
  <c r="F4" i="46"/>
  <c r="F4" i="48"/>
  <c r="F4" i="92"/>
  <c r="F5" i="90"/>
  <c r="F5" i="43"/>
  <c r="F5" i="41"/>
  <c r="F5" i="71"/>
  <c r="G5" i="78"/>
  <c r="F5" i="50"/>
  <c r="F5" i="67"/>
  <c r="H5" i="82"/>
  <c r="F5" i="62"/>
  <c r="F5" i="89"/>
  <c r="F5" i="47"/>
  <c r="F5" i="85"/>
  <c r="F5" i="83"/>
  <c r="F5" i="69"/>
  <c r="F5" i="66"/>
  <c r="F5" i="49"/>
  <c r="F5" i="64"/>
  <c r="F5" i="79"/>
  <c r="F5" i="46"/>
  <c r="F5" i="63"/>
  <c r="H5" i="72"/>
  <c r="F5" i="61"/>
  <c r="F5" i="44"/>
  <c r="F5" i="48"/>
  <c r="F5" i="42"/>
  <c r="F5" i="92"/>
  <c r="F5" i="40"/>
  <c r="F5" i="84"/>
  <c r="F5" i="86"/>
  <c r="F5" i="37"/>
  <c r="F5" i="91"/>
  <c r="F5" i="65"/>
  <c r="F5" i="70"/>
  <c r="F5" i="87"/>
  <c r="F5" i="57"/>
  <c r="G65" i="37"/>
  <c r="F22" i="46"/>
  <c r="H20" i="37"/>
  <c r="H15" i="37"/>
  <c r="H43" i="37"/>
  <c r="F22" i="48"/>
  <c r="F41" i="48"/>
  <c r="F28" i="48"/>
  <c r="F31" i="48"/>
  <c r="F34" i="48"/>
  <c r="F24" i="48"/>
  <c r="F37" i="48"/>
  <c r="F40" i="48"/>
  <c r="F32" i="48"/>
  <c r="F16" i="48"/>
  <c r="F19" i="48"/>
  <c r="F39" i="48"/>
  <c r="F25" i="48"/>
  <c r="F29" i="48"/>
  <c r="F18" i="48"/>
  <c r="F38" i="48"/>
  <c r="F17" i="48"/>
  <c r="F30" i="48"/>
  <c r="F4" i="85"/>
  <c r="F24" i="40"/>
  <c r="E31" i="42"/>
  <c r="F26" i="42" s="1"/>
  <c r="H61" i="37"/>
  <c r="F4" i="57"/>
  <c r="F20" i="40"/>
  <c r="F4" i="41"/>
  <c r="G42" i="48"/>
  <c r="H22" i="48" s="1"/>
  <c r="G31" i="42"/>
  <c r="H29" i="42" s="1"/>
  <c r="H21" i="42"/>
  <c r="F19" i="47"/>
  <c r="H24" i="47"/>
  <c r="E29" i="49"/>
  <c r="F20" i="49" s="1"/>
  <c r="I6" i="78"/>
  <c r="H6" i="79"/>
  <c r="J6" i="72"/>
  <c r="H6" i="64"/>
  <c r="H6" i="41"/>
  <c r="J6" i="82"/>
  <c r="H6" i="89"/>
  <c r="H6" i="69"/>
  <c r="H6" i="37"/>
  <c r="H6" i="90"/>
  <c r="H6" i="66"/>
  <c r="H6" i="65"/>
  <c r="H6" i="46"/>
  <c r="H6" i="40"/>
  <c r="H6" i="49"/>
  <c r="H6" i="43"/>
  <c r="H6" i="71"/>
  <c r="H6" i="47"/>
  <c r="H6" i="67"/>
  <c r="H6" i="44"/>
  <c r="H6" i="91"/>
  <c r="H6" i="83"/>
  <c r="H6" i="48"/>
  <c r="H6" i="85"/>
  <c r="H6" i="42"/>
  <c r="H6" i="50"/>
  <c r="H6" i="62"/>
  <c r="H6" i="63"/>
  <c r="N43" i="84"/>
  <c r="H43" i="84"/>
  <c r="H34" i="37"/>
  <c r="H39" i="37"/>
  <c r="F50" i="37"/>
  <c r="H19" i="47"/>
  <c r="J6" i="56"/>
  <c r="F51" i="84"/>
  <c r="H50" i="37"/>
  <c r="E65" i="37"/>
  <c r="F44" i="37" s="1"/>
  <c r="H6" i="61"/>
  <c r="G55" i="40"/>
  <c r="H7" i="63"/>
  <c r="E28" i="47"/>
  <c r="F20" i="47" s="1"/>
  <c r="H41" i="48"/>
  <c r="F7" i="69"/>
  <c r="F7" i="63"/>
  <c r="F7" i="62"/>
  <c r="F7" i="37"/>
  <c r="H7" i="82"/>
  <c r="F7" i="89"/>
  <c r="F7" i="40"/>
  <c r="F7" i="90"/>
  <c r="F7" i="66"/>
  <c r="F7" i="65"/>
  <c r="F7" i="71"/>
  <c r="F7" i="79"/>
  <c r="F7" i="50"/>
  <c r="F7" i="49"/>
  <c r="F7" i="83"/>
  <c r="F7" i="67"/>
  <c r="F7" i="43"/>
  <c r="F7" i="44"/>
  <c r="H7" i="72"/>
  <c r="F7" i="41"/>
  <c r="F7" i="85"/>
  <c r="F7" i="91"/>
  <c r="F7" i="84"/>
  <c r="F7" i="42"/>
  <c r="F7" i="64"/>
  <c r="F7" i="48"/>
  <c r="F7" i="46"/>
  <c r="F7" i="70"/>
  <c r="G7" i="78"/>
  <c r="F7" i="87"/>
  <c r="F35" i="84"/>
  <c r="H16" i="37"/>
  <c r="H40" i="37"/>
  <c r="F15" i="40"/>
  <c r="F36" i="40"/>
  <c r="E16" i="46"/>
  <c r="F15" i="46" s="1"/>
  <c r="F14" i="46"/>
  <c r="H14" i="47"/>
  <c r="F36" i="48"/>
  <c r="H24" i="49"/>
  <c r="H15" i="49"/>
  <c r="H28" i="49"/>
  <c r="H21" i="49"/>
  <c r="H30" i="37"/>
  <c r="H36" i="48"/>
  <c r="H6" i="87"/>
  <c r="F26" i="48"/>
  <c r="H7" i="83"/>
  <c r="H7" i="90"/>
  <c r="H7" i="43"/>
  <c r="H7" i="41"/>
  <c r="J7" i="82"/>
  <c r="H7" i="69"/>
  <c r="H7" i="71"/>
  <c r="H7" i="79"/>
  <c r="H7" i="50"/>
  <c r="H7" i="49"/>
  <c r="H7" i="67"/>
  <c r="H7" i="64"/>
  <c r="H7" i="47"/>
  <c r="H7" i="62"/>
  <c r="H7" i="91"/>
  <c r="H7" i="65"/>
  <c r="H7" i="44"/>
  <c r="H7" i="84"/>
  <c r="J7" i="72"/>
  <c r="H7" i="37"/>
  <c r="H7" i="86"/>
  <c r="H7" i="42"/>
  <c r="H7" i="87"/>
  <c r="H7" i="89"/>
  <c r="I7" i="78"/>
  <c r="H7" i="85"/>
  <c r="H6" i="57"/>
  <c r="F7" i="61"/>
  <c r="H14" i="48"/>
  <c r="H26" i="48"/>
  <c r="H37" i="48"/>
  <c r="H22" i="49"/>
  <c r="H54" i="37"/>
  <c r="J35" i="84"/>
  <c r="H7" i="48"/>
  <c r="H19" i="48"/>
  <c r="H26" i="37"/>
  <c r="H28" i="42"/>
  <c r="F14" i="48"/>
  <c r="H6" i="70"/>
  <c r="H7" i="92"/>
  <c r="H35" i="84"/>
  <c r="G28" i="47"/>
  <c r="H18" i="47" s="1"/>
  <c r="F15" i="48"/>
  <c r="F27" i="48"/>
  <c r="H51" i="37"/>
  <c r="N33" i="84"/>
  <c r="C33" i="84" s="1"/>
  <c r="E16" i="44"/>
  <c r="F15" i="44" s="1"/>
  <c r="H2" i="82"/>
  <c r="F2" i="83"/>
  <c r="F2" i="69"/>
  <c r="F2" i="64"/>
  <c r="F2" i="79"/>
  <c r="F2" i="90"/>
  <c r="F2" i="40"/>
  <c r="F2" i="71"/>
  <c r="F2" i="66"/>
  <c r="F2" i="65"/>
  <c r="F2" i="46"/>
  <c r="F2" i="63"/>
  <c r="F2" i="42"/>
  <c r="H2" i="72"/>
  <c r="F2" i="62"/>
  <c r="F2" i="89"/>
  <c r="F2" i="50"/>
  <c r="F2" i="61"/>
  <c r="F2" i="48"/>
  <c r="F2" i="85"/>
  <c r="F37" i="85" s="1"/>
  <c r="F2" i="86"/>
  <c r="G2" i="78"/>
  <c r="F2" i="47"/>
  <c r="F2" i="43"/>
  <c r="F2" i="37"/>
  <c r="F2" i="91"/>
  <c r="F2" i="44"/>
  <c r="F2" i="41"/>
  <c r="F2" i="49"/>
  <c r="F2" i="84"/>
  <c r="F2" i="87"/>
  <c r="H51" i="84"/>
  <c r="J51" i="84"/>
  <c r="C27" i="84"/>
  <c r="N46" i="84"/>
  <c r="H7" i="61"/>
  <c r="F53" i="40"/>
  <c r="F23" i="47"/>
  <c r="H21" i="48"/>
  <c r="H16" i="43"/>
  <c r="H17" i="50"/>
  <c r="H20" i="50"/>
  <c r="H23" i="50"/>
  <c r="H26" i="50"/>
  <c r="H29" i="50"/>
  <c r="H19" i="50"/>
  <c r="H28" i="50"/>
  <c r="H18" i="50"/>
  <c r="H27" i="50"/>
  <c r="H24" i="50"/>
  <c r="H14" i="50"/>
  <c r="H35" i="37"/>
  <c r="E16" i="41"/>
  <c r="H15" i="41"/>
  <c r="F15" i="41"/>
  <c r="G15" i="41" s="1"/>
  <c r="E23" i="46"/>
  <c r="F21" i="46" s="1"/>
  <c r="H15" i="50"/>
  <c r="H21" i="50"/>
  <c r="H18" i="37"/>
  <c r="F38" i="40"/>
  <c r="H15" i="47"/>
  <c r="H29" i="48"/>
  <c r="H18" i="49"/>
  <c r="H16" i="44"/>
  <c r="G23" i="46"/>
  <c r="H21" i="46" s="1"/>
  <c r="F16" i="47"/>
  <c r="F26" i="47"/>
  <c r="H18" i="48"/>
  <c r="H16" i="50"/>
  <c r="F20" i="69"/>
  <c r="I20" i="69"/>
  <c r="H26" i="49"/>
  <c r="H60" i="37"/>
  <c r="F32" i="40"/>
  <c r="H20" i="42"/>
  <c r="H16" i="47"/>
  <c r="F22" i="47"/>
  <c r="F23" i="48"/>
  <c r="E20" i="69"/>
  <c r="E15" i="69"/>
  <c r="F21" i="42"/>
  <c r="F30" i="42"/>
  <c r="F17" i="47"/>
  <c r="H23" i="48"/>
  <c r="F20" i="48"/>
  <c r="H33" i="48"/>
  <c r="H16" i="49"/>
  <c r="H25" i="49"/>
  <c r="H17" i="47"/>
  <c r="H20" i="48"/>
  <c r="H22" i="50"/>
  <c r="I17" i="69"/>
  <c r="F41" i="84"/>
  <c r="F43" i="84" s="1"/>
  <c r="L32" i="84"/>
  <c r="L42" i="84" s="1"/>
  <c r="L43" i="84" s="1"/>
  <c r="J43" i="84"/>
  <c r="E55" i="40"/>
  <c r="F44" i="40" s="1"/>
  <c r="F14" i="40"/>
  <c r="F41" i="40"/>
  <c r="F17" i="42"/>
  <c r="F18" i="47"/>
  <c r="H22" i="47"/>
  <c r="F21" i="48"/>
  <c r="I18" i="69"/>
  <c r="F23" i="42"/>
  <c r="H35" i="48"/>
  <c r="F24" i="50"/>
  <c r="E19" i="69"/>
  <c r="H6" i="82"/>
  <c r="H6" i="72"/>
  <c r="F6" i="79"/>
  <c r="G6" i="78"/>
  <c r="F6" i="50"/>
  <c r="F6" i="83"/>
  <c r="F6" i="67"/>
  <c r="F6" i="49"/>
  <c r="F6" i="89"/>
  <c r="F6" i="61"/>
  <c r="F6" i="69"/>
  <c r="F6" i="48"/>
  <c r="F6" i="44"/>
  <c r="F6" i="41"/>
  <c r="F6" i="37"/>
  <c r="F51" i="40"/>
  <c r="F6" i="62"/>
  <c r="H14" i="46"/>
  <c r="H16" i="46" s="1"/>
  <c r="F6" i="47"/>
  <c r="F15" i="47"/>
  <c r="F35" i="48"/>
  <c r="F29" i="50"/>
  <c r="E18" i="69"/>
  <c r="F6" i="71"/>
  <c r="F18" i="69"/>
  <c r="H25" i="42"/>
  <c r="F6" i="46"/>
  <c r="F27" i="47"/>
  <c r="H39" i="48"/>
  <c r="H19" i="49"/>
  <c r="E30" i="50"/>
  <c r="F15" i="50" s="1"/>
  <c r="D64" i="83"/>
  <c r="H46" i="84"/>
  <c r="H52" i="37"/>
  <c r="F6" i="40"/>
  <c r="F45" i="40"/>
  <c r="G16" i="46"/>
  <c r="H28" i="48"/>
  <c r="F6" i="66"/>
  <c r="I15" i="69"/>
  <c r="F3" i="67"/>
  <c r="F3" i="42"/>
  <c r="F3" i="49"/>
  <c r="F3" i="71"/>
  <c r="F3" i="50"/>
  <c r="F3" i="48"/>
  <c r="F3" i="92"/>
  <c r="H15" i="46"/>
  <c r="F24" i="47"/>
  <c r="H30" i="48"/>
  <c r="F26" i="50"/>
  <c r="D63" i="83"/>
  <c r="H15" i="42"/>
  <c r="H27" i="48"/>
  <c r="H23" i="49"/>
  <c r="F23" i="50"/>
  <c r="H21" i="69"/>
  <c r="I16" i="69" s="1"/>
  <c r="F14" i="47"/>
  <c r="F21" i="47"/>
  <c r="H24" i="48"/>
  <c r="H27" i="49"/>
  <c r="F20" i="50"/>
  <c r="I14" i="69"/>
  <c r="E17" i="69"/>
  <c r="E21" i="69" s="1"/>
  <c r="I19" i="69"/>
  <c r="H3" i="72"/>
  <c r="H20" i="49"/>
  <c r="F17" i="50"/>
  <c r="F17" i="69"/>
  <c r="F21" i="69" s="1"/>
  <c r="F3" i="83"/>
  <c r="F14" i="50"/>
  <c r="D65" i="83"/>
  <c r="H15" i="48"/>
  <c r="H17" i="49"/>
  <c r="F3" i="90"/>
  <c r="F28" i="37"/>
  <c r="H14" i="49"/>
  <c r="C25" i="57" l="1"/>
  <c r="C35" i="84"/>
  <c r="F36" i="70" s="1"/>
  <c r="C42" i="57"/>
  <c r="L34" i="84"/>
  <c r="C33" i="57"/>
  <c r="J34" i="84"/>
  <c r="H34" i="84"/>
  <c r="D34" i="84"/>
  <c r="C24" i="57"/>
  <c r="F34" i="84"/>
  <c r="P34" i="84"/>
  <c r="G16" i="69"/>
  <c r="G14" i="69"/>
  <c r="G19" i="69"/>
  <c r="G15" i="69"/>
  <c r="H54" i="40"/>
  <c r="H41" i="40"/>
  <c r="H28" i="40"/>
  <c r="H18" i="40"/>
  <c r="H48" i="40"/>
  <c r="H37" i="40"/>
  <c r="H36" i="40"/>
  <c r="H24" i="40"/>
  <c r="H17" i="40"/>
  <c r="H50" i="40"/>
  <c r="H42" i="40"/>
  <c r="H46" i="40"/>
  <c r="H47" i="40"/>
  <c r="H23" i="40"/>
  <c r="H20" i="40"/>
  <c r="H16" i="40"/>
  <c r="H19" i="40"/>
  <c r="H45" i="40"/>
  <c r="H35" i="40"/>
  <c r="H49" i="40"/>
  <c r="H26" i="40"/>
  <c r="H22" i="40"/>
  <c r="H53" i="40"/>
  <c r="H29" i="40"/>
  <c r="E100" i="91"/>
  <c r="C99" i="91"/>
  <c r="K97" i="91"/>
  <c r="I96" i="91"/>
  <c r="G95" i="91"/>
  <c r="E94" i="91"/>
  <c r="C93" i="91"/>
  <c r="K91" i="91"/>
  <c r="I90" i="91"/>
  <c r="G89" i="91"/>
  <c r="E88" i="91"/>
  <c r="C87" i="91"/>
  <c r="K85" i="91"/>
  <c r="I84" i="91"/>
  <c r="G83" i="91"/>
  <c r="E82" i="91"/>
  <c r="C81" i="91"/>
  <c r="K79" i="91"/>
  <c r="I78" i="91"/>
  <c r="G77" i="91"/>
  <c r="E76" i="91"/>
  <c r="C75" i="91"/>
  <c r="K73" i="91"/>
  <c r="I72" i="91"/>
  <c r="G71" i="91"/>
  <c r="E70" i="91"/>
  <c r="C69" i="91"/>
  <c r="K67" i="91"/>
  <c r="I66" i="91"/>
  <c r="G65" i="91"/>
  <c r="E64" i="91"/>
  <c r="C63" i="91"/>
  <c r="K61" i="91"/>
  <c r="I60" i="91"/>
  <c r="G59" i="91"/>
  <c r="E58" i="91"/>
  <c r="C57" i="91"/>
  <c r="K55" i="91"/>
  <c r="I54" i="91"/>
  <c r="G53" i="91"/>
  <c r="E52" i="91"/>
  <c r="C51" i="91"/>
  <c r="K49" i="91"/>
  <c r="I48" i="91"/>
  <c r="G47" i="91"/>
  <c r="E46" i="91"/>
  <c r="C45" i="91"/>
  <c r="K43" i="91"/>
  <c r="I42" i="91"/>
  <c r="G41" i="91"/>
  <c r="E40" i="91"/>
  <c r="C39" i="91"/>
  <c r="K37" i="91"/>
  <c r="I36" i="91"/>
  <c r="G35" i="91"/>
  <c r="E34" i="91"/>
  <c r="C33" i="91"/>
  <c r="K31" i="91"/>
  <c r="I30" i="91"/>
  <c r="G29" i="91"/>
  <c r="E28" i="91"/>
  <c r="C27" i="91"/>
  <c r="K25" i="91"/>
  <c r="I24" i="91"/>
  <c r="G23" i="91"/>
  <c r="E22" i="91"/>
  <c r="J99" i="91"/>
  <c r="G98" i="91"/>
  <c r="D97" i="91"/>
  <c r="K95" i="91"/>
  <c r="H94" i="91"/>
  <c r="E93" i="91"/>
  <c r="L91" i="91"/>
  <c r="H90" i="91"/>
  <c r="E89" i="91"/>
  <c r="L87" i="91"/>
  <c r="I86" i="91"/>
  <c r="F85" i="91"/>
  <c r="C84" i="91"/>
  <c r="J82" i="91"/>
  <c r="G81" i="91"/>
  <c r="D80" i="91"/>
  <c r="K78" i="91"/>
  <c r="H77" i="91"/>
  <c r="D76" i="91"/>
  <c r="K100" i="91"/>
  <c r="H99" i="91"/>
  <c r="E98" i="91"/>
  <c r="L96" i="91"/>
  <c r="I95" i="91"/>
  <c r="F94" i="91"/>
  <c r="L92" i="91"/>
  <c r="I91" i="91"/>
  <c r="F90" i="91"/>
  <c r="C89" i="91"/>
  <c r="J87" i="91"/>
  <c r="G86" i="91"/>
  <c r="D85" i="91"/>
  <c r="K83" i="91"/>
  <c r="H82" i="91"/>
  <c r="E81" i="91"/>
  <c r="L79" i="91"/>
  <c r="H78" i="91"/>
  <c r="E77" i="91"/>
  <c r="L75" i="91"/>
  <c r="I74" i="91"/>
  <c r="F73" i="91"/>
  <c r="C72" i="91"/>
  <c r="J70" i="91"/>
  <c r="G69" i="91"/>
  <c r="D68" i="91"/>
  <c r="K66" i="91"/>
  <c r="H65" i="91"/>
  <c r="D64" i="91"/>
  <c r="K62" i="91"/>
  <c r="H61" i="91"/>
  <c r="E60" i="91"/>
  <c r="L58" i="91"/>
  <c r="I57" i="91"/>
  <c r="F56" i="91"/>
  <c r="C55" i="91"/>
  <c r="J53" i="91"/>
  <c r="G52" i="91"/>
  <c r="D51" i="91"/>
  <c r="L51" i="91" s="1"/>
  <c r="J49" i="91"/>
  <c r="G48" i="91"/>
  <c r="D47" i="91"/>
  <c r="K45" i="91"/>
  <c r="H44" i="91"/>
  <c r="E43" i="91"/>
  <c r="I40" i="91"/>
  <c r="F39" i="91"/>
  <c r="C38" i="91"/>
  <c r="J36" i="91"/>
  <c r="F35" i="91"/>
  <c r="C34" i="91"/>
  <c r="J32" i="91"/>
  <c r="G31" i="91"/>
  <c r="D30" i="91"/>
  <c r="L30" i="91" s="1"/>
  <c r="K28" i="91"/>
  <c r="H27" i="91"/>
  <c r="E26" i="91"/>
  <c r="I23" i="91"/>
  <c r="F22" i="91"/>
  <c r="I100" i="91"/>
  <c r="D99" i="91"/>
  <c r="H97" i="91"/>
  <c r="C96" i="91"/>
  <c r="G94" i="91"/>
  <c r="J92" i="91"/>
  <c r="E91" i="91"/>
  <c r="J89" i="91"/>
  <c r="D88" i="91"/>
  <c r="H86" i="91"/>
  <c r="L84" i="91"/>
  <c r="F83" i="91"/>
  <c r="K81" i="91"/>
  <c r="F80" i="91"/>
  <c r="J78" i="91"/>
  <c r="C77" i="91"/>
  <c r="H75" i="91"/>
  <c r="D74" i="91"/>
  <c r="J72" i="91"/>
  <c r="E71" i="91"/>
  <c r="K69" i="91"/>
  <c r="G68" i="91"/>
  <c r="C67" i="91"/>
  <c r="I65" i="91"/>
  <c r="C64" i="91"/>
  <c r="I62" i="91"/>
  <c r="E61" i="91"/>
  <c r="K59" i="91"/>
  <c r="G58" i="91"/>
  <c r="L56" i="91"/>
  <c r="D100" i="91"/>
  <c r="I98" i="91"/>
  <c r="C97" i="91"/>
  <c r="F95" i="91"/>
  <c r="K93" i="91"/>
  <c r="F92" i="91"/>
  <c r="K90" i="91"/>
  <c r="D89" i="91"/>
  <c r="H87" i="91"/>
  <c r="C86" i="91"/>
  <c r="G84" i="91"/>
  <c r="L82" i="91"/>
  <c r="F81" i="91"/>
  <c r="I79" i="91"/>
  <c r="D78" i="91"/>
  <c r="I76" i="91"/>
  <c r="D75" i="91"/>
  <c r="I73" i="91"/>
  <c r="E72" i="91"/>
  <c r="K70" i="91"/>
  <c r="F69" i="91"/>
  <c r="L67" i="91"/>
  <c r="G66" i="91"/>
  <c r="C65" i="91"/>
  <c r="I63" i="91"/>
  <c r="E62" i="91"/>
  <c r="K60" i="91"/>
  <c r="F59" i="91"/>
  <c r="L57" i="91"/>
  <c r="H56" i="91"/>
  <c r="D55" i="91"/>
  <c r="I53" i="91"/>
  <c r="D52" i="91"/>
  <c r="J50" i="91"/>
  <c r="F49" i="91"/>
  <c r="H46" i="91"/>
  <c r="D45" i="91"/>
  <c r="L45" i="91" s="1"/>
  <c r="I43" i="91"/>
  <c r="E42" i="91"/>
  <c r="K40" i="91"/>
  <c r="G39" i="91"/>
  <c r="G36" i="91"/>
  <c r="C35" i="91"/>
  <c r="I33" i="91"/>
  <c r="E32" i="91"/>
  <c r="K30" i="91"/>
  <c r="F29" i="91"/>
  <c r="H26" i="91"/>
  <c r="D25" i="91"/>
  <c r="L25" i="91" s="1"/>
  <c r="J23" i="91"/>
  <c r="D22" i="91"/>
  <c r="G99" i="91"/>
  <c r="I97" i="91"/>
  <c r="J95" i="91"/>
  <c r="J93" i="91"/>
  <c r="C92" i="91"/>
  <c r="C90" i="91"/>
  <c r="F88" i="91"/>
  <c r="E86" i="91"/>
  <c r="F84" i="91"/>
  <c r="G82" i="91"/>
  <c r="I80" i="91"/>
  <c r="L78" i="91"/>
  <c r="K76" i="91"/>
  <c r="L74" i="91"/>
  <c r="E73" i="91"/>
  <c r="I71" i="91"/>
  <c r="L69" i="91"/>
  <c r="E68" i="91"/>
  <c r="F66" i="91"/>
  <c r="J64" i="91"/>
  <c r="D63" i="91"/>
  <c r="F61" i="91"/>
  <c r="I59" i="91"/>
  <c r="K57" i="91"/>
  <c r="D56" i="91"/>
  <c r="H54" i="91"/>
  <c r="C53" i="91"/>
  <c r="H51" i="91"/>
  <c r="C50" i="91"/>
  <c r="F48" i="91"/>
  <c r="K46" i="91"/>
  <c r="F45" i="91"/>
  <c r="J43" i="91"/>
  <c r="D42" i="91"/>
  <c r="L42" i="91" s="1"/>
  <c r="H40" i="91"/>
  <c r="G37" i="91"/>
  <c r="G34" i="91"/>
  <c r="K32" i="91"/>
  <c r="E31" i="91"/>
  <c r="J29" i="91"/>
  <c r="D28" i="91"/>
  <c r="L28" i="91" s="1"/>
  <c r="I26" i="91"/>
  <c r="C25" i="91"/>
  <c r="F23" i="91"/>
  <c r="J21" i="91"/>
  <c r="E99" i="91"/>
  <c r="F97" i="91"/>
  <c r="E95" i="91"/>
  <c r="H93" i="91"/>
  <c r="H91" i="91"/>
  <c r="K89" i="91"/>
  <c r="K87" i="91"/>
  <c r="L85" i="91"/>
  <c r="D84" i="91"/>
  <c r="D82" i="91"/>
  <c r="G80" i="91"/>
  <c r="F78" i="91"/>
  <c r="H76" i="91"/>
  <c r="J74" i="91"/>
  <c r="C73" i="91"/>
  <c r="F71" i="91"/>
  <c r="I69" i="91"/>
  <c r="J67" i="91"/>
  <c r="D66" i="91"/>
  <c r="H64" i="91"/>
  <c r="J62" i="91"/>
  <c r="C61" i="91"/>
  <c r="E59" i="91"/>
  <c r="H57" i="91"/>
  <c r="L55" i="91"/>
  <c r="F54" i="91"/>
  <c r="K52" i="91"/>
  <c r="F51" i="91"/>
  <c r="I49" i="91"/>
  <c r="D48" i="91"/>
  <c r="I46" i="91"/>
  <c r="G43" i="91"/>
  <c r="K41" i="91"/>
  <c r="F40" i="91"/>
  <c r="J38" i="91"/>
  <c r="E37" i="91"/>
  <c r="J35" i="91"/>
  <c r="D34" i="91"/>
  <c r="H32" i="91"/>
  <c r="C31" i="91"/>
  <c r="H29" i="91"/>
  <c r="K27" i="91"/>
  <c r="F26" i="91"/>
  <c r="J24" i="91"/>
  <c r="D23" i="91"/>
  <c r="H21" i="91"/>
  <c r="I99" i="91"/>
  <c r="E97" i="91"/>
  <c r="L94" i="91"/>
  <c r="I92" i="91"/>
  <c r="G90" i="91"/>
  <c r="G88" i="91"/>
  <c r="J85" i="91"/>
  <c r="I83" i="91"/>
  <c r="H81" i="91"/>
  <c r="E79" i="91"/>
  <c r="L76" i="91"/>
  <c r="H74" i="91"/>
  <c r="H72" i="91"/>
  <c r="H70" i="91"/>
  <c r="I68" i="91"/>
  <c r="H66" i="91"/>
  <c r="G64" i="91"/>
  <c r="F62" i="91"/>
  <c r="F60" i="91"/>
  <c r="F58" i="91"/>
  <c r="E56" i="91"/>
  <c r="E54" i="91"/>
  <c r="H52" i="91"/>
  <c r="L52" i="91" s="1"/>
  <c r="H50" i="91"/>
  <c r="K48" i="91"/>
  <c r="K44" i="91"/>
  <c r="C43" i="91"/>
  <c r="E41" i="91"/>
  <c r="H39" i="91"/>
  <c r="H37" i="91"/>
  <c r="I35" i="91"/>
  <c r="J33" i="91"/>
  <c r="C30" i="91"/>
  <c r="F28" i="91"/>
  <c r="D26" i="91"/>
  <c r="L26" i="91" s="1"/>
  <c r="F24" i="91"/>
  <c r="I22" i="91"/>
  <c r="F99" i="91"/>
  <c r="K96" i="91"/>
  <c r="K94" i="91"/>
  <c r="H92" i="91"/>
  <c r="E90" i="91"/>
  <c r="C88" i="91"/>
  <c r="I85" i="91"/>
  <c r="H83" i="91"/>
  <c r="D81" i="91"/>
  <c r="D79" i="91"/>
  <c r="J76" i="91"/>
  <c r="G74" i="91"/>
  <c r="G72" i="91"/>
  <c r="G70" i="91"/>
  <c r="H68" i="91"/>
  <c r="E66" i="91"/>
  <c r="F64" i="91"/>
  <c r="D62" i="91"/>
  <c r="D60" i="91"/>
  <c r="D58" i="91"/>
  <c r="C56" i="91"/>
  <c r="D54" i="91"/>
  <c r="F52" i="91"/>
  <c r="G50" i="91"/>
  <c r="J48" i="91"/>
  <c r="J46" i="91"/>
  <c r="J44" i="91"/>
  <c r="D41" i="91"/>
  <c r="E39" i="91"/>
  <c r="F37" i="91"/>
  <c r="H35" i="91"/>
  <c r="H33" i="91"/>
  <c r="J31" i="91"/>
  <c r="L29" i="91"/>
  <c r="C28" i="91"/>
  <c r="C26" i="91"/>
  <c r="E24" i="91"/>
  <c r="H22" i="91"/>
  <c r="G100" i="91"/>
  <c r="L97" i="91"/>
  <c r="C95" i="91"/>
  <c r="E92" i="91"/>
  <c r="H89" i="91"/>
  <c r="L86" i="91"/>
  <c r="E84" i="91"/>
  <c r="I81" i="91"/>
  <c r="G78" i="91"/>
  <c r="K75" i="91"/>
  <c r="H73" i="91"/>
  <c r="C71" i="91"/>
  <c r="J68" i="91"/>
  <c r="L65" i="91"/>
  <c r="H63" i="91"/>
  <c r="D61" i="91"/>
  <c r="J58" i="91"/>
  <c r="G56" i="91"/>
  <c r="J51" i="91"/>
  <c r="G49" i="91"/>
  <c r="F47" i="91"/>
  <c r="E45" i="91"/>
  <c r="J42" i="91"/>
  <c r="G40" i="91"/>
  <c r="F38" i="91"/>
  <c r="D36" i="91"/>
  <c r="K33" i="91"/>
  <c r="H31" i="91"/>
  <c r="D29" i="91"/>
  <c r="D27" i="91"/>
  <c r="K24" i="91"/>
  <c r="J22" i="91"/>
  <c r="F100" i="91"/>
  <c r="J97" i="91"/>
  <c r="J94" i="91"/>
  <c r="D92" i="91"/>
  <c r="F89" i="91"/>
  <c r="K86" i="91"/>
  <c r="L83" i="91"/>
  <c r="L80" i="91"/>
  <c r="E78" i="91"/>
  <c r="J75" i="91"/>
  <c r="G73" i="91"/>
  <c r="L70" i="91"/>
  <c r="F68" i="91"/>
  <c r="K65" i="91"/>
  <c r="G63" i="91"/>
  <c r="L60" i="91"/>
  <c r="I58" i="91"/>
  <c r="J55" i="91"/>
  <c r="K53" i="91"/>
  <c r="F38" i="85" s="1"/>
  <c r="I51" i="91"/>
  <c r="E49" i="91"/>
  <c r="E47" i="91"/>
  <c r="I44" i="91"/>
  <c r="H42" i="91"/>
  <c r="D40" i="91"/>
  <c r="L40" i="91" s="1"/>
  <c r="E38" i="91"/>
  <c r="C36" i="91"/>
  <c r="G33" i="91"/>
  <c r="F31" i="91"/>
  <c r="C29" i="91"/>
  <c r="H24" i="91"/>
  <c r="G22" i="91"/>
  <c r="J98" i="91"/>
  <c r="L95" i="91"/>
  <c r="G92" i="91"/>
  <c r="K88" i="91"/>
  <c r="H85" i="91"/>
  <c r="I82" i="91"/>
  <c r="G79" i="91"/>
  <c r="C76" i="91"/>
  <c r="L72" i="91"/>
  <c r="C70" i="91"/>
  <c r="E67" i="91"/>
  <c r="L63" i="91"/>
  <c r="G61" i="91"/>
  <c r="C58" i="91"/>
  <c r="F55" i="91"/>
  <c r="J52" i="91"/>
  <c r="D50" i="91"/>
  <c r="L50" i="91" s="1"/>
  <c r="H47" i="91"/>
  <c r="L47" i="91" s="1"/>
  <c r="F44" i="91"/>
  <c r="J41" i="91"/>
  <c r="D39" i="91"/>
  <c r="H36" i="91"/>
  <c r="L36" i="91" s="1"/>
  <c r="H28" i="91"/>
  <c r="I25" i="91"/>
  <c r="C23" i="91"/>
  <c r="D98" i="91"/>
  <c r="I94" i="91"/>
  <c r="F91" i="91"/>
  <c r="H88" i="91"/>
  <c r="C85" i="91"/>
  <c r="L81" i="91"/>
  <c r="C78" i="91"/>
  <c r="D72" i="91"/>
  <c r="E69" i="91"/>
  <c r="J66" i="91"/>
  <c r="F63" i="91"/>
  <c r="G60" i="91"/>
  <c r="F57" i="91"/>
  <c r="K54" i="91"/>
  <c r="D49" i="91"/>
  <c r="C44" i="91"/>
  <c r="F41" i="91"/>
  <c r="H38" i="91"/>
  <c r="D33" i="91"/>
  <c r="G30" i="91"/>
  <c r="I27" i="91"/>
  <c r="F25" i="91"/>
  <c r="C22" i="91"/>
  <c r="C60" i="91"/>
  <c r="G93" i="91"/>
  <c r="H98" i="91"/>
  <c r="H95" i="91"/>
  <c r="J91" i="91"/>
  <c r="J88" i="91"/>
  <c r="G85" i="91"/>
  <c r="F82" i="91"/>
  <c r="F79" i="91"/>
  <c r="I75" i="91"/>
  <c r="K72" i="91"/>
  <c r="J69" i="91"/>
  <c r="D67" i="91"/>
  <c r="K63" i="91"/>
  <c r="J60" i="91"/>
  <c r="J57" i="91"/>
  <c r="E55" i="91"/>
  <c r="I52" i="91"/>
  <c r="C47" i="91"/>
  <c r="E44" i="91"/>
  <c r="I41" i="91"/>
  <c r="K38" i="91"/>
  <c r="F36" i="91"/>
  <c r="F33" i="91"/>
  <c r="J30" i="91"/>
  <c r="G28" i="91"/>
  <c r="H25" i="91"/>
  <c r="K35" i="91"/>
  <c r="L100" i="91"/>
  <c r="C98" i="91"/>
  <c r="D94" i="91"/>
  <c r="D91" i="91"/>
  <c r="K84" i="91"/>
  <c r="J81" i="91"/>
  <c r="L77" i="91"/>
  <c r="E75" i="91"/>
  <c r="L71" i="91"/>
  <c r="D69" i="91"/>
  <c r="C66" i="91"/>
  <c r="E63" i="91"/>
  <c r="E57" i="91"/>
  <c r="J54" i="91"/>
  <c r="K51" i="91"/>
  <c r="D46" i="91"/>
  <c r="C41" i="91"/>
  <c r="G38" i="91"/>
  <c r="E35" i="91"/>
  <c r="F30" i="91"/>
  <c r="G27" i="91"/>
  <c r="E25" i="91"/>
  <c r="K21" i="91"/>
  <c r="F98" i="91"/>
  <c r="D95" i="91"/>
  <c r="G91" i="91"/>
  <c r="I88" i="91"/>
  <c r="E85" i="91"/>
  <c r="C82" i="91"/>
  <c r="C79" i="91"/>
  <c r="G75" i="91"/>
  <c r="F72" i="91"/>
  <c r="H69" i="91"/>
  <c r="L66" i="91"/>
  <c r="J63" i="91"/>
  <c r="H60" i="91"/>
  <c r="G57" i="91"/>
  <c r="L54" i="91"/>
  <c r="C52" i="91"/>
  <c r="H29" i="87" s="1"/>
  <c r="H49" i="91"/>
  <c r="G46" i="91"/>
  <c r="D44" i="91"/>
  <c r="H41" i="91"/>
  <c r="I38" i="91"/>
  <c r="E36" i="91"/>
  <c r="E33" i="91"/>
  <c r="H30" i="91"/>
  <c r="J27" i="91"/>
  <c r="G25" i="91"/>
  <c r="K22" i="91"/>
  <c r="F46" i="91"/>
  <c r="I87" i="91"/>
  <c r="C49" i="91"/>
  <c r="F75" i="91"/>
  <c r="G96" i="91"/>
  <c r="J100" i="91"/>
  <c r="G97" i="91"/>
  <c r="C94" i="91"/>
  <c r="C91" i="91"/>
  <c r="G87" i="91"/>
  <c r="J84" i="91"/>
  <c r="K80" i="91"/>
  <c r="K77" i="91"/>
  <c r="K74" i="91"/>
  <c r="K71" i="91"/>
  <c r="L68" i="91"/>
  <c r="J65" i="91"/>
  <c r="L62" i="91"/>
  <c r="L59" i="91"/>
  <c r="D57" i="91"/>
  <c r="G54" i="91"/>
  <c r="G51" i="91"/>
  <c r="C46" i="91"/>
  <c r="H43" i="91"/>
  <c r="D38" i="91"/>
  <c r="L38" i="91" s="1"/>
  <c r="D35" i="91"/>
  <c r="L35" i="91" s="1"/>
  <c r="I32" i="91"/>
  <c r="E30" i="91"/>
  <c r="F27" i="91"/>
  <c r="G24" i="91"/>
  <c r="I21" i="91"/>
  <c r="H100" i="91"/>
  <c r="J96" i="91"/>
  <c r="L93" i="91"/>
  <c r="L90" i="91"/>
  <c r="F87" i="91"/>
  <c r="H84" i="91"/>
  <c r="J80" i="91"/>
  <c r="J77" i="91"/>
  <c r="F74" i="91"/>
  <c r="J71" i="91"/>
  <c r="K68" i="91"/>
  <c r="F65" i="91"/>
  <c r="H62" i="91"/>
  <c r="J59" i="91"/>
  <c r="K56" i="91"/>
  <c r="C54" i="91"/>
  <c r="E51" i="91"/>
  <c r="H48" i="91"/>
  <c r="F43" i="91"/>
  <c r="J40" i="91"/>
  <c r="J37" i="91"/>
  <c r="G32" i="91"/>
  <c r="K29" i="91"/>
  <c r="E27" i="91"/>
  <c r="D24" i="91"/>
  <c r="G21" i="91"/>
  <c r="C100" i="91"/>
  <c r="H96" i="91"/>
  <c r="I93" i="91"/>
  <c r="J90" i="91"/>
  <c r="E87" i="91"/>
  <c r="J83" i="91"/>
  <c r="H80" i="91"/>
  <c r="I77" i="91"/>
  <c r="E74" i="91"/>
  <c r="H71" i="91"/>
  <c r="C68" i="91"/>
  <c r="E65" i="91"/>
  <c r="G62" i="91"/>
  <c r="H59" i="91"/>
  <c r="J56" i="91"/>
  <c r="H53" i="91"/>
  <c r="E48" i="91"/>
  <c r="J45" i="91"/>
  <c r="D43" i="91"/>
  <c r="C40" i="91"/>
  <c r="I37" i="91"/>
  <c r="K34" i="91"/>
  <c r="F32" i="91"/>
  <c r="I29" i="91"/>
  <c r="K26" i="91"/>
  <c r="C24" i="91"/>
  <c r="F21" i="91"/>
  <c r="L99" i="91"/>
  <c r="D90" i="91"/>
  <c r="D87" i="91"/>
  <c r="E83" i="91"/>
  <c r="F77" i="91"/>
  <c r="K99" i="91"/>
  <c r="J86" i="91"/>
  <c r="F76" i="91"/>
  <c r="F67" i="91"/>
  <c r="H58" i="91"/>
  <c r="E50" i="91"/>
  <c r="C42" i="91"/>
  <c r="F34" i="91"/>
  <c r="J25" i="91"/>
  <c r="F96" i="91"/>
  <c r="J73" i="91"/>
  <c r="K64" i="91"/>
  <c r="H55" i="91"/>
  <c r="J39" i="91"/>
  <c r="I31" i="91"/>
  <c r="G55" i="91"/>
  <c r="L98" i="91"/>
  <c r="F86" i="91"/>
  <c r="C74" i="91"/>
  <c r="D65" i="91"/>
  <c r="I56" i="91"/>
  <c r="C48" i="91"/>
  <c r="D32" i="91"/>
  <c r="L32" i="91" s="1"/>
  <c r="D83" i="91"/>
  <c r="J47" i="91"/>
  <c r="H23" i="91"/>
  <c r="C83" i="91"/>
  <c r="K98" i="91"/>
  <c r="D86" i="91"/>
  <c r="L73" i="91"/>
  <c r="L64" i="91"/>
  <c r="I55" i="91"/>
  <c r="K47" i="91"/>
  <c r="K39" i="91"/>
  <c r="C32" i="91"/>
  <c r="K23" i="91"/>
  <c r="E96" i="91"/>
  <c r="D73" i="91"/>
  <c r="I64" i="91"/>
  <c r="I47" i="91"/>
  <c r="I39" i="91"/>
  <c r="D31" i="91"/>
  <c r="E23" i="91"/>
  <c r="D96" i="91"/>
  <c r="K82" i="91"/>
  <c r="D71" i="91"/>
  <c r="C62" i="91"/>
  <c r="F53" i="91"/>
  <c r="I45" i="91"/>
  <c r="D37" i="91"/>
  <c r="L37" i="91" s="1"/>
  <c r="E29" i="91"/>
  <c r="E21" i="91"/>
  <c r="F93" i="91"/>
  <c r="E80" i="91"/>
  <c r="I70" i="91"/>
  <c r="L61" i="91"/>
  <c r="E53" i="91"/>
  <c r="H45" i="91"/>
  <c r="C37" i="91"/>
  <c r="D21" i="91"/>
  <c r="D93" i="91"/>
  <c r="C80" i="91"/>
  <c r="F70" i="91"/>
  <c r="J61" i="91"/>
  <c r="D53" i="91"/>
  <c r="G45" i="91"/>
  <c r="J28" i="91"/>
  <c r="C21" i="91"/>
  <c r="K92" i="91"/>
  <c r="J79" i="91"/>
  <c r="D70" i="91"/>
  <c r="I61" i="91"/>
  <c r="G44" i="91"/>
  <c r="K36" i="91"/>
  <c r="I28" i="91"/>
  <c r="L89" i="91"/>
  <c r="H79" i="91"/>
  <c r="I67" i="91"/>
  <c r="D59" i="91"/>
  <c r="K50" i="91"/>
  <c r="K42" i="91"/>
  <c r="J34" i="91"/>
  <c r="J26" i="91"/>
  <c r="I89" i="91"/>
  <c r="D77" i="91"/>
  <c r="H67" i="91"/>
  <c r="C59" i="91"/>
  <c r="I50" i="91"/>
  <c r="G42" i="91"/>
  <c r="I34" i="91"/>
  <c r="G26" i="91"/>
  <c r="L88" i="91"/>
  <c r="G76" i="91"/>
  <c r="G67" i="91"/>
  <c r="K58" i="91"/>
  <c r="F50" i="91"/>
  <c r="F42" i="91"/>
  <c r="H34" i="91"/>
  <c r="H15" i="40"/>
  <c r="H30" i="50"/>
  <c r="F19" i="37"/>
  <c r="F18" i="42"/>
  <c r="F55" i="37"/>
  <c r="F22" i="37"/>
  <c r="H33" i="40"/>
  <c r="F43" i="37"/>
  <c r="F60" i="37"/>
  <c r="H43" i="40"/>
  <c r="H31" i="40"/>
  <c r="C32" i="70"/>
  <c r="H39" i="40"/>
  <c r="F27" i="40"/>
  <c r="E101" i="86"/>
  <c r="C100" i="86"/>
  <c r="K98" i="86"/>
  <c r="I97" i="86"/>
  <c r="G96" i="86"/>
  <c r="E95" i="86"/>
  <c r="C94" i="86"/>
  <c r="K92" i="86"/>
  <c r="I91" i="86"/>
  <c r="G90" i="86"/>
  <c r="E89" i="86"/>
  <c r="C88" i="86"/>
  <c r="K86" i="86"/>
  <c r="I85" i="86"/>
  <c r="G84" i="86"/>
  <c r="E83" i="86"/>
  <c r="C82" i="86"/>
  <c r="K80" i="86"/>
  <c r="I79" i="86"/>
  <c r="G78" i="86"/>
  <c r="E77" i="86"/>
  <c r="C76" i="86"/>
  <c r="K74" i="86"/>
  <c r="I73" i="86"/>
  <c r="G72" i="86"/>
  <c r="E71" i="86"/>
  <c r="C70" i="86"/>
  <c r="C101" i="86"/>
  <c r="J99" i="86"/>
  <c r="G98" i="86"/>
  <c r="D97" i="86"/>
  <c r="K95" i="86"/>
  <c r="H94" i="86"/>
  <c r="E93" i="86"/>
  <c r="L91" i="86"/>
  <c r="I90" i="86"/>
  <c r="F89" i="86"/>
  <c r="L87" i="86"/>
  <c r="I86" i="86"/>
  <c r="F85" i="86"/>
  <c r="C84" i="86"/>
  <c r="J82" i="86"/>
  <c r="G81" i="86"/>
  <c r="D80" i="86"/>
  <c r="K78" i="86"/>
  <c r="H77" i="86"/>
  <c r="E76" i="86"/>
  <c r="L74" i="86"/>
  <c r="H73" i="86"/>
  <c r="E72" i="86"/>
  <c r="L70" i="86"/>
  <c r="I69" i="86"/>
  <c r="G68" i="86"/>
  <c r="E67" i="86"/>
  <c r="C66" i="86"/>
  <c r="K64" i="86"/>
  <c r="I63" i="86"/>
  <c r="G62" i="86"/>
  <c r="E61" i="86"/>
  <c r="C60" i="86"/>
  <c r="K58" i="86"/>
  <c r="I57" i="86"/>
  <c r="G56" i="86"/>
  <c r="E55" i="86"/>
  <c r="C54" i="86"/>
  <c r="H54" i="86" s="1"/>
  <c r="K52" i="86"/>
  <c r="G50" i="86"/>
  <c r="E49" i="86"/>
  <c r="C48" i="86"/>
  <c r="G44" i="86"/>
  <c r="E43" i="86"/>
  <c r="J43" i="86" s="1"/>
  <c r="C42" i="86"/>
  <c r="H42" i="86" s="1"/>
  <c r="G38" i="86"/>
  <c r="L38" i="86" s="1"/>
  <c r="E37" i="86"/>
  <c r="C36" i="86"/>
  <c r="G32" i="86"/>
  <c r="E31" i="86"/>
  <c r="J31" i="86" s="1"/>
  <c r="C30" i="86"/>
  <c r="G26" i="86"/>
  <c r="E25" i="86"/>
  <c r="J25" i="86" s="1"/>
  <c r="C24" i="86"/>
  <c r="H24" i="86" s="1"/>
  <c r="K101" i="86"/>
  <c r="G100" i="86"/>
  <c r="C99" i="86"/>
  <c r="H97" i="86"/>
  <c r="D96" i="86"/>
  <c r="J94" i="86"/>
  <c r="F93" i="86"/>
  <c r="K91" i="86"/>
  <c r="F90" i="86"/>
  <c r="L88" i="86"/>
  <c r="H87" i="86"/>
  <c r="D86" i="86"/>
  <c r="J84" i="86"/>
  <c r="F83" i="86"/>
  <c r="K81" i="86"/>
  <c r="G80" i="86"/>
  <c r="C79" i="86"/>
  <c r="I77" i="86"/>
  <c r="D76" i="86"/>
  <c r="I74" i="86"/>
  <c r="E73" i="86"/>
  <c r="K71" i="86"/>
  <c r="G70" i="86"/>
  <c r="C69" i="86"/>
  <c r="J67" i="86"/>
  <c r="G66" i="86"/>
  <c r="D65" i="86"/>
  <c r="K63" i="86"/>
  <c r="H62" i="86"/>
  <c r="D61" i="86"/>
  <c r="K59" i="86"/>
  <c r="H58" i="86"/>
  <c r="E57" i="86"/>
  <c r="L55" i="86"/>
  <c r="I54" i="86"/>
  <c r="F53" i="86"/>
  <c r="C52" i="86"/>
  <c r="G49" i="86"/>
  <c r="D48" i="86"/>
  <c r="G45" i="86"/>
  <c r="D44" i="86"/>
  <c r="E40" i="86"/>
  <c r="J40" i="86" s="1"/>
  <c r="F36" i="86"/>
  <c r="C35" i="86"/>
  <c r="F32" i="86"/>
  <c r="K32" i="86" s="1"/>
  <c r="C31" i="86"/>
  <c r="G28" i="86"/>
  <c r="D27" i="86"/>
  <c r="I27" i="86" s="1"/>
  <c r="E23" i="86"/>
  <c r="J23" i="86" s="1"/>
  <c r="F101" i="86"/>
  <c r="I99" i="86"/>
  <c r="D98" i="86"/>
  <c r="I96" i="86"/>
  <c r="C95" i="86"/>
  <c r="H93" i="86"/>
  <c r="C92" i="86"/>
  <c r="E90" i="86"/>
  <c r="J88" i="86"/>
  <c r="E87" i="86"/>
  <c r="J85" i="86"/>
  <c r="D84" i="86"/>
  <c r="H82" i="86"/>
  <c r="C81" i="86"/>
  <c r="G79" i="86"/>
  <c r="L77" i="86"/>
  <c r="G76" i="86"/>
  <c r="J74" i="86"/>
  <c r="D73" i="86"/>
  <c r="I71" i="86"/>
  <c r="D70" i="86"/>
  <c r="I68" i="86"/>
  <c r="D67" i="86"/>
  <c r="J65" i="86"/>
  <c r="F64" i="86"/>
  <c r="L62" i="86"/>
  <c r="H61" i="86"/>
  <c r="D60" i="86"/>
  <c r="I58" i="86"/>
  <c r="D57" i="86"/>
  <c r="J55" i="86"/>
  <c r="F54" i="86"/>
  <c r="K54" i="86" s="1"/>
  <c r="L52" i="86"/>
  <c r="G51" i="86"/>
  <c r="L51" i="86" s="1"/>
  <c r="C50" i="86"/>
  <c r="H50" i="86" s="1"/>
  <c r="I48" i="86"/>
  <c r="E47" i="86"/>
  <c r="F44" i="86"/>
  <c r="G41" i="86"/>
  <c r="C40" i="86"/>
  <c r="D37" i="86"/>
  <c r="I37" i="86" s="1"/>
  <c r="J35" i="86"/>
  <c r="F34" i="86"/>
  <c r="K34" i="86" s="1"/>
  <c r="L32" i="86"/>
  <c r="H31" i="86"/>
  <c r="D30" i="86"/>
  <c r="E27" i="86"/>
  <c r="F24" i="86"/>
  <c r="K24" i="86" s="1"/>
  <c r="G101" i="86"/>
  <c r="H99" i="86"/>
  <c r="L97" i="86"/>
  <c r="E96" i="86"/>
  <c r="G94" i="86"/>
  <c r="J92" i="86"/>
  <c r="D91" i="86"/>
  <c r="H89" i="86"/>
  <c r="D101" i="86"/>
  <c r="G99" i="86"/>
  <c r="K97" i="86"/>
  <c r="C96" i="86"/>
  <c r="F94" i="86"/>
  <c r="I92" i="86"/>
  <c r="C91" i="86"/>
  <c r="G89" i="86"/>
  <c r="I87" i="86"/>
  <c r="L85" i="86"/>
  <c r="E84" i="86"/>
  <c r="G82" i="86"/>
  <c r="J80" i="86"/>
  <c r="D79" i="86"/>
  <c r="F77" i="86"/>
  <c r="I75" i="86"/>
  <c r="C74" i="86"/>
  <c r="F72" i="86"/>
  <c r="I70" i="86"/>
  <c r="L68" i="86"/>
  <c r="G67" i="86"/>
  <c r="K65" i="86"/>
  <c r="E64" i="86"/>
  <c r="J62" i="86"/>
  <c r="C61" i="86"/>
  <c r="H59" i="86"/>
  <c r="C58" i="86"/>
  <c r="H56" i="86"/>
  <c r="G53" i="86"/>
  <c r="E50" i="86"/>
  <c r="J50" i="86" s="1"/>
  <c r="J48" i="86"/>
  <c r="D47" i="86"/>
  <c r="I47" i="86" s="1"/>
  <c r="G42" i="86"/>
  <c r="F39" i="86"/>
  <c r="E36" i="86"/>
  <c r="D33" i="86"/>
  <c r="I33" i="86" s="1"/>
  <c r="I31" i="86"/>
  <c r="F28" i="86"/>
  <c r="K28" i="86" s="1"/>
  <c r="F25" i="86"/>
  <c r="E22" i="86"/>
  <c r="H100" i="86"/>
  <c r="H98" i="86"/>
  <c r="H96" i="86"/>
  <c r="E94" i="86"/>
  <c r="F92" i="86"/>
  <c r="D90" i="86"/>
  <c r="F88" i="86"/>
  <c r="G86" i="86"/>
  <c r="I84" i="86"/>
  <c r="K82" i="86"/>
  <c r="L80" i="86"/>
  <c r="L78" i="86"/>
  <c r="C77" i="86"/>
  <c r="F75" i="86"/>
  <c r="G73" i="86"/>
  <c r="H71" i="86"/>
  <c r="J69" i="86"/>
  <c r="C68" i="86"/>
  <c r="F66" i="86"/>
  <c r="I64" i="86"/>
  <c r="C63" i="86"/>
  <c r="F61" i="86"/>
  <c r="G59" i="86"/>
  <c r="K57" i="86"/>
  <c r="D56" i="86"/>
  <c r="G54" i="86"/>
  <c r="L54" i="86" s="1"/>
  <c r="C51" i="86"/>
  <c r="I51" i="86" s="1"/>
  <c r="F49" i="86"/>
  <c r="K49" i="86" s="1"/>
  <c r="C46" i="86"/>
  <c r="H46" i="86" s="1"/>
  <c r="E44" i="86"/>
  <c r="J44" i="86" s="1"/>
  <c r="D39" i="86"/>
  <c r="G37" i="86"/>
  <c r="C34" i="86"/>
  <c r="H34" i="86" s="1"/>
  <c r="E32" i="86"/>
  <c r="J32" i="86" s="1"/>
  <c r="I30" i="86"/>
  <c r="C29" i="86"/>
  <c r="K29" i="86" s="1"/>
  <c r="F27" i="86"/>
  <c r="K27" i="86" s="1"/>
  <c r="K23" i="86"/>
  <c r="D22" i="86"/>
  <c r="F100" i="86"/>
  <c r="F98" i="86"/>
  <c r="F96" i="86"/>
  <c r="D94" i="86"/>
  <c r="E92" i="86"/>
  <c r="C90" i="86"/>
  <c r="E88" i="86"/>
  <c r="F86" i="86"/>
  <c r="H84" i="86"/>
  <c r="I82" i="86"/>
  <c r="I80" i="86"/>
  <c r="J78" i="86"/>
  <c r="L76" i="86"/>
  <c r="E75" i="86"/>
  <c r="F73" i="86"/>
  <c r="G71" i="86"/>
  <c r="H69" i="86"/>
  <c r="L67" i="86"/>
  <c r="E66" i="86"/>
  <c r="H64" i="86"/>
  <c r="K62" i="86"/>
  <c r="L60" i="86"/>
  <c r="F59" i="86"/>
  <c r="J57" i="86"/>
  <c r="C56" i="86"/>
  <c r="E54" i="86"/>
  <c r="D49" i="86"/>
  <c r="L45" i="86"/>
  <c r="C44" i="86"/>
  <c r="H44" i="86" s="1"/>
  <c r="F42" i="86"/>
  <c r="K42" i="86" s="1"/>
  <c r="I40" i="86"/>
  <c r="D100" i="86"/>
  <c r="G97" i="86"/>
  <c r="F95" i="86"/>
  <c r="L92" i="86"/>
  <c r="H90" i="86"/>
  <c r="K87" i="86"/>
  <c r="H85" i="86"/>
  <c r="H83" i="86"/>
  <c r="F81" i="86"/>
  <c r="E79" i="86"/>
  <c r="J76" i="86"/>
  <c r="G74" i="86"/>
  <c r="H72" i="86"/>
  <c r="E70" i="86"/>
  <c r="D68" i="86"/>
  <c r="L65" i="86"/>
  <c r="L63" i="86"/>
  <c r="L61" i="86"/>
  <c r="L59" i="86"/>
  <c r="L57" i="86"/>
  <c r="I55" i="86"/>
  <c r="J51" i="86"/>
  <c r="J49" i="86"/>
  <c r="J47" i="86"/>
  <c r="F45" i="86"/>
  <c r="K45" i="86" s="1"/>
  <c r="L33" i="86"/>
  <c r="C32" i="86"/>
  <c r="F30" i="86"/>
  <c r="E28" i="86"/>
  <c r="J28" i="86" s="1"/>
  <c r="H26" i="86"/>
  <c r="J24" i="86"/>
  <c r="C45" i="86"/>
  <c r="H45" i="86" s="1"/>
  <c r="L96" i="86"/>
  <c r="G61" i="86"/>
  <c r="E35" i="86"/>
  <c r="L100" i="86"/>
  <c r="L99" i="86"/>
  <c r="F97" i="86"/>
  <c r="D95" i="86"/>
  <c r="H92" i="86"/>
  <c r="L89" i="86"/>
  <c r="J87" i="86"/>
  <c r="G85" i="86"/>
  <c r="G83" i="86"/>
  <c r="E81" i="86"/>
  <c r="I78" i="86"/>
  <c r="I76" i="86"/>
  <c r="F74" i="86"/>
  <c r="D72" i="86"/>
  <c r="L69" i="86"/>
  <c r="K67" i="86"/>
  <c r="I65" i="86"/>
  <c r="J63" i="86"/>
  <c r="K61" i="86"/>
  <c r="J59" i="86"/>
  <c r="H57" i="86"/>
  <c r="H55" i="86"/>
  <c r="I49" i="86"/>
  <c r="G47" i="86"/>
  <c r="E45" i="86"/>
  <c r="J45" i="86" s="1"/>
  <c r="G43" i="86"/>
  <c r="L43" i="86" s="1"/>
  <c r="F41" i="86"/>
  <c r="G39" i="86"/>
  <c r="L39" i="86" s="1"/>
  <c r="E30" i="86"/>
  <c r="D28" i="86"/>
  <c r="I28" i="86" s="1"/>
  <c r="F26" i="86"/>
  <c r="K26" i="86" s="1"/>
  <c r="I22" i="86"/>
  <c r="L101" i="86"/>
  <c r="F99" i="86"/>
  <c r="C97" i="86"/>
  <c r="K94" i="86"/>
  <c r="D92" i="86"/>
  <c r="J89" i="86"/>
  <c r="F87" i="86"/>
  <c r="C83" i="86"/>
  <c r="H80" i="86"/>
  <c r="F78" i="86"/>
  <c r="F76" i="86"/>
  <c r="D74" i="86"/>
  <c r="L71" i="86"/>
  <c r="G69" i="86"/>
  <c r="H67" i="86"/>
  <c r="G65" i="86"/>
  <c r="G63" i="86"/>
  <c r="I61" i="86"/>
  <c r="F57" i="86"/>
  <c r="F55" i="86"/>
  <c r="E53" i="86"/>
  <c r="E51" i="86"/>
  <c r="C49" i="86"/>
  <c r="H49" i="86" s="1"/>
  <c r="C47" i="86"/>
  <c r="H47" i="86" s="1"/>
  <c r="D43" i="86"/>
  <c r="I43" i="86" s="1"/>
  <c r="D41" i="86"/>
  <c r="I41" i="86" s="1"/>
  <c r="C39" i="86"/>
  <c r="I39" i="86" s="1"/>
  <c r="C37" i="86"/>
  <c r="L37" i="86" s="1"/>
  <c r="G33" i="86"/>
  <c r="D26" i="86"/>
  <c r="E24" i="86"/>
  <c r="G22" i="86"/>
  <c r="L22" i="86" s="1"/>
  <c r="J101" i="86"/>
  <c r="E99" i="86"/>
  <c r="I94" i="86"/>
  <c r="J91" i="86"/>
  <c r="I89" i="86"/>
  <c r="D87" i="86"/>
  <c r="C85" i="86"/>
  <c r="L82" i="86"/>
  <c r="F80" i="86"/>
  <c r="L75" i="86"/>
  <c r="L73" i="86"/>
  <c r="J71" i="86"/>
  <c r="F69" i="86"/>
  <c r="F67" i="86"/>
  <c r="F65" i="86"/>
  <c r="F63" i="86"/>
  <c r="D59" i="86"/>
  <c r="C57" i="86"/>
  <c r="D55" i="86"/>
  <c r="D53" i="86"/>
  <c r="I53" i="86" s="1"/>
  <c r="D51" i="86"/>
  <c r="C43" i="86"/>
  <c r="H43" i="86" s="1"/>
  <c r="C41" i="86"/>
  <c r="L41" i="91" s="1"/>
  <c r="F33" i="86"/>
  <c r="K33" i="86" s="1"/>
  <c r="G31" i="86"/>
  <c r="L31" i="86" s="1"/>
  <c r="C26" i="86"/>
  <c r="D24" i="86"/>
  <c r="F22" i="86"/>
  <c r="K22" i="86" s="1"/>
  <c r="K99" i="86"/>
  <c r="E97" i="86"/>
  <c r="L94" i="86"/>
  <c r="G92" i="86"/>
  <c r="K89" i="86"/>
  <c r="G87" i="86"/>
  <c r="E85" i="86"/>
  <c r="D83" i="86"/>
  <c r="D81" i="86"/>
  <c r="H78" i="86"/>
  <c r="H76" i="86"/>
  <c r="E74" i="86"/>
  <c r="C72" i="86"/>
  <c r="K69" i="86"/>
  <c r="I67" i="86"/>
  <c r="H65" i="86"/>
  <c r="H63" i="86"/>
  <c r="J61" i="86"/>
  <c r="I59" i="86"/>
  <c r="G57" i="86"/>
  <c r="G55" i="86"/>
  <c r="F51" i="86"/>
  <c r="F47" i="86"/>
  <c r="D45" i="86"/>
  <c r="I45" i="86" s="1"/>
  <c r="F43" i="86"/>
  <c r="E41" i="86"/>
  <c r="E39" i="86"/>
  <c r="F37" i="86"/>
  <c r="K37" i="86" s="1"/>
  <c r="G35" i="86"/>
  <c r="H33" i="86"/>
  <c r="C28" i="86"/>
  <c r="E26" i="86"/>
  <c r="G24" i="86"/>
  <c r="L24" i="86" s="1"/>
  <c r="H22" i="86"/>
  <c r="E78" i="86"/>
  <c r="L44" i="86"/>
  <c r="D85" i="86"/>
  <c r="E59" i="86"/>
  <c r="F35" i="86"/>
  <c r="K35" i="86" s="1"/>
  <c r="I101" i="86"/>
  <c r="D99" i="86"/>
  <c r="K96" i="86"/>
  <c r="L93" i="86"/>
  <c r="H91" i="86"/>
  <c r="D89" i="86"/>
  <c r="C87" i="86"/>
  <c r="L84" i="86"/>
  <c r="F82" i="86"/>
  <c r="E80" i="86"/>
  <c r="D78" i="86"/>
  <c r="K75" i="86"/>
  <c r="K73" i="86"/>
  <c r="F71" i="86"/>
  <c r="E69" i="86"/>
  <c r="C67" i="86"/>
  <c r="E65" i="86"/>
  <c r="E63" i="86"/>
  <c r="K60" i="86"/>
  <c r="C59" i="86"/>
  <c r="L56" i="86"/>
  <c r="C55" i="86"/>
  <c r="C53" i="86"/>
  <c r="H53" i="86" s="1"/>
  <c r="K36" i="86"/>
  <c r="D35" i="86"/>
  <c r="H35" i="86" s="1"/>
  <c r="E33" i="86"/>
  <c r="J33" i="86" s="1"/>
  <c r="F31" i="86"/>
  <c r="K31" i="86" s="1"/>
  <c r="G29" i="86"/>
  <c r="L29" i="86" s="1"/>
  <c r="C22" i="86"/>
  <c r="J22" i="86" s="1"/>
  <c r="H101" i="86"/>
  <c r="L98" i="86"/>
  <c r="J96" i="86"/>
  <c r="K93" i="86"/>
  <c r="G91" i="86"/>
  <c r="C89" i="86"/>
  <c r="L86" i="86"/>
  <c r="K84" i="86"/>
  <c r="E82" i="86"/>
  <c r="C80" i="86"/>
  <c r="C78" i="86"/>
  <c r="J75" i="86"/>
  <c r="J73" i="86"/>
  <c r="D71" i="86"/>
  <c r="D69" i="86"/>
  <c r="L66" i="86"/>
  <c r="C65" i="86"/>
  <c r="D63" i="86"/>
  <c r="J60" i="86"/>
  <c r="L58" i="86"/>
  <c r="K56" i="86"/>
  <c r="G40" i="86"/>
  <c r="L40" i="86" s="1"/>
  <c r="J36" i="86"/>
  <c r="L34" i="86"/>
  <c r="C33" i="86"/>
  <c r="D31" i="86"/>
  <c r="F29" i="86"/>
  <c r="J98" i="86"/>
  <c r="L95" i="86"/>
  <c r="J93" i="86"/>
  <c r="F91" i="86"/>
  <c r="K88" i="86"/>
  <c r="J86" i="86"/>
  <c r="F84" i="86"/>
  <c r="D82" i="86"/>
  <c r="L79" i="86"/>
  <c r="K77" i="86"/>
  <c r="H75" i="86"/>
  <c r="C73" i="86"/>
  <c r="C71" i="86"/>
  <c r="K68" i="86"/>
  <c r="K66" i="86"/>
  <c r="L64" i="86"/>
  <c r="I62" i="86"/>
  <c r="I60" i="86"/>
  <c r="J58" i="86"/>
  <c r="J56" i="86"/>
  <c r="G52" i="86"/>
  <c r="G48" i="86"/>
  <c r="L48" i="86" s="1"/>
  <c r="G46" i="86"/>
  <c r="L46" i="86" s="1"/>
  <c r="I44" i="86"/>
  <c r="E42" i="86"/>
  <c r="J42" i="86" s="1"/>
  <c r="F40" i="86"/>
  <c r="K40" i="86" s="1"/>
  <c r="F38" i="86"/>
  <c r="K38" i="86" s="1"/>
  <c r="I36" i="86"/>
  <c r="E29" i="86"/>
  <c r="G27" i="86"/>
  <c r="L27" i="86" s="1"/>
  <c r="G25" i="86"/>
  <c r="L25" i="86" s="1"/>
  <c r="I98" i="86"/>
  <c r="E91" i="86"/>
  <c r="L83" i="86"/>
  <c r="J77" i="86"/>
  <c r="K70" i="86"/>
  <c r="J64" i="86"/>
  <c r="G58" i="86"/>
  <c r="F52" i="86"/>
  <c r="F46" i="86"/>
  <c r="D40" i="86"/>
  <c r="D29" i="86"/>
  <c r="I29" i="86" s="1"/>
  <c r="G23" i="86"/>
  <c r="L23" i="86" s="1"/>
  <c r="I83" i="86"/>
  <c r="D58" i="86"/>
  <c r="D34" i="86"/>
  <c r="I34" i="86" s="1"/>
  <c r="I56" i="86"/>
  <c r="C27" i="86"/>
  <c r="J27" i="86" s="1"/>
  <c r="E98" i="86"/>
  <c r="L90" i="86"/>
  <c r="K83" i="86"/>
  <c r="G77" i="86"/>
  <c r="J70" i="86"/>
  <c r="G64" i="86"/>
  <c r="F58" i="86"/>
  <c r="E52" i="86"/>
  <c r="J52" i="86" s="1"/>
  <c r="E46" i="86"/>
  <c r="J46" i="86" s="1"/>
  <c r="G34" i="86"/>
  <c r="L28" i="86"/>
  <c r="F23" i="86"/>
  <c r="J97" i="86"/>
  <c r="K76" i="86"/>
  <c r="F70" i="86"/>
  <c r="C64" i="86"/>
  <c r="C23" i="86"/>
  <c r="I23" i="86" s="1"/>
  <c r="I88" i="86"/>
  <c r="J68" i="86"/>
  <c r="C98" i="86"/>
  <c r="K90" i="86"/>
  <c r="J83" i="86"/>
  <c r="D77" i="86"/>
  <c r="H70" i="86"/>
  <c r="D64" i="86"/>
  <c r="E58" i="86"/>
  <c r="D52" i="86"/>
  <c r="H52" i="86" s="1"/>
  <c r="D46" i="86"/>
  <c r="I46" i="86" s="1"/>
  <c r="K39" i="86"/>
  <c r="E34" i="86"/>
  <c r="J34" i="86" s="1"/>
  <c r="D23" i="86"/>
  <c r="J90" i="86"/>
  <c r="J95" i="86"/>
  <c r="L81" i="86"/>
  <c r="G75" i="86"/>
  <c r="F62" i="86"/>
  <c r="F50" i="86"/>
  <c r="K50" i="86" s="1"/>
  <c r="E38" i="86"/>
  <c r="H38" i="86" s="1"/>
  <c r="I95" i="86"/>
  <c r="H88" i="86"/>
  <c r="J81" i="86"/>
  <c r="D75" i="86"/>
  <c r="H68" i="86"/>
  <c r="E62" i="86"/>
  <c r="F56" i="86"/>
  <c r="D50" i="86"/>
  <c r="I50" i="86" s="1"/>
  <c r="D38" i="86"/>
  <c r="I38" i="86" s="1"/>
  <c r="L26" i="86"/>
  <c r="H95" i="86"/>
  <c r="G88" i="86"/>
  <c r="I81" i="86"/>
  <c r="C75" i="86"/>
  <c r="F68" i="86"/>
  <c r="D62" i="86"/>
  <c r="E56" i="86"/>
  <c r="L49" i="86"/>
  <c r="C38" i="86"/>
  <c r="J26" i="86"/>
  <c r="G95" i="86"/>
  <c r="D88" i="86"/>
  <c r="H81" i="86"/>
  <c r="H74" i="86"/>
  <c r="E68" i="86"/>
  <c r="C62" i="86"/>
  <c r="K55" i="86"/>
  <c r="D32" i="86"/>
  <c r="I32" i="86" s="1"/>
  <c r="I26" i="86"/>
  <c r="K100" i="86"/>
  <c r="I93" i="86"/>
  <c r="H86" i="86"/>
  <c r="K79" i="86"/>
  <c r="L72" i="86"/>
  <c r="J66" i="86"/>
  <c r="H60" i="86"/>
  <c r="F48" i="86"/>
  <c r="K48" i="86" s="1"/>
  <c r="D42" i="86"/>
  <c r="I42" i="86" s="1"/>
  <c r="K30" i="86"/>
  <c r="D25" i="86"/>
  <c r="I25" i="86" s="1"/>
  <c r="J100" i="86"/>
  <c r="G93" i="86"/>
  <c r="E86" i="86"/>
  <c r="J79" i="86"/>
  <c r="K72" i="86"/>
  <c r="I66" i="86"/>
  <c r="G60" i="86"/>
  <c r="D54" i="86"/>
  <c r="E48" i="86"/>
  <c r="H48" i="86" s="1"/>
  <c r="L41" i="86"/>
  <c r="G36" i="86"/>
  <c r="L36" i="86" s="1"/>
  <c r="J30" i="86"/>
  <c r="C25" i="86"/>
  <c r="K25" i="86" s="1"/>
  <c r="I100" i="86"/>
  <c r="D93" i="86"/>
  <c r="C86" i="86"/>
  <c r="H79" i="86"/>
  <c r="J72" i="86"/>
  <c r="H66" i="86"/>
  <c r="F60" i="86"/>
  <c r="L47" i="86"/>
  <c r="K41" i="86"/>
  <c r="D36" i="86"/>
  <c r="H36" i="86" s="1"/>
  <c r="H30" i="86"/>
  <c r="E100" i="86"/>
  <c r="C93" i="86"/>
  <c r="K85" i="86"/>
  <c r="F79" i="86"/>
  <c r="I72" i="86"/>
  <c r="D66" i="86"/>
  <c r="E60" i="86"/>
  <c r="K47" i="86"/>
  <c r="J41" i="86"/>
  <c r="L35" i="86"/>
  <c r="G30" i="86"/>
  <c r="L30" i="86" s="1"/>
  <c r="F14" i="44"/>
  <c r="F16" i="44" s="1"/>
  <c r="E17" i="41"/>
  <c r="F16" i="41"/>
  <c r="G16" i="41" s="1"/>
  <c r="H16" i="41"/>
  <c r="N35" i="84"/>
  <c r="N34" i="84"/>
  <c r="N51" i="84"/>
  <c r="F42" i="48"/>
  <c r="F15" i="37"/>
  <c r="E69" i="37"/>
  <c r="F59" i="37"/>
  <c r="F42" i="37"/>
  <c r="F51" i="37"/>
  <c r="F29" i="37"/>
  <c r="F38" i="37"/>
  <c r="F23" i="37"/>
  <c r="F39" i="37"/>
  <c r="F62" i="37"/>
  <c r="F27" i="37"/>
  <c r="F48" i="37"/>
  <c r="F14" i="37"/>
  <c r="F65" i="37" s="1"/>
  <c r="F63" i="37"/>
  <c r="F45" i="37"/>
  <c r="F57" i="37"/>
  <c r="H25" i="40"/>
  <c r="P51" i="84"/>
  <c r="G18" i="69"/>
  <c r="F46" i="37"/>
  <c r="H51" i="40"/>
  <c r="F40" i="37"/>
  <c r="H26" i="42"/>
  <c r="H14" i="42"/>
  <c r="H19" i="42"/>
  <c r="H23" i="42"/>
  <c r="H27" i="40"/>
  <c r="H32" i="40"/>
  <c r="H27" i="42"/>
  <c r="F36" i="37"/>
  <c r="F26" i="49"/>
  <c r="F35" i="37"/>
  <c r="H16" i="42"/>
  <c r="F29" i="42"/>
  <c r="F19" i="42"/>
  <c r="F16" i="42"/>
  <c r="F25" i="42"/>
  <c r="F27" i="42"/>
  <c r="F24" i="42"/>
  <c r="F28" i="42"/>
  <c r="F14" i="42"/>
  <c r="F20" i="42"/>
  <c r="F20" i="37"/>
  <c r="H21" i="40"/>
  <c r="F61" i="37"/>
  <c r="H24" i="42"/>
  <c r="F47" i="37"/>
  <c r="F21" i="49"/>
  <c r="F16" i="37"/>
  <c r="F34" i="37"/>
  <c r="F15" i="42"/>
  <c r="H62" i="37"/>
  <c r="H38" i="37"/>
  <c r="H31" i="37"/>
  <c r="H44" i="37"/>
  <c r="H37" i="37"/>
  <c r="H21" i="37"/>
  <c r="H17" i="37"/>
  <c r="H57" i="37"/>
  <c r="H49" i="37"/>
  <c r="H28" i="37"/>
  <c r="H64" i="37"/>
  <c r="H33" i="37"/>
  <c r="H29" i="37"/>
  <c r="H42" i="37"/>
  <c r="H59" i="37"/>
  <c r="H22" i="37"/>
  <c r="H46" i="37"/>
  <c r="H36" i="37"/>
  <c r="H23" i="37"/>
  <c r="H27" i="37"/>
  <c r="H32" i="37"/>
  <c r="H53" i="37"/>
  <c r="H58" i="37"/>
  <c r="F24" i="37"/>
  <c r="H30" i="40"/>
  <c r="H14" i="37"/>
  <c r="F39" i="40"/>
  <c r="H47" i="37"/>
  <c r="H45" i="37"/>
  <c r="F52" i="37"/>
  <c r="F27" i="50"/>
  <c r="F16" i="50"/>
  <c r="F30" i="50" s="1"/>
  <c r="F22" i="50"/>
  <c r="F18" i="50"/>
  <c r="F25" i="50"/>
  <c r="F21" i="50"/>
  <c r="F28" i="50"/>
  <c r="F19" i="50"/>
  <c r="F32" i="37"/>
  <c r="F54" i="37"/>
  <c r="F37" i="37"/>
  <c r="F17" i="37"/>
  <c r="G20" i="69"/>
  <c r="H55" i="37"/>
  <c r="F23" i="46"/>
  <c r="F17" i="40"/>
  <c r="F26" i="37"/>
  <c r="H21" i="47"/>
  <c r="H63" i="37"/>
  <c r="I21" i="69"/>
  <c r="H22" i="46"/>
  <c r="H23" i="46" s="1"/>
  <c r="F41" i="37"/>
  <c r="F19" i="49"/>
  <c r="H30" i="42"/>
  <c r="H18" i="42"/>
  <c r="G17" i="69"/>
  <c r="F52" i="40"/>
  <c r="F49" i="40"/>
  <c r="F46" i="40"/>
  <c r="F43" i="40"/>
  <c r="F40" i="40"/>
  <c r="F37" i="40"/>
  <c r="F34" i="40"/>
  <c r="F31" i="40"/>
  <c r="F28" i="40"/>
  <c r="F25" i="40"/>
  <c r="F22" i="40"/>
  <c r="F55" i="40" s="1"/>
  <c r="F19" i="40"/>
  <c r="F16" i="40"/>
  <c r="F48" i="40"/>
  <c r="F35" i="40"/>
  <c r="F21" i="40"/>
  <c r="E59" i="40"/>
  <c r="F33" i="40"/>
  <c r="F29" i="40"/>
  <c r="F50" i="40"/>
  <c r="F42" i="40"/>
  <c r="F30" i="40"/>
  <c r="F47" i="40"/>
  <c r="F23" i="40"/>
  <c r="F54" i="40"/>
  <c r="F26" i="40"/>
  <c r="F18" i="40"/>
  <c r="H38" i="40"/>
  <c r="H29" i="49"/>
  <c r="F25" i="37"/>
  <c r="H24" i="37"/>
  <c r="F33" i="37"/>
  <c r="F21" i="37"/>
  <c r="F31" i="37"/>
  <c r="H22" i="42"/>
  <c r="H40" i="40"/>
  <c r="J6" i="64"/>
  <c r="J6" i="61"/>
  <c r="J6" i="79"/>
  <c r="J6" i="90"/>
  <c r="L6" i="72"/>
  <c r="J6" i="83"/>
  <c r="J6" i="46"/>
  <c r="J6" i="69"/>
  <c r="J6" i="48"/>
  <c r="L6" i="82"/>
  <c r="J6" i="89"/>
  <c r="K6" i="78"/>
  <c r="J6" i="66"/>
  <c r="J6" i="65"/>
  <c r="J6" i="40"/>
  <c r="J6" i="63"/>
  <c r="J6" i="42"/>
  <c r="J6" i="71"/>
  <c r="J6" i="87"/>
  <c r="J6" i="47"/>
  <c r="J6" i="62"/>
  <c r="J6" i="67"/>
  <c r="J6" i="84"/>
  <c r="J6" i="85"/>
  <c r="J6" i="86"/>
  <c r="J6" i="43"/>
  <c r="J6" i="44"/>
  <c r="J6" i="37"/>
  <c r="J6" i="91"/>
  <c r="J6" i="57"/>
  <c r="J6" i="49"/>
  <c r="J6" i="41"/>
  <c r="J6" i="92"/>
  <c r="J6" i="70"/>
  <c r="J6" i="50"/>
  <c r="H34" i="48"/>
  <c r="H40" i="48"/>
  <c r="H17" i="48"/>
  <c r="H31" i="48"/>
  <c r="H25" i="48"/>
  <c r="H38" i="48"/>
  <c r="H44" i="40"/>
  <c r="F53" i="37"/>
  <c r="F30" i="37"/>
  <c r="H19" i="37"/>
  <c r="F28" i="49"/>
  <c r="F24" i="49"/>
  <c r="F27" i="49"/>
  <c r="F16" i="49"/>
  <c r="F15" i="49"/>
  <c r="F17" i="49"/>
  <c r="F22" i="49"/>
  <c r="F18" i="49"/>
  <c r="F25" i="49"/>
  <c r="C37" i="57"/>
  <c r="C19" i="57"/>
  <c r="C28" i="57"/>
  <c r="F16" i="46"/>
  <c r="F49" i="37"/>
  <c r="F56" i="37"/>
  <c r="H27" i="47"/>
  <c r="H20" i="47"/>
  <c r="H28" i="47" s="1"/>
  <c r="H26" i="47"/>
  <c r="H25" i="47"/>
  <c r="H23" i="47"/>
  <c r="H56" i="37"/>
  <c r="H52" i="40"/>
  <c r="H4" i="70"/>
  <c r="J18" i="70" s="1"/>
  <c r="J17" i="70" s="1"/>
  <c r="F64" i="37"/>
  <c r="F18" i="37"/>
  <c r="F22" i="42"/>
  <c r="F23" i="49"/>
  <c r="H25" i="37"/>
  <c r="H17" i="42"/>
  <c r="F58" i="37"/>
  <c r="H41" i="37"/>
  <c r="H14" i="40"/>
  <c r="F25" i="47"/>
  <c r="F28" i="47" s="1"/>
  <c r="F14" i="49"/>
  <c r="H16" i="48"/>
  <c r="H42" i="48" s="1"/>
  <c r="H32" i="48"/>
  <c r="H48" i="37"/>
  <c r="D93" i="92"/>
  <c r="G90" i="92"/>
  <c r="E88" i="92"/>
  <c r="C86" i="92"/>
  <c r="F83" i="92"/>
  <c r="D81" i="92"/>
  <c r="G78" i="92"/>
  <c r="E76" i="92"/>
  <c r="C74" i="92"/>
  <c r="F71" i="92"/>
  <c r="D69" i="92"/>
  <c r="G66" i="92"/>
  <c r="E64" i="92"/>
  <c r="C62" i="92"/>
  <c r="F59" i="92"/>
  <c r="D57" i="92"/>
  <c r="G54" i="92"/>
  <c r="E52" i="92"/>
  <c r="C50" i="92"/>
  <c r="F47" i="92"/>
  <c r="D45" i="92"/>
  <c r="G42" i="92"/>
  <c r="E40" i="92"/>
  <c r="C38" i="92"/>
  <c r="F35" i="92"/>
  <c r="D33" i="92"/>
  <c r="G30" i="92"/>
  <c r="E28" i="92"/>
  <c r="C26" i="92"/>
  <c r="F23" i="92"/>
  <c r="D21" i="92"/>
  <c r="G18" i="92"/>
  <c r="E16" i="92"/>
  <c r="F93" i="92"/>
  <c r="C91" i="92"/>
  <c r="D88" i="92"/>
  <c r="F85" i="92"/>
  <c r="C83" i="92"/>
  <c r="E80" i="92"/>
  <c r="G77" i="92"/>
  <c r="D75" i="92"/>
  <c r="F72" i="92"/>
  <c r="C70" i="92"/>
  <c r="E67" i="92"/>
  <c r="G64" i="92"/>
  <c r="D62" i="92"/>
  <c r="E59" i="92"/>
  <c r="G56" i="92"/>
  <c r="D54" i="92"/>
  <c r="F51" i="92"/>
  <c r="C49" i="92"/>
  <c r="E46" i="92"/>
  <c r="G43" i="92"/>
  <c r="D41" i="92"/>
  <c r="F38" i="92"/>
  <c r="C36" i="92"/>
  <c r="E33" i="92"/>
  <c r="F30" i="92"/>
  <c r="C28" i="92"/>
  <c r="E25" i="92"/>
  <c r="G22" i="92"/>
  <c r="D20" i="92"/>
  <c r="F17" i="92"/>
  <c r="C15" i="92"/>
  <c r="F41" i="85" s="1"/>
  <c r="H41" i="85" s="1"/>
  <c r="D92" i="92"/>
  <c r="E89" i="92"/>
  <c r="F86" i="92"/>
  <c r="G83" i="92"/>
  <c r="G80" i="92"/>
  <c r="C78" i="92"/>
  <c r="C75" i="92"/>
  <c r="D72" i="92"/>
  <c r="E69" i="92"/>
  <c r="E66" i="92"/>
  <c r="F63" i="92"/>
  <c r="G60" i="92"/>
  <c r="C58" i="92"/>
  <c r="D55" i="92"/>
  <c r="D52" i="92"/>
  <c r="E49" i="92"/>
  <c r="F46" i="92"/>
  <c r="F43" i="92"/>
  <c r="G40" i="92"/>
  <c r="G37" i="92"/>
  <c r="C35" i="92"/>
  <c r="D32" i="92"/>
  <c r="E29" i="92"/>
  <c r="F26" i="92"/>
  <c r="G23" i="92"/>
  <c r="G20" i="92"/>
  <c r="C18" i="92"/>
  <c r="C93" i="92"/>
  <c r="C90" i="92"/>
  <c r="C87" i="92"/>
  <c r="C84" i="92"/>
  <c r="F80" i="92"/>
  <c r="E77" i="92"/>
  <c r="E74" i="92"/>
  <c r="D71" i="92"/>
  <c r="D68" i="92"/>
  <c r="D65" i="92"/>
  <c r="G61" i="92"/>
  <c r="G58" i="92"/>
  <c r="G55" i="92"/>
  <c r="G52" i="92"/>
  <c r="F49" i="92"/>
  <c r="D46" i="92"/>
  <c r="D43" i="92"/>
  <c r="C40" i="92"/>
  <c r="C37" i="92"/>
  <c r="C34" i="92"/>
  <c r="C31" i="92"/>
  <c r="F27" i="92"/>
  <c r="F24" i="92"/>
  <c r="F21" i="92"/>
  <c r="E18" i="92"/>
  <c r="E15" i="92"/>
  <c r="C92" i="92"/>
  <c r="G88" i="92"/>
  <c r="D85" i="92"/>
  <c r="C82" i="92"/>
  <c r="F78" i="92"/>
  <c r="E75" i="92"/>
  <c r="G71" i="92"/>
  <c r="E68" i="92"/>
  <c r="C65" i="92"/>
  <c r="E61" i="92"/>
  <c r="D58" i="92"/>
  <c r="F54" i="92"/>
  <c r="D51" i="92"/>
  <c r="C48" i="92"/>
  <c r="F44" i="92"/>
  <c r="E41" i="92"/>
  <c r="F37" i="92"/>
  <c r="E34" i="92"/>
  <c r="D31" i="92"/>
  <c r="E27" i="92"/>
  <c r="D24" i="92"/>
  <c r="F20" i="92"/>
  <c r="D17" i="92"/>
  <c r="G92" i="92"/>
  <c r="D89" i="92"/>
  <c r="E85" i="92"/>
  <c r="G81" i="92"/>
  <c r="D78" i="92"/>
  <c r="D74" i="92"/>
  <c r="F70" i="92"/>
  <c r="C67" i="92"/>
  <c r="D63" i="92"/>
  <c r="G59" i="92"/>
  <c r="C56" i="92"/>
  <c r="C52" i="92"/>
  <c r="E48" i="92"/>
  <c r="G44" i="92"/>
  <c r="C41" i="92"/>
  <c r="D37" i="92"/>
  <c r="F33" i="92"/>
  <c r="G29" i="92"/>
  <c r="D26" i="92"/>
  <c r="E22" i="92"/>
  <c r="C19" i="92"/>
  <c r="D15" i="92"/>
  <c r="C29" i="92"/>
  <c r="E84" i="92"/>
  <c r="F69" i="92"/>
  <c r="E58" i="92"/>
  <c r="D47" i="92"/>
  <c r="E32" i="92"/>
  <c r="E21" i="92"/>
  <c r="F92" i="92"/>
  <c r="C89" i="92"/>
  <c r="C85" i="92"/>
  <c r="F81" i="92"/>
  <c r="F77" i="92"/>
  <c r="G73" i="92"/>
  <c r="E70" i="92"/>
  <c r="F66" i="92"/>
  <c r="C63" i="92"/>
  <c r="D59" i="92"/>
  <c r="F55" i="92"/>
  <c r="G51" i="92"/>
  <c r="D48" i="92"/>
  <c r="E44" i="92"/>
  <c r="F40" i="92"/>
  <c r="G36" i="92"/>
  <c r="C33" i="92"/>
  <c r="F29" i="92"/>
  <c r="G25" i="92"/>
  <c r="D22" i="92"/>
  <c r="F18" i="92"/>
  <c r="G91" i="92"/>
  <c r="C88" i="92"/>
  <c r="C81" i="92"/>
  <c r="C77" i="92"/>
  <c r="E73" i="92"/>
  <c r="G69" i="92"/>
  <c r="C66" i="92"/>
  <c r="F62" i="92"/>
  <c r="F58" i="92"/>
  <c r="C55" i="92"/>
  <c r="C51" i="92"/>
  <c r="E47" i="92"/>
  <c r="F18" i="70" s="1"/>
  <c r="C44" i="92"/>
  <c r="G39" i="92"/>
  <c r="E36" i="92"/>
  <c r="F32" i="92"/>
  <c r="D25" i="92"/>
  <c r="G21" i="92"/>
  <c r="G17" i="92"/>
  <c r="D80" i="92"/>
  <c r="D73" i="92"/>
  <c r="E62" i="92"/>
  <c r="G50" i="92"/>
  <c r="F39" i="92"/>
  <c r="G28" i="92"/>
  <c r="E92" i="92"/>
  <c r="F88" i="92"/>
  <c r="G84" i="92"/>
  <c r="E81" i="92"/>
  <c r="D77" i="92"/>
  <c r="F73" i="92"/>
  <c r="D70" i="92"/>
  <c r="D66" i="92"/>
  <c r="G62" i="92"/>
  <c r="C59" i="92"/>
  <c r="E55" i="92"/>
  <c r="E51" i="92"/>
  <c r="G47" i="92"/>
  <c r="D44" i="92"/>
  <c r="D40" i="92"/>
  <c r="F36" i="92"/>
  <c r="G32" i="92"/>
  <c r="D29" i="92"/>
  <c r="F25" i="92"/>
  <c r="C22" i="92"/>
  <c r="D18" i="92"/>
  <c r="G87" i="92"/>
  <c r="G76" i="92"/>
  <c r="G65" i="92"/>
  <c r="E54" i="92"/>
  <c r="E43" i="92"/>
  <c r="D36" i="92"/>
  <c r="C25" i="92"/>
  <c r="E17" i="92"/>
  <c r="F84" i="92"/>
  <c r="F91" i="92"/>
  <c r="G94" i="92"/>
  <c r="E91" i="92"/>
  <c r="F87" i="92"/>
  <c r="D84" i="92"/>
  <c r="C80" i="92"/>
  <c r="F76" i="92"/>
  <c r="C73" i="92"/>
  <c r="C69" i="92"/>
  <c r="F65" i="92"/>
  <c r="F61" i="92"/>
  <c r="G57" i="92"/>
  <c r="C54" i="92"/>
  <c r="F50" i="92"/>
  <c r="C47" i="92"/>
  <c r="C43" i="92"/>
  <c r="E39" i="92"/>
  <c r="G35" i="92"/>
  <c r="C32" i="92"/>
  <c r="F28" i="92"/>
  <c r="G24" i="92"/>
  <c r="C21" i="92"/>
  <c r="C17" i="92"/>
  <c r="F94" i="92"/>
  <c r="D91" i="92"/>
  <c r="E87" i="92"/>
  <c r="E83" i="92"/>
  <c r="G79" i="92"/>
  <c r="D76" i="92"/>
  <c r="G72" i="92"/>
  <c r="G68" i="92"/>
  <c r="E65" i="92"/>
  <c r="D61" i="92"/>
  <c r="F57" i="92"/>
  <c r="G53" i="92"/>
  <c r="E50" i="92"/>
  <c r="G46" i="92"/>
  <c r="F42" i="92"/>
  <c r="D39" i="92"/>
  <c r="E35" i="92"/>
  <c r="G31" i="92"/>
  <c r="D28" i="92"/>
  <c r="E24" i="92"/>
  <c r="E20" i="92"/>
  <c r="G16" i="92"/>
  <c r="E94" i="92"/>
  <c r="F90" i="92"/>
  <c r="D87" i="92"/>
  <c r="D83" i="92"/>
  <c r="F79" i="92"/>
  <c r="C76" i="92"/>
  <c r="E72" i="92"/>
  <c r="F68" i="92"/>
  <c r="F64" i="92"/>
  <c r="C61" i="92"/>
  <c r="E57" i="92"/>
  <c r="F53" i="92"/>
  <c r="D50" i="92"/>
  <c r="C46" i="92"/>
  <c r="E42" i="92"/>
  <c r="C39" i="92"/>
  <c r="D35" i="92"/>
  <c r="F31" i="92"/>
  <c r="G27" i="92"/>
  <c r="C24" i="92"/>
  <c r="C20" i="92"/>
  <c r="F16" i="92"/>
  <c r="E93" i="92"/>
  <c r="D82" i="92"/>
  <c r="G70" i="92"/>
  <c r="C60" i="92"/>
  <c r="F48" i="92"/>
  <c r="E37" i="92"/>
  <c r="E26" i="92"/>
  <c r="F15" i="92"/>
  <c r="E90" i="92"/>
  <c r="G89" i="92"/>
  <c r="F67" i="92"/>
  <c r="E56" i="92"/>
  <c r="E45" i="92"/>
  <c r="D34" i="92"/>
  <c r="C23" i="92"/>
  <c r="C45" i="92"/>
  <c r="G82" i="92"/>
  <c r="E79" i="92"/>
  <c r="C68" i="92"/>
  <c r="C57" i="92"/>
  <c r="G45" i="92"/>
  <c r="G34" i="92"/>
  <c r="E23" i="92"/>
  <c r="F89" i="92"/>
  <c r="E78" i="92"/>
  <c r="D67" i="92"/>
  <c r="D56" i="92"/>
  <c r="G33" i="92"/>
  <c r="F22" i="92"/>
  <c r="D90" i="92"/>
  <c r="D79" i="92"/>
  <c r="G67" i="92"/>
  <c r="F56" i="92"/>
  <c r="F45" i="92"/>
  <c r="F34" i="92"/>
  <c r="D23" i="92"/>
  <c r="C79" i="92"/>
  <c r="C72" i="92"/>
  <c r="G86" i="92"/>
  <c r="G75" i="92"/>
  <c r="D64" i="92"/>
  <c r="E53" i="92"/>
  <c r="D42" i="92"/>
  <c r="E31" i="92"/>
  <c r="G19" i="92"/>
  <c r="E86" i="92"/>
  <c r="F75" i="92"/>
  <c r="C64" i="92"/>
  <c r="D53" i="92"/>
  <c r="C42" i="92"/>
  <c r="E30" i="92"/>
  <c r="F19" i="92"/>
  <c r="D86" i="92"/>
  <c r="G74" i="92"/>
  <c r="G63" i="92"/>
  <c r="C53" i="92"/>
  <c r="G41" i="92"/>
  <c r="D30" i="92"/>
  <c r="E19" i="92"/>
  <c r="G85" i="92"/>
  <c r="F74" i="92"/>
  <c r="E63" i="92"/>
  <c r="F52" i="92"/>
  <c r="F41" i="92"/>
  <c r="C30" i="92"/>
  <c r="D19" i="92"/>
  <c r="D94" i="92"/>
  <c r="F60" i="92"/>
  <c r="G49" i="92"/>
  <c r="G38" i="92"/>
  <c r="D27" i="92"/>
  <c r="D16" i="92"/>
  <c r="C94" i="92"/>
  <c r="F82" i="92"/>
  <c r="E71" i="92"/>
  <c r="E60" i="92"/>
  <c r="D49" i="92"/>
  <c r="E38" i="92"/>
  <c r="C27" i="92"/>
  <c r="C16" i="92"/>
  <c r="G93" i="92"/>
  <c r="E82" i="92"/>
  <c r="C71" i="92"/>
  <c r="D60" i="92"/>
  <c r="G48" i="92"/>
  <c r="D38" i="92"/>
  <c r="G26" i="92"/>
  <c r="G15" i="92"/>
  <c r="H34" i="40"/>
  <c r="L23" i="91" l="1"/>
  <c r="L31" i="91"/>
  <c r="L49" i="91"/>
  <c r="L33" i="91"/>
  <c r="L48" i="91"/>
  <c r="L34" i="91"/>
  <c r="L22" i="91"/>
  <c r="L43" i="91"/>
  <c r="F34" i="70"/>
  <c r="F17" i="70"/>
  <c r="H55" i="40"/>
  <c r="K53" i="86"/>
  <c r="H32" i="86"/>
  <c r="H28" i="86"/>
  <c r="J53" i="86"/>
  <c r="K51" i="86"/>
  <c r="L53" i="91"/>
  <c r="L17" i="91" s="1"/>
  <c r="F42" i="85" s="1"/>
  <c r="H42" i="85" s="1"/>
  <c r="L24" i="91"/>
  <c r="K43" i="86"/>
  <c r="J38" i="86"/>
  <c r="I24" i="86"/>
  <c r="I52" i="86"/>
  <c r="J29" i="86"/>
  <c r="H29" i="86"/>
  <c r="J39" i="86"/>
  <c r="H40" i="86"/>
  <c r="F31" i="42"/>
  <c r="L50" i="86"/>
  <c r="K46" i="86"/>
  <c r="L44" i="91"/>
  <c r="H37" i="86"/>
  <c r="F29" i="49"/>
  <c r="H41" i="86"/>
  <c r="L39" i="91"/>
  <c r="H27" i="86"/>
  <c r="K44" i="86"/>
  <c r="H39" i="86"/>
  <c r="L42" i="86"/>
  <c r="H25" i="86"/>
  <c r="L46" i="91"/>
  <c r="L53" i="86"/>
  <c r="H23" i="86"/>
  <c r="L27" i="91"/>
  <c r="H65" i="37"/>
  <c r="E18" i="41"/>
  <c r="H17" i="41"/>
  <c r="F17" i="41"/>
  <c r="H51" i="86"/>
  <c r="J37" i="86"/>
  <c r="I35" i="86"/>
  <c r="J54" i="86"/>
  <c r="H31" i="42"/>
  <c r="G21" i="69"/>
  <c r="G17" i="41" l="1"/>
  <c r="H18" i="41"/>
  <c r="E19" i="41"/>
  <c r="F18" i="41"/>
  <c r="G18" i="41" s="1"/>
  <c r="E20" i="41" l="1"/>
  <c r="F19" i="41"/>
  <c r="G19" i="41" s="1"/>
  <c r="H19" i="41"/>
  <c r="F20" i="41" l="1"/>
  <c r="G20" i="41" s="1"/>
  <c r="E21" i="41"/>
  <c r="H20" i="41"/>
  <c r="E22" i="41" l="1"/>
  <c r="H21" i="41"/>
  <c r="F21" i="41"/>
  <c r="G21" i="41" s="1"/>
  <c r="E23" i="41" l="1"/>
  <c r="H22" i="41"/>
  <c r="F22" i="41"/>
  <c r="G22" i="41" s="1"/>
  <c r="F23" i="41" l="1"/>
  <c r="G23" i="41" s="1"/>
  <c r="E24" i="41"/>
  <c r="H23" i="41"/>
  <c r="E25" i="41" l="1"/>
  <c r="F24" i="41"/>
  <c r="G24" i="41" s="1"/>
  <c r="H24" i="41"/>
  <c r="E26" i="41" l="1"/>
  <c r="F25" i="41"/>
  <c r="G25" i="41" s="1"/>
  <c r="H25" i="41"/>
  <c r="H26" i="41" l="1"/>
  <c r="F26" i="41"/>
  <c r="G26" i="41" s="1"/>
  <c r="E27" i="41"/>
  <c r="H27" i="41" l="1"/>
  <c r="E28" i="41"/>
  <c r="F27" i="41"/>
  <c r="G27" i="41" s="1"/>
  <c r="E29" i="41" l="1"/>
  <c r="H28" i="41"/>
  <c r="F28" i="41"/>
  <c r="G28" i="41" s="1"/>
  <c r="E30" i="41" l="1"/>
  <c r="H29" i="41"/>
  <c r="F29" i="41"/>
  <c r="G29" i="41" s="1"/>
  <c r="F30" i="41" l="1"/>
  <c r="G30" i="41" s="1"/>
  <c r="E31" i="41"/>
  <c r="H30" i="41"/>
  <c r="E32" i="41" l="1"/>
  <c r="H31" i="41"/>
  <c r="F31" i="41"/>
  <c r="G31" i="41" s="1"/>
  <c r="H32" i="41" l="1"/>
  <c r="F32" i="41"/>
  <c r="G32" i="41" s="1"/>
  <c r="E33" i="41"/>
  <c r="H33" i="41" l="1"/>
  <c r="F33" i="41"/>
  <c r="G33" i="41" s="1"/>
  <c r="E34" i="41"/>
  <c r="E35" i="41" l="1"/>
  <c r="F34" i="41"/>
  <c r="G34" i="41" s="1"/>
  <c r="H34" i="41"/>
  <c r="F35" i="41" l="1"/>
  <c r="G35" i="41" s="1"/>
  <c r="H35" i="41"/>
  <c r="E36" i="41"/>
  <c r="E37" i="41" l="1"/>
  <c r="H36" i="41"/>
  <c r="F36" i="41"/>
  <c r="G36" i="41" s="1"/>
  <c r="E38" i="41" l="1"/>
  <c r="F37" i="41"/>
  <c r="G37" i="41" s="1"/>
  <c r="H37" i="41"/>
  <c r="H38" i="41" l="1"/>
  <c r="H39" i="41" s="1"/>
  <c r="F38" i="41"/>
  <c r="G38" i="41" l="1"/>
  <c r="G39" i="41" s="1"/>
  <c r="F39" i="41"/>
</calcChain>
</file>

<file path=xl/sharedStrings.xml><?xml version="1.0" encoding="utf-8"?>
<sst xmlns="http://schemas.openxmlformats.org/spreadsheetml/2006/main" count="2904" uniqueCount="1679">
  <si>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</si>
  <si>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</si>
  <si>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</si>
  <si>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</si>
  <si>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</si>
  <si>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</si>
  <si>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</si>
  <si>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</si>
  <si>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</si>
  <si>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</si>
  <si>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</si>
  <si>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</si>
  <si>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</si>
  <si>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</si>
  <si>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</si>
  <si>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</si>
  <si>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</si>
  <si>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</si>
  <si>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</si>
  <si>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</si>
  <si>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</si>
  <si>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</si>
  <si>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</si>
  <si>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</si>
  <si>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</si>
  <si>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</si>
  <si>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</si>
  <si>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</si>
  <si>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</si>
  <si>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</si>
  <si>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</si>
  <si>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</si>
  <si>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</si>
  <si>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</si>
  <si>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</si>
  <si>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</si>
  <si>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</si>
  <si>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</si>
  <si>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</si>
  <si>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</si>
  <si>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</si>
  <si>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</si>
  <si>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</si>
  <si>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</si>
  <si>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</si>
  <si>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</si>
  <si>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</si>
  <si>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</si>
  <si>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</si>
  <si>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</si>
  <si>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</si>
  <si>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</si>
  <si>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</si>
  <si>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</si>
  <si>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</si>
  <si>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</si>
  <si>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</si>
  <si>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</si>
  <si>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</si>
  <si>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</si>
  <si>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</si>
  <si>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</si>
  <si>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</si>
  <si>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</si>
  <si>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</si>
  <si>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</si>
  <si>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</si>
  <si>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</si>
  <si>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</si>
  <si>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</si>
  <si>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</si>
  <si>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</si>
  <si>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</si>
  <si>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</si>
  <si>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</si>
  <si>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</si>
  <si>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</si>
  <si>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</si>
  <si>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</si>
  <si>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</si>
  <si>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</si>
  <si>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</si>
  <si>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</si>
  <si>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</si>
  <si>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</si>
  <si>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</si>
  <si>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</si>
  <si>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</si>
  <si>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</si>
  <si>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</si>
  <si>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</si>
  <si>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</si>
  <si>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</si>
  <si>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</si>
  <si>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</si>
  <si>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</si>
  <si>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</si>
  <si>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</si>
  <si>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</si>
  <si>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</si>
  <si>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</si>
  <si>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</si>
  <si>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</si>
  <si>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</si>
  <si>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</si>
  <si>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</si>
  <si>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</si>
  <si>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</si>
  <si>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</si>
  <si>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</si>
  <si>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</si>
  <si>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</si>
  <si>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</si>
  <si>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</si>
  <si>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</si>
  <si>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</si>
  <si>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</si>
  <si>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</si>
  <si>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</si>
  <si>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</si>
  <si>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</si>
  <si>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</si>
  <si>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</si>
  <si>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</si>
  <si>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</si>
  <si>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</si>
  <si>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</si>
  <si>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</si>
  <si>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</si>
  <si>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</si>
  <si>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</si>
  <si>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</si>
  <si>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</si>
  <si>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</si>
  <si>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</si>
  <si>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</si>
  <si>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</si>
  <si>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</si>
  <si>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</si>
  <si>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</si>
  <si>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</si>
  <si>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</si>
  <si>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</si>
  <si>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</si>
  <si>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</si>
  <si>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</si>
  <si>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</si>
  <si>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</si>
  <si>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</si>
  <si>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</si>
  <si>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</si>
  <si>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</si>
  <si>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</si>
  <si>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</si>
  <si>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</si>
  <si>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</si>
  <si>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</si>
  <si>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</si>
  <si>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</si>
  <si>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</si>
  <si>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</si>
  <si>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</si>
  <si>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</si>
  <si>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</si>
  <si>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</si>
  <si>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</si>
  <si>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</si>
  <si>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</si>
  <si>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</si>
  <si>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</si>
  <si>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</si>
  <si>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</si>
  <si>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</si>
  <si>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</si>
  <si>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</si>
  <si>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</si>
  <si>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</si>
  <si>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</si>
  <si>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</si>
  <si>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</si>
  <si>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</si>
  <si>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</si>
  <si>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</si>
  <si>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</si>
  <si>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</si>
  <si>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</si>
  <si>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</si>
  <si>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</si>
  <si>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</si>
  <si>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</si>
  <si>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</si>
  <si>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</si>
  <si>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</si>
  <si>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</si>
  <si>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</si>
  <si>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</si>
  <si>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</si>
  <si>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</si>
  <si>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</si>
  <si>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</si>
  <si>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</si>
  <si>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</si>
  <si>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</si>
  <si>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</si>
  <si>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</si>
  <si>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</si>
  <si>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</si>
  <si>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</si>
  <si>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</si>
  <si>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</si>
  <si>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</si>
  <si>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</si>
  <si>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</si>
  <si>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</si>
  <si>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</si>
  <si>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</si>
  <si>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</si>
  <si>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</si>
  <si>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</si>
  <si>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</si>
  <si>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</si>
  <si>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</si>
  <si>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</si>
  <si>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</si>
  <si>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</si>
  <si>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</si>
  <si>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</si>
  <si>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</si>
  <si>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</si>
  <si>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</si>
  <si>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</si>
  <si>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</si>
  <si>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</si>
  <si>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</si>
  <si>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</si>
  <si>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</si>
  <si>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</si>
  <si>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</si>
  <si>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</si>
  <si>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</si>
  <si>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</si>
  <si>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</si>
  <si>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</si>
  <si>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</si>
  <si>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</si>
  <si>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</si>
  <si>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</si>
  <si>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</si>
  <si>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</si>
  <si>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</si>
  <si>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</si>
  <si>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</si>
  <si>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</si>
  <si>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</si>
  <si>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</si>
  <si>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</si>
  <si>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</si>
  <si>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</si>
  <si>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</si>
  <si>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</si>
  <si>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</si>
  <si>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</si>
  <si>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</si>
  <si>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</si>
  <si>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</si>
  <si>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</si>
  <si>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</si>
  <si>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</si>
  <si>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</si>
  <si>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</si>
  <si>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</si>
  <si>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</si>
  <si>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</si>
  <si>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</si>
  <si>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</si>
  <si>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</si>
  <si>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</si>
  <si>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</si>
  <si>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</si>
  <si>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</si>
  <si>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</si>
  <si>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</si>
  <si>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</si>
  <si>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</si>
  <si>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</si>
  <si>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</si>
  <si>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</si>
  <si>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</si>
  <si>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</si>
  <si>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</si>
  <si>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</si>
  <si>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</si>
  <si>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</si>
  <si>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</si>
  <si>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</si>
  <si>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</si>
  <si>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</si>
  <si>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</si>
  <si>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</si>
  <si>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</si>
  <si>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</si>
  <si>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</si>
  <si>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</si>
  <si>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</si>
  <si>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</si>
  <si>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</si>
  <si>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</si>
  <si>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</si>
  <si>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</si>
  <si>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</si>
  <si>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</si>
  <si>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</si>
  <si>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</si>
  <si>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</si>
  <si>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</si>
  <si>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</si>
  <si>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</si>
  <si>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</si>
  <si>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</si>
  <si>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</si>
  <si>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</si>
  <si>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</si>
  <si>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</si>
  <si>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</si>
  <si>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</si>
  <si>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</si>
  <si>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</si>
  <si>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</si>
  <si>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</si>
  <si>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</si>
  <si>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</si>
  <si>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</si>
  <si>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</si>
  <si>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</si>
  <si>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</si>
  <si>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</si>
  <si>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</si>
  <si>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</si>
  <si>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</si>
  <si>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</si>
  <si>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</si>
  <si>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</si>
  <si>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</si>
  <si>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</si>
  <si>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</si>
  <si>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</si>
  <si>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</si>
  <si>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</si>
  <si>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</si>
  <si>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</si>
  <si>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</si>
  <si>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</si>
  <si>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</si>
  <si>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</si>
  <si>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</si>
  <si>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</si>
  <si>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</si>
  <si>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</si>
  <si>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</si>
  <si>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</si>
  <si>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</si>
  <si>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</si>
  <si>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</si>
  <si>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</si>
  <si>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</si>
  <si>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</si>
  <si>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</si>
  <si>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</si>
  <si>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</si>
  <si>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</si>
  <si>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</si>
  <si>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</si>
  <si>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</si>
  <si>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</si>
  <si>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</si>
  <si>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</si>
  <si>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</si>
  <si>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</si>
  <si>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</si>
  <si>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</si>
  <si>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</si>
  <si>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</si>
  <si>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</si>
  <si>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</si>
  <si>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</si>
  <si>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</si>
  <si>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</si>
  <si>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</si>
  <si>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</si>
  <si>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</si>
  <si>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</si>
  <si>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</si>
  <si>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</si>
  <si>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</si>
  <si>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</si>
  <si>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</si>
  <si>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</si>
  <si>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</si>
  <si>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</si>
  <si>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</si>
  <si>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</si>
  <si>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</si>
  <si>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</si>
  <si>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</si>
  <si>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</si>
  <si>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</si>
  <si>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</si>
  <si>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n.r. / n.r.</t>
  </si>
  <si>
    <t>Other Interest Payments by the Seller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</si>
  <si>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</si>
  <si>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</si>
  <si>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</si>
  <si>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</si>
  <si>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</si>
  <si>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</si>
  <si>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</si>
  <si>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</si>
  <si>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</si>
  <si>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</si>
  <si>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</si>
  <si>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</si>
  <si>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</si>
  <si>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Moody's Investors Service España, S.A.</t>
  </si>
  <si>
    <t>Set-Off Reserve Required Amount</t>
  </si>
  <si>
    <t>RTG_MDY_LT_CRA</t>
  </si>
  <si>
    <t>Class G Amount debited to the PDL</t>
  </si>
  <si>
    <t>Class G Amount credited to the PDL</t>
  </si>
  <si>
    <t>Class G PDL EoP</t>
  </si>
  <si>
    <t>Outstanding BOP</t>
  </si>
  <si>
    <t>BBB (sf) / Baa3 (sf)</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</si>
  <si>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</si>
  <si>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</si>
  <si>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</si>
  <si>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</si>
  <si>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</si>
  <si>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</si>
  <si>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</si>
  <si>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</si>
  <si>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</si>
  <si>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</si>
  <si>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</si>
  <si>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</si>
  <si>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</si>
  <si>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</si>
  <si>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</si>
  <si>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</si>
  <si>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</si>
  <si>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</si>
  <si>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</si>
  <si>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</si>
  <si>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</si>
  <si>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</si>
  <si>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Redemption Class F Notes</t>
  </si>
  <si>
    <t>Tax Call Redemption date</t>
  </si>
  <si>
    <t>In case of Rating Trigger breach: Set-Off Reserve Required Amount</t>
  </si>
  <si>
    <t xml:space="preserve">22-24 Boulevard Royal </t>
  </si>
  <si>
    <t>29 Boulevard Haussmann</t>
  </si>
  <si>
    <t>75009 Paris</t>
  </si>
  <si>
    <t>France</t>
  </si>
  <si>
    <t>Paseo de Pareda 9 - 12</t>
  </si>
  <si>
    <t xml:space="preserve">39004 Santander </t>
  </si>
  <si>
    <t>cumulative net loss ratio %</t>
  </si>
  <si>
    <t>Cumulative Net Losses</t>
  </si>
  <si>
    <t>Bank of New York Mellon</t>
  </si>
  <si>
    <t xml:space="preserve">Debit balance PDL </t>
  </si>
  <si>
    <t>Replacement</t>
  </si>
  <si>
    <t>Bank of New York Mellon SA-NV/Luxembourg</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</si>
  <si>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</si>
  <si>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</si>
  <si>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</si>
  <si>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</si>
  <si>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</si>
  <si>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</si>
  <si>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</si>
  <si>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</si>
  <si>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</si>
  <si>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</si>
  <si>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</si>
  <si>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</si>
  <si>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</si>
  <si>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</si>
  <si>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</si>
  <si>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</si>
  <si>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</si>
  <si>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</si>
  <si>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</si>
  <si>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</si>
  <si>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</si>
  <si>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</si>
  <si>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</si>
  <si>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</si>
  <si>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</si>
  <si>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</si>
  <si>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</si>
  <si>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</si>
  <si>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</si>
  <si>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</si>
  <si>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</si>
  <si>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</si>
  <si>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</si>
  <si>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</si>
  <si>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</si>
  <si>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</si>
  <si>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</si>
  <si>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</si>
  <si>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</si>
  <si>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</si>
  <si>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</si>
  <si>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</si>
  <si>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</si>
  <si>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</si>
  <si>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</si>
  <si>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</si>
  <si>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</si>
  <si>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</si>
  <si>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</si>
  <si>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</si>
  <si>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</si>
  <si>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</si>
  <si>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</si>
  <si>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</si>
  <si>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</si>
  <si>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</si>
  <si>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</si>
  <si>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</si>
  <si>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</si>
  <si>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</si>
  <si>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</si>
  <si>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</si>
  <si>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</si>
  <si>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</si>
  <si>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</si>
  <si>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</si>
  <si>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</si>
  <si>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</si>
  <si>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</si>
  <si>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</si>
  <si>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</si>
  <si>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</si>
  <si>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</si>
  <si>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</si>
  <si>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</si>
  <si>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</si>
  <si>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</si>
  <si>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</si>
  <si>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</si>
  <si>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</si>
  <si>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</si>
  <si>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</si>
  <si>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</si>
  <si>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</si>
  <si>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</si>
  <si>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</si>
  <si>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</si>
  <si>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</si>
  <si>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</si>
  <si>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</si>
  <si>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</si>
  <si>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</si>
  <si>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</si>
  <si>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</si>
  <si>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</si>
  <si>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</si>
  <si>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</si>
  <si>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</si>
  <si>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</si>
  <si>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</si>
  <si>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</si>
  <si>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</si>
  <si>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</si>
  <si>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Any debit of class G PDL equal to or higher than 0.25% on two consecutive Payment Dates</t>
  </si>
  <si>
    <t>Liquidity Reserve Amount Replenishment (Part II)</t>
  </si>
  <si>
    <t>SC Germany Consumer 2022-1</t>
  </si>
  <si>
    <t>* trigger applies for the first 25 Payment Dates following the end of the Replenishment Period</t>
  </si>
  <si>
    <t>XS2482884850</t>
  </si>
  <si>
    <t>XS2482885071</t>
  </si>
  <si>
    <t>XS2482886046</t>
  </si>
  <si>
    <t>XS2482886475</t>
  </si>
  <si>
    <t>XS2482886558</t>
  </si>
  <si>
    <t>XS2482886632</t>
  </si>
  <si>
    <t>XS2482886806</t>
  </si>
  <si>
    <t>1mE+275bp</t>
  </si>
  <si>
    <t>1mE+375bp</t>
  </si>
  <si>
    <t>1mE+550bp</t>
  </si>
  <si>
    <t>1mE+850bp</t>
  </si>
  <si>
    <t>1mE+1200bp</t>
  </si>
  <si>
    <t>1614bp</t>
  </si>
  <si>
    <t>Interest on Class B (If Most Senior Note or Class B PDL &lt; 100%)</t>
  </si>
  <si>
    <t>Amortisation of Class F</t>
  </si>
  <si>
    <t>Banco Santander, S.A.</t>
  </si>
  <si>
    <t xml:space="preserve">Ciudad Grupo Santander </t>
  </si>
  <si>
    <t>Avenida de Cantabria s/n</t>
  </si>
  <si>
    <t>Edificio Encinar</t>
  </si>
  <si>
    <t>28660, Boadilla del Monte</t>
  </si>
  <si>
    <t>UniCredit Bank AG</t>
  </si>
  <si>
    <t>Arabellastraße 12</t>
  </si>
  <si>
    <t>81925 Munich</t>
  </si>
  <si>
    <t>Ciudad Grupo Santander</t>
  </si>
  <si>
    <t>Madrid</t>
  </si>
  <si>
    <t>Phone +34 912 89 23 58</t>
  </si>
  <si>
    <t>Email: irswapscommod_doc@gruposantander.com</t>
  </si>
  <si>
    <t>SC GERMANY S.A., COMPARTMENT CONSUMER 2022-1</t>
  </si>
  <si>
    <t>AA- (sf) / Aa1 (sf)</t>
  </si>
  <si>
    <t>BB (sf) / Ba3 (sf)</t>
  </si>
  <si>
    <t>B- (sf) / B2 (sf)</t>
  </si>
  <si>
    <t>A (sf) / A1 (sf)</t>
  </si>
  <si>
    <t>F2</t>
  </si>
  <si>
    <t>Long Term or Derivative Counterparty Rating</t>
  </si>
  <si>
    <t>In case of Fitch, only one required rating must be held</t>
  </si>
  <si>
    <t>RTG_FITCH_DERIV_COUNTERPARTY</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</si>
  <si>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</si>
  <si>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</si>
  <si>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</si>
  <si>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</si>
  <si>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</si>
  <si>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</si>
  <si>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</si>
  <si>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</si>
  <si>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</si>
  <si>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</si>
  <si>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</si>
  <si>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</si>
  <si>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</si>
  <si>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</si>
  <si>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</si>
  <si>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</si>
  <si>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</si>
  <si>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 prior to or on 30 September 2023</t>
  </si>
  <si>
    <t xml:space="preserve">- from the Payment Date in Nov 2023 until (and including) the Payment Date in Oct 2024 </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</si>
  <si>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</si>
  <si>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</si>
  <si>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</si>
  <si>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Amortising</t>
  </si>
  <si>
    <t>IDCONTR_PACK</t>
  </si>
  <si>
    <t>RANGE</t>
  </si>
  <si>
    <t>_FREQ_</t>
  </si>
  <si>
    <t>RANGEVAL</t>
  </si>
  <si>
    <t>PACKAGE</t>
  </si>
  <si>
    <t>VARIABLE</t>
  </si>
  <si>
    <t>NUM</t>
  </si>
  <si>
    <t>DATE</t>
  </si>
  <si>
    <t>STRG</t>
  </si>
  <si>
    <t>F4</t>
  </si>
  <si>
    <t>F5</t>
  </si>
  <si>
    <t>F6</t>
  </si>
  <si>
    <t>F7</t>
  </si>
  <si>
    <t>F8</t>
  </si>
  <si>
    <t>F9</t>
  </si>
  <si>
    <t>F10</t>
  </si>
  <si>
    <t>POOL</t>
  </si>
  <si>
    <t>COUNTERPARTY</t>
  </si>
  <si>
    <t>RTG_MDY_ST_CRA</t>
  </si>
  <si>
    <t>RTG_FITCH_SEN_UNSECURED</t>
  </si>
  <si>
    <t>RTG_FITCH_SHORT_TERM</t>
  </si>
  <si>
    <t>RTG_DATE</t>
  </si>
  <si>
    <t>ABS_RAT</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</si>
  <si>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</si>
  <si>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</si>
  <si>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</si>
  <si>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</si>
  <si>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</si>
  <si>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</si>
  <si>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</si>
  <si>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</si>
  <si>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</si>
  <si>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</si>
  <si>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</si>
  <si>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</si>
  <si>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</si>
  <si>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</si>
  <si>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</si>
  <si>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</si>
  <si>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</si>
  <si>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</si>
  <si>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</si>
  <si>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</si>
  <si>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</si>
  <si>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</si>
  <si>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</si>
  <si>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</si>
  <si>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</si>
  <si>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</si>
  <si>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</si>
  <si>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</si>
  <si>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</si>
  <si>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</si>
  <si>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</si>
  <si>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</si>
  <si>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</si>
  <si>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</si>
  <si>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</si>
  <si>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</si>
  <si>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</si>
  <si>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</si>
  <si>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</si>
  <si>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</si>
  <si>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</si>
  <si>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</si>
  <si>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</si>
  <si>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</si>
  <si>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</si>
  <si>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</si>
  <si>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</si>
  <si>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</si>
  <si>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</si>
  <si>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</si>
  <si>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</si>
  <si>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</si>
  <si>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</si>
  <si>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</si>
  <si>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</si>
  <si>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</si>
  <si>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</si>
  <si>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</si>
  <si>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</si>
  <si>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</si>
  <si>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</si>
  <si>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</si>
  <si>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</si>
  <si>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</si>
  <si>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</si>
  <si>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</si>
  <si>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</si>
  <si>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</si>
  <si>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</si>
  <si>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</si>
  <si>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</si>
  <si>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</si>
  <si>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</si>
  <si>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</si>
  <si>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</si>
  <si>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</si>
  <si>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</si>
  <si>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</si>
  <si>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</si>
  <si>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</si>
  <si>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</si>
  <si>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</si>
  <si>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</si>
  <si>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</si>
  <si>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</si>
  <si>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</si>
  <si>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</si>
  <si>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</si>
  <si>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</si>
  <si>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</si>
  <si>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</si>
  <si>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</si>
  <si>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</si>
  <si>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</si>
  <si>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</si>
  <si>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</si>
  <si>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</si>
  <si>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</si>
  <si>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</si>
  <si>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</si>
  <si>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</si>
  <si>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</si>
  <si>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</si>
  <si>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</si>
  <si>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</si>
  <si>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portfolio_34</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</si>
  <si>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</si>
  <si>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</si>
  <si>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</si>
  <si>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</si>
  <si>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</si>
  <si>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</si>
  <si>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</si>
  <si>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</si>
  <si>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</si>
  <si>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</si>
  <si>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</si>
  <si>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</si>
  <si>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</si>
  <si>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</si>
  <si>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</si>
  <si>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</si>
  <si>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</si>
  <si>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</si>
  <si>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</si>
  <si>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</si>
  <si>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</si>
  <si>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</si>
  <si>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</si>
  <si>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</si>
  <si>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</si>
  <si>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</si>
  <si>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</si>
  <si>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</si>
  <si>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</si>
  <si>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</si>
  <si>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</si>
  <si>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</si>
  <si>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</si>
  <si>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</si>
  <si>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</si>
  <si>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</si>
  <si>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</si>
  <si>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</si>
  <si>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</si>
  <si>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</si>
  <si>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</si>
  <si>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</si>
  <si>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</si>
  <si>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</si>
  <si>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</si>
  <si>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</si>
  <si>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</si>
  <si>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</si>
  <si>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</si>
  <si>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</si>
  <si>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</si>
  <si>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</si>
  <si>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</si>
  <si>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</si>
  <si>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</si>
  <si>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</si>
  <si>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</si>
  <si>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</si>
  <si>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</si>
  <si>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</si>
  <si>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</si>
  <si>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</si>
  <si>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</si>
  <si>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</si>
  <si>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</si>
  <si>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</si>
  <si>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</si>
  <si>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</si>
  <si>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</si>
  <si>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</si>
  <si>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</si>
  <si>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</si>
  <si>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</si>
  <si>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</si>
  <si>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</si>
  <si>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</si>
  <si>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</si>
  <si>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</si>
  <si>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</si>
  <si>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</si>
  <si>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</si>
  <si>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</si>
  <si>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</si>
  <si>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</si>
  <si>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</si>
  <si>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</si>
  <si>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</si>
  <si>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</si>
  <si>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</si>
  <si>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</si>
  <si>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</si>
  <si>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</si>
  <si>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</si>
  <si>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</si>
  <si>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</si>
  <si>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</si>
  <si>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</si>
  <si>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</si>
  <si>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</si>
  <si>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</si>
  <si>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</si>
  <si>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</si>
  <si>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</si>
  <si>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</si>
  <si>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</si>
  <si>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</si>
  <si>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</si>
  <si>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</si>
  <si>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</si>
  <si>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</si>
  <si>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</si>
  <si>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</si>
  <si>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</si>
  <si>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</si>
  <si>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</si>
  <si>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</si>
  <si>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</si>
  <si>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</si>
  <si>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</si>
  <si>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</si>
  <si>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</si>
  <si>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</si>
  <si>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</si>
  <si>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</si>
  <si>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</si>
  <si>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</si>
  <si>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</si>
  <si>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</si>
  <si>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</si>
  <si>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</si>
  <si>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</si>
  <si>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</si>
  <si>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</si>
  <si>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</si>
  <si>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</si>
  <si>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</si>
  <si>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</si>
  <si>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</si>
  <si>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</si>
  <si>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</si>
  <si>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</si>
  <si>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</si>
  <si>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</si>
  <si>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</si>
  <si>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</si>
  <si>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</si>
  <si>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</si>
  <si>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</si>
  <si>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</si>
  <si>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</si>
  <si>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</si>
  <si>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</si>
  <si>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</si>
  <si>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</si>
  <si>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</si>
  <si>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</si>
  <si>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</si>
  <si>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</si>
  <si>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</si>
  <si>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</si>
  <si>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</si>
  <si>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</si>
  <si>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</si>
  <si>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</si>
  <si>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</si>
  <si>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</si>
  <si>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</si>
  <si>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</si>
  <si>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</si>
  <si>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</si>
  <si>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</si>
  <si>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</si>
  <si>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</si>
  <si>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</si>
  <si>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</si>
  <si>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</si>
  <si>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</si>
  <si>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</si>
  <si>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</si>
  <si>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</si>
  <si>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</si>
  <si>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</si>
  <si>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</si>
  <si>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</si>
  <si>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</si>
  <si>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</si>
  <si>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</si>
  <si>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</si>
  <si>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</si>
  <si>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</si>
  <si>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</si>
  <si>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</si>
  <si>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</si>
  <si>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</si>
  <si>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</si>
  <si>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</si>
  <si>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</si>
  <si>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</si>
  <si>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</si>
  <si>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</si>
  <si>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</si>
  <si>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</si>
  <si>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</si>
  <si>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</si>
  <si>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</si>
  <si>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</si>
  <si>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</si>
  <si>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</si>
  <si>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</si>
  <si>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</si>
  <si>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</si>
  <si>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</si>
  <si>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</si>
  <si>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</si>
  <si>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</si>
  <si>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</si>
  <si>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</si>
  <si>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</si>
  <si>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</si>
  <si>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</si>
  <si>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</si>
  <si>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</si>
  <si>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</si>
  <si>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</si>
  <si>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</si>
  <si>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</si>
  <si>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</si>
  <si>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</si>
  <si>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</si>
  <si>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</si>
  <si>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72:74</t>
  </si>
  <si>
    <t>75:77</t>
  </si>
  <si>
    <t>78:80</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</si>
  <si>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</si>
  <si>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</si>
  <si>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</si>
  <si>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</si>
  <si>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</si>
  <si>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</si>
  <si>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</si>
  <si>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</si>
  <si>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</si>
  <si>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</si>
  <si>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</si>
  <si>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</si>
  <si>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</si>
  <si>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</si>
  <si>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</si>
  <si>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</si>
  <si>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</si>
  <si>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</si>
  <si>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</si>
  <si>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</si>
  <si>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r>
      <t>Contact Details</t>
    </r>
    <r>
      <rPr>
        <sz val="14"/>
        <color rgb="FF000000"/>
        <rFont val="Arial"/>
        <family val="2"/>
      </rPr>
      <t xml:space="preserve"> </t>
    </r>
  </si>
  <si>
    <t>Team ABS</t>
  </si>
  <si>
    <r>
      <t>abs_ger@santander.de</t>
    </r>
    <r>
      <rPr>
        <sz val="10"/>
        <color rgb="FF000000"/>
        <rFont val="Arial"/>
        <family val="2"/>
      </rPr>
      <t xml:space="preserve"> </t>
    </r>
  </si>
  <si>
    <t>69:71</t>
  </si>
  <si>
    <t>13:</t>
  </si>
  <si>
    <t>81:</t>
  </si>
  <si>
    <t>- current Value</t>
  </si>
  <si>
    <t>yes</t>
  </si>
  <si>
    <t>Excess Spread equals WA Portfolio Yield minus Fixed Swap Rate minus WA Notes Margin.</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</si>
  <si>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</si>
  <si>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</si>
  <si>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</si>
  <si>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</si>
  <si>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0000038</t>
  </si>
  <si>
    <t xml:space="preserve">     38</t>
  </si>
  <si>
    <t>Initial</t>
  </si>
  <si>
    <t>OUTSTANDING</t>
  </si>
  <si>
    <t>SCHEDULED</t>
  </si>
  <si>
    <t>PREPAYMENTS</t>
  </si>
  <si>
    <t>COLLECTIONS</t>
  </si>
  <si>
    <t>RATE</t>
  </si>
  <si>
    <t>RTG_DBRS_SENIOR_UNSECURED</t>
  </si>
  <si>
    <t>RTG_DBRS_LT_BANK_DEPOSITS</t>
  </si>
  <si>
    <t>RTG_DBRS_ST</t>
  </si>
  <si>
    <t>RTG_DBRS_OUTLOOK</t>
  </si>
  <si>
    <t>Saxony</t>
  </si>
  <si>
    <t>portfolio_26</t>
  </si>
  <si>
    <t>portfolio_27</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</si>
  <si>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</si>
  <si>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</si>
  <si>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</si>
  <si>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</si>
  <si>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</si>
  <si>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</si>
  <si>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</si>
  <si>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</si>
  <si>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</si>
  <si>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</si>
  <si>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</si>
  <si>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</si>
  <si>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</si>
  <si>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</si>
  <si>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</si>
  <si>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</si>
  <si>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</si>
  <si>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</si>
  <si>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</si>
  <si>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</si>
  <si>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</si>
  <si>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</si>
  <si>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</si>
  <si>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</si>
  <si>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</si>
  <si>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</si>
  <si>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</si>
  <si>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</si>
  <si>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</si>
  <si>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</si>
  <si>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</si>
  <si>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</si>
  <si>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</si>
  <si>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</si>
  <si>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</si>
  <si>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</si>
  <si>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</si>
  <si>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</si>
  <si>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</si>
  <si>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</si>
  <si>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</si>
  <si>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</si>
  <si>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</si>
  <si>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</si>
  <si>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</si>
  <si>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</si>
  <si>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</si>
  <si>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</si>
  <si>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</si>
  <si>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</si>
  <si>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</si>
  <si>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</si>
  <si>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</si>
  <si>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</si>
  <si>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</si>
  <si>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</si>
  <si>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</si>
  <si>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</si>
  <si>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</si>
  <si>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</si>
  <si>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</si>
  <si>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</si>
  <si>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</si>
  <si>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</si>
  <si>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</si>
  <si>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</si>
  <si>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</si>
  <si>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</si>
  <si>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</si>
  <si>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</si>
  <si>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</si>
  <si>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</si>
  <si>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</si>
  <si>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</si>
  <si>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</si>
  <si>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</si>
  <si>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</si>
  <si>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</si>
  <si>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</si>
  <si>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</si>
  <si>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</si>
  <si>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</si>
  <si>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</si>
  <si>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</si>
  <si>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</si>
  <si>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</si>
  <si>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</si>
  <si>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</si>
  <si>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</si>
  <si>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</si>
  <si>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</si>
  <si>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</si>
  <si>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</si>
  <si>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</si>
  <si>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</si>
  <si>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</si>
  <si>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</si>
  <si>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</si>
  <si>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</si>
  <si>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</si>
  <si>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</si>
  <si>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</si>
  <si>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</si>
  <si>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</si>
  <si>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</si>
  <si>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</si>
  <si>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</si>
  <si>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</si>
  <si>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</si>
  <si>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</si>
  <si>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</si>
  <si>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</si>
  <si>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</si>
  <si>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</si>
  <si>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</si>
  <si>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</si>
  <si>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</si>
  <si>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</si>
  <si>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</si>
  <si>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</si>
  <si>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</si>
  <si>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</si>
  <si>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</si>
  <si>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</si>
  <si>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</si>
  <si>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</si>
  <si>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</si>
  <si>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</si>
  <si>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</si>
  <si>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</si>
  <si>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</si>
  <si>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</si>
  <si>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</si>
  <si>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</si>
  <si>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</si>
  <si>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</si>
  <si>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</si>
  <si>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</si>
  <si>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</si>
  <si>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</si>
  <si>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</si>
  <si>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</si>
  <si>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</si>
  <si>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</si>
  <si>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</si>
  <si>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</si>
  <si>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</si>
  <si>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</si>
  <si>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</si>
  <si>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</si>
  <si>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</si>
  <si>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</si>
  <si>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</si>
  <si>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</si>
  <si>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</si>
  <si>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</si>
  <si>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</si>
  <si>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</si>
  <si>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</si>
  <si>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</si>
  <si>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</si>
  <si>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</si>
  <si>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</si>
  <si>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</si>
  <si>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</si>
  <si>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</si>
  <si>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</si>
  <si>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</si>
  <si>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</si>
  <si>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</si>
  <si>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</si>
  <si>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</si>
  <si>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</si>
  <si>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</si>
  <si>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</si>
  <si>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</si>
  <si>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</si>
  <si>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</si>
  <si>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</si>
  <si>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</si>
  <si>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</si>
  <si>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</si>
  <si>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</si>
  <si>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</si>
  <si>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</si>
  <si>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</si>
  <si>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</si>
  <si>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</si>
  <si>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</si>
  <si>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</si>
  <si>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</si>
  <si>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</si>
  <si>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</si>
  <si>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</si>
  <si>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</si>
  <si>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</si>
  <si>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</si>
  <si>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</si>
  <si>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</si>
  <si>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</si>
  <si>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</si>
  <si>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</si>
  <si>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</si>
  <si>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</si>
  <si>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period_114</t>
  </si>
  <si>
    <t>period_115</t>
  </si>
  <si>
    <t>period_116</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</si>
  <si>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</si>
  <si>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</si>
  <si>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</si>
  <si>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</si>
  <si>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</si>
  <si>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</si>
  <si>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</si>
  <si>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</si>
  <si>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</si>
  <si>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</si>
  <si>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</si>
  <si>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</si>
  <si>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</si>
  <si>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</si>
  <si>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</si>
  <si>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</si>
  <si>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</si>
  <si>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</si>
  <si>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</si>
  <si>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</si>
  <si>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</si>
  <si>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</si>
  <si>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</si>
  <si>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</si>
  <si>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</si>
  <si>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</si>
  <si>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</si>
  <si>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</si>
  <si>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</si>
  <si>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</si>
  <si>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</si>
  <si>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</si>
  <si>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</si>
  <si>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</si>
  <si>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</si>
  <si>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</si>
  <si>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</si>
  <si>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</si>
  <si>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</si>
  <si>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</si>
  <si>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</si>
  <si>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</si>
  <si>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</si>
  <si>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</si>
  <si>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</si>
  <si>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</si>
  <si>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</si>
  <si>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</si>
  <si>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</si>
  <si>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</si>
  <si>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</si>
  <si>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</si>
  <si>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</si>
  <si>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</si>
  <si>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</si>
  <si>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</si>
  <si>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</si>
  <si>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</si>
  <si>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</si>
  <si>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</si>
  <si>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</si>
  <si>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</si>
  <si>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</si>
  <si>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</si>
  <si>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</si>
  <si>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</si>
  <si>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</si>
  <si>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</si>
  <si>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</si>
  <si>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</si>
  <si>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</si>
  <si>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</si>
  <si>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</si>
  <si>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</si>
  <si>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</si>
  <si>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</si>
  <si>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</si>
  <si>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</si>
  <si>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</si>
  <si>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</si>
  <si>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</si>
  <si>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</si>
  <si>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</si>
  <si>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</si>
  <si>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</si>
  <si>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</si>
  <si>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</si>
  <si>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</si>
  <si>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</si>
  <si>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</si>
  <si>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</si>
  <si>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</si>
  <si>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</si>
  <si>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</si>
  <si>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</si>
  <si>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</si>
  <si>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</si>
  <si>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</si>
  <si>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</si>
  <si>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</si>
  <si>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</si>
  <si>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</si>
  <si>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</si>
  <si>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</si>
  <si>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</si>
  <si>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</si>
  <si>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</si>
  <si>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</si>
  <si>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</si>
  <si>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</si>
  <si>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</si>
  <si>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</si>
  <si>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</si>
  <si>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</si>
  <si>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</si>
  <si>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</si>
  <si>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</si>
  <si>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</si>
  <si>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</si>
  <si>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</si>
  <si>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</si>
  <si>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</si>
  <si>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</si>
  <si>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</si>
  <si>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</si>
  <si>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</si>
  <si>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</si>
  <si>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</si>
  <si>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</si>
  <si>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</si>
  <si>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</si>
  <si>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</si>
  <si>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</si>
  <si>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</si>
  <si>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</si>
  <si>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</si>
  <si>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</si>
  <si>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</si>
  <si>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</si>
  <si>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</si>
  <si>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</si>
  <si>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</si>
  <si>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</si>
  <si>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</si>
  <si>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</si>
  <si>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</si>
  <si>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</si>
  <si>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</si>
  <si>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</si>
  <si>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</si>
  <si>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</si>
  <si>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</si>
  <si>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</si>
  <si>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</si>
  <si>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</si>
  <si>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</si>
  <si>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</si>
  <si>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</si>
  <si>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</si>
  <si>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</si>
  <si>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</si>
  <si>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</si>
  <si>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</si>
  <si>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</si>
  <si>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</si>
  <si>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</si>
  <si>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</si>
  <si>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</si>
  <si>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</si>
  <si>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</si>
  <si>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</si>
  <si>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</si>
  <si>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</si>
  <si>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</si>
  <si>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</si>
  <si>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</si>
  <si>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</si>
  <si>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</si>
  <si>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</si>
  <si>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</si>
  <si>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</si>
  <si>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</si>
  <si>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</si>
  <si>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</si>
  <si>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</si>
  <si>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</si>
  <si>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</si>
  <si>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</si>
  <si>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</si>
  <si>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</si>
  <si>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</si>
  <si>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</si>
  <si>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</si>
  <si>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</si>
  <si>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</si>
  <si>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</si>
  <si>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</si>
  <si>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</si>
  <si>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</si>
  <si>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</si>
  <si>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</si>
  <si>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</si>
  <si>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</si>
  <si>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</si>
  <si>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</si>
  <si>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</si>
  <si>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</si>
  <si>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</si>
  <si>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</si>
  <si>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</si>
  <si>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</si>
  <si>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</si>
  <si>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</si>
  <si>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</si>
  <si>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</si>
  <si>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</si>
  <si>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</si>
  <si>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</si>
  <si>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</si>
  <si>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</si>
  <si>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</si>
  <si>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</si>
  <si>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</si>
  <si>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</si>
  <si>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</si>
  <si>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</si>
  <si>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</si>
  <si>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</si>
  <si>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Debit_Balance_G_PDL_previous</t>
  </si>
  <si>
    <t>Debit_Balance_G_PDL_current</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</si>
  <si>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</si>
  <si>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</si>
  <si>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</si>
  <si>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</si>
  <si>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</si>
  <si>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</si>
  <si>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</si>
  <si>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</si>
  <si>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</si>
  <si>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</si>
  <si>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</si>
  <si>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</si>
  <si>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</si>
  <si>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</si>
  <si>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</si>
  <si>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</si>
  <si>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</si>
  <si>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</si>
  <si>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</si>
  <si>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</si>
  <si>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</si>
  <si>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</si>
  <si>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</si>
  <si>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</si>
  <si>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</si>
  <si>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</si>
  <si>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</si>
  <si>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</si>
  <si>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</si>
  <si>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</si>
  <si>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</si>
  <si>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</si>
  <si>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</si>
  <si>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Remaining_PreEnforcement_available_Principal_amount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</si>
  <si>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</si>
  <si>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</si>
  <si>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</si>
  <si>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</si>
  <si>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</si>
  <si>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</si>
  <si>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</si>
  <si>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</si>
  <si>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</si>
  <si>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</si>
  <si>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Liquidity_Reserve_Account_part1</t>
  </si>
  <si>
    <t>Elimination_PDL</t>
  </si>
  <si>
    <t>Liquidity_Reserve_Account_part2</t>
  </si>
  <si>
    <t>B_Interests_notes</t>
  </si>
  <si>
    <t>C_Interests_notes</t>
  </si>
  <si>
    <t>D_Interests_notes</t>
  </si>
  <si>
    <t>E_Interests_notes</t>
  </si>
  <si>
    <t>F_Interests_notes</t>
  </si>
  <si>
    <t>F_Principal_Redemption_amount</t>
  </si>
  <si>
    <t>Mezzanine_loan_interests</t>
  </si>
  <si>
    <t>G_Interests_notes</t>
  </si>
  <si>
    <t>Termination_payment</t>
  </si>
  <si>
    <t>Liqudity_Reserve_Interests</t>
  </si>
  <si>
    <t>Liqudity_Reserve_Principal</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</si>
  <si>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</si>
  <si>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</si>
  <si>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</si>
  <si>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</si>
  <si>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</si>
  <si>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</si>
  <si>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</si>
  <si>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</si>
  <si>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</si>
  <si>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Rounding_differences_previous</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</si>
  <si>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</si>
  <si>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</si>
  <si>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</si>
  <si>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</si>
  <si>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</si>
  <si>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</si>
  <si>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</si>
  <si>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</si>
  <si>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</si>
  <si>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</si>
  <si>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B_to_G_Full_Redemption</t>
  </si>
  <si>
    <t>B_Redemption_triggerbreach</t>
  </si>
  <si>
    <t>C_Redemption_triggerbreach</t>
  </si>
  <si>
    <t>D_Redemption_triggerbreach</t>
  </si>
  <si>
    <t>E_Redemption_triggerbreach</t>
  </si>
  <si>
    <t>F_prorata_Principal</t>
  </si>
  <si>
    <t>Mezzanine_loan_principal</t>
  </si>
  <si>
    <t>G_prorata_Principal</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</si>
  <si>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</si>
  <si>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</si>
  <si>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</si>
  <si>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</si>
  <si>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</si>
  <si>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</si>
  <si>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</si>
  <si>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</si>
  <si>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</si>
  <si>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</si>
  <si>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</si>
  <si>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</si>
  <si>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</si>
  <si>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</si>
  <si>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</si>
  <si>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</si>
  <si>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</si>
  <si>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</si>
  <si>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</si>
  <si>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</si>
  <si>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</si>
  <si>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</si>
  <si>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</si>
  <si>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</si>
  <si>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</si>
  <si>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</si>
  <si>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</si>
  <si>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</si>
  <si>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</si>
  <si>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</si>
  <si>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</si>
  <si>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</si>
  <si>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</si>
  <si>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</si>
  <si>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</si>
  <si>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</si>
  <si>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</si>
  <si>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</si>
  <si>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</si>
  <si>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</si>
  <si>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</si>
  <si>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</si>
  <si>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</si>
  <si>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</si>
  <si>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</si>
  <si>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</si>
  <si>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</si>
  <si>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</si>
  <si>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</si>
  <si>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</si>
  <si>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</si>
  <si>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</si>
  <si>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</si>
  <si>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</si>
  <si>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</si>
  <si>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</si>
  <si>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</si>
  <si>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</si>
  <si>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</si>
  <si>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</si>
  <si>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</si>
  <si>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portfolio_28</t>
  </si>
  <si>
    <t>portfolio_29</t>
  </si>
  <si>
    <t>portfolio_30</t>
  </si>
  <si>
    <t>portfolio_31</t>
  </si>
  <si>
    <t>portfolio_32</t>
  </si>
  <si>
    <t>portfolio_33</t>
  </si>
  <si>
    <t>A3(cr)</t>
  </si>
  <si>
    <t>A2</t>
  </si>
  <si>
    <t>P-2(cr)</t>
  </si>
  <si>
    <t>P-1</t>
  </si>
  <si>
    <t>POS</t>
  </si>
  <si>
    <t>STABLE</t>
  </si>
  <si>
    <t>A+(dcr)</t>
  </si>
  <si>
    <t>AH</t>
  </si>
  <si>
    <t>R-1M</t>
  </si>
  <si>
    <t>Aa1(cr)</t>
  </si>
  <si>
    <t>Aa2</t>
  </si>
  <si>
    <t>P-1(cr)</t>
  </si>
  <si>
    <t>AA</t>
  </si>
  <si>
    <t>F1+</t>
  </si>
  <si>
    <t>AA(dcr)</t>
  </si>
  <si>
    <t>AAH</t>
  </si>
  <si>
    <t>R-1H</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</si>
  <si>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</si>
  <si>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</si>
  <si>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</si>
  <si>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</si>
  <si>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</si>
  <si>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</si>
  <si>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</si>
  <si>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</si>
  <si>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</si>
  <si>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</si>
  <si>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</si>
  <si>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</si>
  <si>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</si>
  <si>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</si>
  <si>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</si>
  <si>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</si>
  <si>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30.06.2025, data source: Bloomberg</t>
  </si>
  <si>
    <t>A1(cr)</t>
  </si>
  <si>
    <t>A1</t>
  </si>
  <si>
    <t>A+</t>
  </si>
  <si>
    <t>NEG</t>
  </si>
  <si>
    <t>A-</t>
  </si>
  <si>
    <t>A(dcr)</t>
  </si>
  <si>
    <t>AAA (sf)/Aaa (sf)</t>
  </si>
  <si>
    <t>AA- (sf)/Aaa (sf)</t>
  </si>
  <si>
    <t>A (sf)/Aa3 (sf)</t>
  </si>
  <si>
    <t>BBB (sf)/Baa3 (sf)</t>
  </si>
  <si>
    <t>B+ (sf)/Ba3 (sf)</t>
  </si>
  <si>
    <t>CC (sf)/Caa1 (sf)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</si>
</sst>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CompatilFact LT Regular"/>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45">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2" fillId="0" borderId="0" xfId="0" quotePrefix="1" applyFont="1" applyFill="1" applyBorder="1"/>
    <xf numFmtId="0" fontId="7" fillId="0" borderId="0" xfId="0"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5"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5"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7" fillId="0" borderId="0" xfId="20" applyFont="1" applyFill="1" applyBorder="1" applyAlignment="1">
      <alignment horizontal="left" vertical="center" wrapText="1"/>
    </xf>
    <xf numFmtId="0" fontId="57"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6"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4" fontId="59" fillId="0" borderId="0" xfId="26"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0" fillId="0" borderId="0" xfId="22" applyFont="1" applyFill="1" applyBorder="1" applyAlignment="1">
      <alignment horizontal="left" vertical="center" wrapText="1"/>
    </xf>
    <xf numFmtId="0" fontId="60" fillId="0" borderId="0" xfId="18"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59"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3"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4"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5" fontId="2" fillId="0" borderId="0" xfId="23" applyNumberFormat="1" applyFont="1" applyBorder="1" applyAlignment="1">
      <alignment vertical="center"/>
    </xf>
    <xf numFmtId="0" fontId="56" fillId="0" borderId="0" xfId="23" applyFont="1" applyBorder="1" applyAlignment="1">
      <alignment vertical="center"/>
    </xf>
    <xf numFmtId="0" fontId="61" fillId="0" borderId="0" xfId="23" applyFont="1" applyBorder="1" applyAlignment="1">
      <alignment vertical="center"/>
    </xf>
    <xf numFmtId="165" fontId="2" fillId="0" borderId="5" xfId="23" applyNumberFormat="1" applyFont="1" applyBorder="1" applyAlignment="1">
      <alignment vertical="center"/>
    </xf>
    <xf numFmtId="0" fontId="61"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5"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2" fillId="0" borderId="0" xfId="22" applyFont="1" applyFill="1" applyBorder="1" applyAlignment="1">
      <alignment horizontal="left" vertical="center" wrapText="1"/>
    </xf>
    <xf numFmtId="0" fontId="62" fillId="0" borderId="0" xfId="18" applyFont="1" applyFill="1" applyBorder="1" applyAlignment="1">
      <alignment horizontal="right" vertical="center" wrapText="1"/>
    </xf>
    <xf numFmtId="0" fontId="62" fillId="0" borderId="0" xfId="20" applyFont="1" applyFill="1" applyBorder="1" applyAlignment="1">
      <alignment horizontal="right" vertical="center" wrapText="1"/>
    </xf>
    <xf numFmtId="0" fontId="62"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0" fontId="2" fillId="0" borderId="5" xfId="23"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5" fontId="2" fillId="0" borderId="0" xfId="1" applyFont="1" applyFill="1" applyBorder="1" applyAlignment="1">
      <alignment horizontal="right" vertical="center"/>
    </xf>
    <xf numFmtId="0" fontId="2" fillId="0" borderId="5" xfId="23" applyFont="1" applyFill="1" applyBorder="1" applyAlignment="1">
      <alignmen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8" fillId="0" borderId="0" xfId="23" applyFont="1" applyFill="1" applyBorder="1" applyAlignment="1">
      <alignment vertical="center"/>
    </xf>
    <xf numFmtId="4" fontId="58"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2" fillId="0" borderId="0" xfId="23" applyFont="1" applyBorder="1" applyAlignment="1">
      <alignment horizontal="right" vertical="center"/>
    </xf>
    <xf numFmtId="0" fontId="11" fillId="0" borderId="0" xfId="23" quotePrefix="1" applyFont="1" applyBorder="1" applyAlignment="1">
      <alignment vertical="center"/>
    </xf>
    <xf numFmtId="0" fontId="53"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5"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3" fillId="0" borderId="0" xfId="20" applyFont="1" applyFill="1" applyBorder="1" applyAlignment="1">
      <alignment horizontal="left" vertical="center" wrapText="1"/>
    </xf>
    <xf numFmtId="0" fontId="63"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3" applyNumberFormat="1" applyFont="1" applyFill="1" applyBorder="1" applyAlignment="1">
      <alignment vertical="center"/>
    </xf>
    <xf numFmtId="0" fontId="2" fillId="0" borderId="8" xfId="23"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65"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5"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5"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59"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3"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4" fillId="0" borderId="4" xfId="49" quotePrefix="1" applyFont="1" applyFill="1" applyBorder="1" applyAlignment="1">
      <alignment vertical="center"/>
    </xf>
    <xf numFmtId="0" fontId="53"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0" borderId="0" xfId="49" applyFont="1" applyAlignment="1">
      <alignment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6"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5"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5"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5"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84" fontId="7" fillId="0" borderId="0" xfId="49" applyNumberFormat="1" applyFont="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8" applyFont="1" applyFill="1" applyBorder="1" applyAlignment="1">
      <alignment horizontal="left" vertical="center" wrapText="1"/>
    </xf>
    <xf numFmtId="0" fontId="60" fillId="2" borderId="21" xfId="18" applyFont="1" applyFill="1" applyBorder="1" applyAlignment="1">
      <alignment horizontal="right" vertical="center" wrapText="1"/>
    </xf>
    <xf numFmtId="0" fontId="60" fillId="2" borderId="22" xfId="18" applyFont="1" applyFill="1" applyBorder="1" applyAlignment="1">
      <alignment horizontal="right" vertical="center" wrapText="1"/>
    </xf>
    <xf numFmtId="0" fontId="60" fillId="2" borderId="0" xfId="18" applyFont="1" applyFill="1" applyBorder="1" applyAlignment="1">
      <alignment horizontal="left" vertical="center" wrapText="1"/>
    </xf>
    <xf numFmtId="0" fontId="60" fillId="2" borderId="0" xfId="18" applyFont="1" applyFill="1" applyBorder="1" applyAlignment="1">
      <alignment horizontal="righ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7" applyNumberFormat="1" applyFont="1" applyBorder="1" applyAlignment="1">
      <alignment vertical="center"/>
    </xf>
    <xf numFmtId="3" fontId="7" fillId="0" borderId="24" xfId="0" applyNumberFormat="1" applyFont="1" applyBorder="1" applyAlignment="1">
      <alignment vertical="center"/>
    </xf>
    <xf numFmtId="10" fontId="7" fillId="0" borderId="25" xfId="17"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0"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2" applyFont="1" applyFill="1" applyBorder="1" applyAlignment="1">
      <alignment horizontal="left" vertical="center" wrapText="1"/>
    </xf>
    <xf numFmtId="0" fontId="60" fillId="2" borderId="27" xfId="18" applyFont="1" applyFill="1" applyBorder="1" applyAlignment="1">
      <alignment horizontal="right" vertical="center" wrapText="1"/>
    </xf>
    <xf numFmtId="0" fontId="60" fillId="2" borderId="27" xfId="20" applyFont="1" applyFill="1" applyBorder="1" applyAlignment="1">
      <alignment horizontal="right" vertical="center" wrapText="1"/>
    </xf>
    <xf numFmtId="0" fontId="60" fillId="2" borderId="30" xfId="20" applyFont="1" applyFill="1" applyBorder="1" applyAlignment="1">
      <alignment horizontal="right" vertical="center" wrapText="1"/>
    </xf>
    <xf numFmtId="0" fontId="60" fillId="2" borderId="36" xfId="22"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4" fontId="6" fillId="0" borderId="35" xfId="3" applyFont="1" applyFill="1" applyBorder="1" applyAlignment="1">
      <alignment horizontal="right" vertical="center" wrapText="1"/>
    </xf>
    <xf numFmtId="0" fontId="60" fillId="2" borderId="31" xfId="22" applyFont="1" applyFill="1" applyBorder="1" applyAlignment="1">
      <alignment vertical="center" wrapText="1"/>
    </xf>
    <xf numFmtId="0" fontId="60" fillId="0" borderId="0" xfId="2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0" fillId="2" borderId="27" xfId="22" applyFont="1" applyFill="1" applyBorder="1" applyAlignment="1">
      <alignment horizontal="right" vertical="center" wrapText="1"/>
    </xf>
    <xf numFmtId="0" fontId="60" fillId="2" borderId="28" xfId="20" applyFont="1" applyFill="1" applyBorder="1" applyAlignment="1">
      <alignment horizontal="right"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7" applyNumberFormat="1" applyFont="1" applyBorder="1" applyAlignment="1">
      <alignment vertical="center"/>
    </xf>
    <xf numFmtId="3" fontId="23" fillId="0" borderId="24" xfId="0" applyNumberFormat="1" applyFont="1" applyBorder="1" applyAlignment="1">
      <alignment vertical="center"/>
    </xf>
    <xf numFmtId="10" fontId="23" fillId="0" borderId="25" xfId="17"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8" applyFont="1" applyFill="1" applyBorder="1" applyAlignment="1">
      <alignment horizontal="right" vertical="center" wrapText="1"/>
    </xf>
    <xf numFmtId="0" fontId="60"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7" applyNumberFormat="1" applyFont="1" applyFill="1" applyBorder="1" applyAlignment="1">
      <alignment horizontal="right" vertical="center" wrapText="1"/>
    </xf>
    <xf numFmtId="0" fontId="60" fillId="2" borderId="21" xfId="20" applyFont="1" applyFill="1" applyBorder="1" applyAlignment="1">
      <alignment horizontal="right"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7" applyNumberFormat="1" applyFont="1" applyFill="1" applyBorder="1" applyAlignment="1">
      <alignment vertical="center"/>
    </xf>
    <xf numFmtId="0" fontId="60"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4"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69"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67" fontId="2" fillId="0" borderId="0" xfId="23" applyNumberFormat="1" applyFont="1" applyFill="1" applyBorder="1" applyAlignment="1">
      <alignment horizontal="center"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0" fillId="0" borderId="0" xfId="23" applyFont="1" applyFill="1" applyAlignment="1">
      <alignment horizontal="left" vertical="center"/>
    </xf>
    <xf numFmtId="0" fontId="71"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73" fontId="2" fillId="0" borderId="2" xfId="17" applyNumberFormat="1" applyFont="1" applyFill="1" applyBorder="1" applyAlignment="1">
      <alignment horizontal="center" vertical="center"/>
    </xf>
    <xf numFmtId="0" fontId="2" fillId="0" borderId="2" xfId="23" applyFont="1" applyFill="1" applyBorder="1" applyAlignment="1">
      <alignment horizontal="center" vertical="center"/>
    </xf>
    <xf numFmtId="167" fontId="2" fillId="0" borderId="2" xfId="23" applyNumberFormat="1" applyFont="1" applyFill="1" applyBorder="1" applyAlignment="1">
      <alignment horizontal="center" vertical="center"/>
    </xf>
    <xf numFmtId="10"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0" xfId="23" applyNumberFormat="1" applyFont="1" applyFill="1" applyBorder="1" applyAlignment="1">
      <alignment horizontal="center"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2"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3" fillId="0" borderId="0" xfId="23" quotePrefix="1" applyFont="1" applyFill="1" applyBorder="1" applyAlignment="1">
      <alignment vertical="center"/>
    </xf>
    <xf numFmtId="0" fontId="72" fillId="0" borderId="0" xfId="23" applyFont="1" applyFill="1" applyBorder="1" applyAlignment="1">
      <alignment vertical="center"/>
    </xf>
    <xf numFmtId="164"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4"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5"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164"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6" fillId="0" borderId="0" xfId="23" applyNumberFormat="1" applyFont="1" applyBorder="1" applyAlignment="1">
      <alignment horizontal="center" vertical="center"/>
    </xf>
    <xf numFmtId="0" fontId="7" fillId="0" borderId="0" xfId="23" applyFont="1" applyBorder="1" applyAlignment="1">
      <alignment horizontal="right" vertical="center"/>
    </xf>
    <xf numFmtId="184" fontId="2" fillId="0" borderId="0" xfId="23" applyNumberFormat="1" applyFont="1" applyBorder="1" applyAlignment="1">
      <alignment horizontal="right" vertical="center"/>
    </xf>
    <xf numFmtId="165"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60" fillId="2" borderId="58" xfId="20" applyFont="1" applyFill="1" applyBorder="1" applyAlignment="1">
      <alignment horizontal="center" vertical="center" wrapText="1"/>
    </xf>
    <xf numFmtId="0" fontId="60"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3" fontId="7" fillId="0" borderId="7" xfId="0" applyNumberFormat="1" applyFont="1" applyFill="1" applyBorder="1" applyAlignment="1">
      <alignment horizontal="right" vertical="center"/>
    </xf>
    <xf numFmtId="10" fontId="7" fillId="0" borderId="7" xfId="17" applyNumberFormat="1" applyFont="1" applyBorder="1" applyAlignment="1">
      <alignment horizontal="right" vertical="center"/>
    </xf>
    <xf numFmtId="10" fontId="2" fillId="0" borderId="8" xfId="17" applyNumberFormat="1" applyFont="1" applyBorder="1" applyAlignment="1">
      <alignment horizontal="right" vertical="center"/>
    </xf>
    <xf numFmtId="0" fontId="53"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1" fillId="0" borderId="0" xfId="17" applyNumberFormat="1" applyFont="1" applyFill="1" applyBorder="1" applyAlignment="1">
      <alignment vertical="center"/>
    </xf>
    <xf numFmtId="3" fontId="2" fillId="0" borderId="0" xfId="23" applyNumberFormat="1" applyFont="1" applyFill="1" applyBorder="1" applyAlignment="1">
      <alignment vertical="center"/>
    </xf>
    <xf numFmtId="177" fontId="2" fillId="0" borderId="0" xfId="118" applyNumberFormat="1" applyFont="1" applyBorder="1" applyAlignment="1">
      <alignment horizontal="righ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0" xfId="23" quotePrefix="1" applyFont="1" applyBorder="1" applyAlignment="1">
      <alignment vertical="center"/>
    </xf>
    <xf numFmtId="0" fontId="60" fillId="2" borderId="54" xfId="20" applyFont="1" applyFill="1" applyBorder="1" applyAlignment="1">
      <alignment horizontal="center" vertical="center" wrapText="1"/>
    </xf>
    <xf numFmtId="0" fontId="60" fillId="2" borderId="62" xfId="20" applyFont="1" applyFill="1" applyBorder="1" applyAlignment="1">
      <alignment horizontal="center" vertical="center" wrapText="1"/>
    </xf>
    <xf numFmtId="0" fontId="2" fillId="0" borderId="1" xfId="49" applyFont="1" applyFill="1" applyBorder="1" applyAlignment="1">
      <alignment horizontal="center" vertical="center"/>
    </xf>
    <xf numFmtId="10" fontId="7" fillId="0" borderId="2" xfId="17" applyNumberFormat="1" applyFont="1" applyFill="1" applyBorder="1" applyAlignment="1">
      <alignment vertical="center"/>
    </xf>
    <xf numFmtId="10" fontId="2" fillId="0" borderId="2" xfId="17" applyNumberFormat="1" applyFont="1" applyFill="1" applyBorder="1" applyAlignment="1">
      <alignment vertical="center"/>
    </xf>
    <xf numFmtId="10" fontId="2" fillId="0" borderId="3" xfId="17" applyNumberFormat="1" applyFont="1" applyFill="1" applyBorder="1" applyAlignment="1">
      <alignment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7"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7" xfId="49" applyNumberFormat="1" applyFont="1" applyBorder="1" applyAlignment="1">
      <alignment vertical="center"/>
    </xf>
    <xf numFmtId="166" fontId="2" fillId="0" borderId="0" xfId="54" applyNumberFormat="1" applyFont="1" applyFill="1" applyBorder="1" applyAlignment="1">
      <alignment horizontal="right" vertical="center"/>
    </xf>
    <xf numFmtId="166" fontId="2" fillId="0" borderId="0" xfId="54" applyNumberFormat="1" applyFont="1" applyBorder="1" applyAlignment="1">
      <alignment horizontal="right" vertical="center" wrapText="1"/>
    </xf>
    <xf numFmtId="166" fontId="2" fillId="0" borderId="0" xfId="54" applyNumberFormat="1" applyFont="1" applyBorder="1" applyAlignment="1">
      <alignment vertical="center"/>
    </xf>
    <xf numFmtId="166" fontId="7" fillId="0" borderId="7" xfId="23" applyNumberFormat="1" applyFont="1" applyBorder="1" applyAlignment="1">
      <alignment horizontal="right" vertical="center" wrapText="1"/>
    </xf>
    <xf numFmtId="166" fontId="2" fillId="0" borderId="7" xfId="23" applyNumberFormat="1" applyFont="1" applyBorder="1" applyAlignment="1">
      <alignment vertical="center"/>
    </xf>
    <xf numFmtId="166" fontId="22" fillId="0" borderId="0" xfId="9"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 fillId="0" borderId="0" xfId="9" applyNumberFormat="1" applyFont="1" applyFill="1" applyBorder="1" applyAlignment="1">
      <alignment horizontal="right" vertical="center" wrapText="1"/>
    </xf>
    <xf numFmtId="4" fontId="22" fillId="0" borderId="0" xfId="9" applyNumberFormat="1" applyFont="1" applyFill="1" applyBorder="1" applyAlignment="1">
      <alignment horizontal="center" vertical="center" wrapText="1"/>
    </xf>
    <xf numFmtId="0" fontId="9" fillId="29" borderId="0" xfId="49" applyFont="1" applyFill="1" applyAlignment="1">
      <alignment horizontal="center" vertical="center"/>
    </xf>
    <xf numFmtId="49" fontId="2" fillId="0" borderId="0" xfId="17" applyNumberFormat="1" applyFont="1" applyFill="1" applyBorder="1" applyAlignment="1">
      <alignment horizontal="center" vertical="center"/>
    </xf>
    <xf numFmtId="166" fontId="22" fillId="0" borderId="0" xfId="117"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44" fontId="2" fillId="0" borderId="0" xfId="23" applyNumberFormat="1" applyFont="1" applyFill="1" applyBorder="1" applyAlignment="1">
      <alignment horizontal="right" vertical="center"/>
    </xf>
    <xf numFmtId="44" fontId="2" fillId="0" borderId="0" xfId="119" applyNumberFormat="1" applyFont="1" applyFill="1" applyBorder="1" applyAlignment="1">
      <alignment horizontal="right" vertical="center" wrapText="1"/>
    </xf>
    <xf numFmtId="4" fontId="2" fillId="0" borderId="0" xfId="9" applyNumberFormat="1" applyFont="1" applyFill="1" applyBorder="1" applyAlignment="1">
      <alignment horizontal="left" vertical="center" wrapText="1"/>
    </xf>
    <xf numFmtId="0" fontId="6" fillId="0" borderId="9" xfId="9" applyBorder="1" applyAlignment="1">
      <alignment horizontal="center" vertical="center" wrapText="1"/>
    </xf>
    <xf numFmtId="0" fontId="2" fillId="0" borderId="9" xfId="9" applyFont="1" applyBorder="1" applyAlignment="1">
      <alignment horizontal="center" vertical="center" wrapText="1"/>
    </xf>
    <xf numFmtId="0" fontId="78" fillId="0" borderId="9" xfId="0" applyFont="1" applyBorder="1" applyAlignment="1">
      <alignment vertical="center"/>
    </xf>
    <xf numFmtId="0" fontId="6" fillId="0" borderId="9" xfId="6" applyBorder="1" applyAlignment="1">
      <alignment vertical="center" wrapText="1"/>
    </xf>
    <xf numFmtId="0" fontId="6" fillId="0" borderId="15" xfId="6" applyBorder="1" applyAlignment="1">
      <alignment vertical="center" wrapText="1"/>
    </xf>
    <xf numFmtId="0" fontId="6" fillId="0" borderId="9" xfId="5" applyBorder="1" applyAlignment="1">
      <alignment vertical="center" wrapText="1"/>
    </xf>
    <xf numFmtId="0" fontId="6" fillId="0" borderId="15" xfId="5" applyBorder="1" applyAlignment="1">
      <alignment vertical="center" wrapText="1"/>
    </xf>
    <xf numFmtId="0" fontId="6" fillId="0" borderId="9" xfId="11" applyBorder="1" applyAlignment="1">
      <alignment vertical="center" wrapText="1"/>
    </xf>
    <xf numFmtId="0" fontId="6" fillId="0" borderId="15" xfId="11" applyBorder="1" applyAlignment="1">
      <alignment vertical="center" wrapText="1"/>
    </xf>
    <xf numFmtId="0" fontId="6" fillId="0" borderId="18" xfId="11" applyBorder="1" applyAlignment="1">
      <alignment vertical="center" wrapText="1"/>
    </xf>
    <xf numFmtId="0" fontId="6" fillId="0" borderId="19" xfId="11" applyBorder="1" applyAlignment="1">
      <alignment vertical="center" wrapText="1"/>
    </xf>
    <xf numFmtId="0" fontId="6" fillId="0" borderId="9" xfId="16" applyBorder="1" applyAlignment="1">
      <alignment horizontal="center" vertical="center" wrapText="1"/>
    </xf>
    <xf numFmtId="20" fontId="6" fillId="0" borderId="9" xfId="16" applyNumberFormat="1" applyBorder="1" applyAlignment="1">
      <alignment horizontal="center" vertical="center" wrapText="1"/>
    </xf>
    <xf numFmtId="46" fontId="6" fillId="0" borderId="9" xfId="13" applyNumberFormat="1" applyBorder="1" applyAlignment="1">
      <alignment horizontal="center" vertical="center" wrapText="1"/>
    </xf>
    <xf numFmtId="1" fontId="6" fillId="0" borderId="9" xfId="12" applyNumberFormat="1" applyBorder="1" applyAlignment="1">
      <alignment horizontal="center" vertical="center" wrapText="1"/>
    </xf>
    <xf numFmtId="1" fontId="2" fillId="0" borderId="9" xfId="12" applyNumberFormat="1" applyFont="1" applyBorder="1" applyAlignment="1">
      <alignment horizontal="center" vertical="center" wrapText="1"/>
    </xf>
    <xf numFmtId="0" fontId="6" fillId="0" borderId="9" xfId="16" applyBorder="1" applyAlignment="1">
      <alignment horizontal="left" vertical="center" wrapText="1"/>
    </xf>
    <xf numFmtId="0" fontId="79" fillId="0" borderId="0" xfId="0" applyFont="1"/>
    <xf numFmtId="0" fontId="49" fillId="0" borderId="0" xfId="0" applyFont="1"/>
    <xf numFmtId="0" fontId="81" fillId="0" borderId="0" xfId="0" applyFont="1"/>
    <xf numFmtId="44" fontId="2" fillId="0" borderId="0"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116" applyNumberFormat="1" applyFont="1" applyFill="1" applyBorder="1" applyAlignment="1">
      <alignment horizontal="right" vertical="center"/>
    </xf>
    <xf numFmtId="44" fontId="2" fillId="0" borderId="7" xfId="0" applyNumberFormat="1" applyFont="1" applyFill="1" applyBorder="1" applyAlignment="1">
      <alignment vertical="center"/>
    </xf>
    <xf numFmtId="44" fontId="2" fillId="0" borderId="0" xfId="0" applyNumberFormat="1" applyFont="1" applyFill="1" applyBorder="1" applyAlignment="1">
      <alignment vertical="center"/>
    </xf>
    <xf numFmtId="44" fontId="6" fillId="0" borderId="0" xfId="21" applyNumberFormat="1" applyFont="1" applyFill="1" applyBorder="1" applyAlignment="1">
      <alignment horizontal="center" vertical="center" wrapText="1"/>
    </xf>
    <xf numFmtId="44" fontId="6" fillId="0" borderId="2" xfId="21" applyNumberFormat="1" applyFont="1" applyFill="1" applyBorder="1" applyAlignment="1">
      <alignment horizontal="center" vertical="center" wrapText="1"/>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9" fontId="6" fillId="0" borderId="9" xfId="16" applyNumberFormat="1" applyBorder="1" applyAlignment="1">
      <alignment horizontal="center" vertical="center" wrapText="1"/>
    </xf>
    <xf numFmtId="0" fontId="2" fillId="0" borderId="0" xfId="0" applyFont="1" applyBorder="1" applyAlignment="1">
      <alignment vertical="center"/>
    </xf>
    <xf numFmtId="49" fontId="2" fillId="0" borderId="0" xfId="0" applyNumberFormat="1" applyFont="1" applyAlignment="1">
      <alignment horizontal="center" vertical="center"/>
    </xf>
    <xf numFmtId="0" fontId="2" fillId="0" borderId="0" xfId="0" quotePrefix="1" applyFont="1" applyAlignment="1">
      <alignment vertical="center"/>
    </xf>
    <xf numFmtId="184" fontId="2" fillId="0" borderId="0" xfId="1" applyNumberFormat="1" applyFont="1" applyBorder="1" applyAlignment="1">
      <alignment vertical="center"/>
    </xf>
    <xf numFmtId="0" fontId="2" fillId="0" borderId="0" xfId="0" applyFont="1" applyFill="1" applyBorder="1" applyAlignment="1">
      <alignment horizontal="center" vertical="center" wrapText="1"/>
    </xf>
    <xf numFmtId="49" fontId="6" fillId="0" borderId="9" xfId="13" applyNumberFormat="1" applyBorder="1" applyAlignment="1">
      <alignment horizontal="center" vertical="center" wrapText="1"/>
    </xf>
    <xf numFmtId="185" fontId="2" fillId="0" borderId="0" xfId="0" applyNumberFormat="1" applyFont="1" applyFill="1" applyBorder="1" applyAlignment="1">
      <alignment horizontal="center" vertical="center"/>
    </xf>
    <xf numFmtId="15" fontId="0" fillId="0" borderId="0" xfId="0" applyNumberFormat="1"/>
    <xf numFmtId="44" fontId="2" fillId="0" borderId="0" xfId="0" applyNumberFormat="1" applyFont="1" applyBorder="1" applyAlignment="1">
      <alignment vertical="center"/>
    </xf>
    <xf numFmtId="14" fontId="49" fillId="0" borderId="0" xfId="9"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10" fontId="2" fillId="0" borderId="0" xfId="17" applyNumberFormat="1" applyFont="1" applyFill="1" applyBorder="1" applyAlignment="1">
      <alignment horizontal="center" vertical="center" wrapText="1"/>
    </xf>
    <xf numFmtId="0" fontId="82" fillId="0" borderId="0" xfId="0" applyFont="1" applyAlignment="1">
      <alignment vertical="center"/>
    </xf>
    <xf numFmtId="0" fontId="82" fillId="0" borderId="0" xfId="0" applyFont="1"/>
    <xf numFmtId="0" fontId="83" fillId="0" borderId="0" xfId="2" applyFont="1" applyAlignment="1" applyProtection="1">
      <alignment vertical="center"/>
    </xf>
    <xf numFmtId="0" fontId="2" fillId="0" borderId="33" xfId="23" applyFont="1" applyFill="1" applyBorder="1" applyAlignment="1">
      <alignment vertical="center"/>
    </xf>
    <xf numFmtId="0" fontId="2" fillId="0" borderId="34" xfId="23" applyFont="1" applyFill="1" applyBorder="1" applyAlignment="1">
      <alignmen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42" xfId="23" applyFont="1" applyBorder="1" applyAlignment="1">
      <alignment vertical="center"/>
    </xf>
    <xf numFmtId="0" fontId="2" fillId="0" borderId="34" xfId="23" quotePrefix="1" applyFont="1" applyBorder="1" applyAlignment="1">
      <alignment vertical="center"/>
    </xf>
    <xf numFmtId="0" fontId="8" fillId="0" borderId="42" xfId="23" applyFont="1" applyBorder="1" applyAlignment="1">
      <alignment vertical="center"/>
    </xf>
    <xf numFmtId="0" fontId="2" fillId="0" borderId="0" xfId="0" applyFont="1" applyBorder="1" applyAlignment="1">
      <alignment vertical="center"/>
    </xf>
    <xf numFmtId="0" fontId="2" fillId="0" borderId="65" xfId="0" applyFont="1" applyBorder="1" applyAlignment="1">
      <alignment horizontal="center" vertical="center"/>
    </xf>
    <xf numFmtId="44" fontId="2" fillId="0" borderId="33" xfId="0" applyNumberFormat="1" applyFont="1" applyBorder="1" applyAlignment="1">
      <alignment vertical="center"/>
    </xf>
    <xf numFmtId="10" fontId="2" fillId="0" borderId="66" xfId="17"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165"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44" fontId="2" fillId="0" borderId="7" xfId="0" applyNumberFormat="1" applyFont="1" applyBorder="1" applyAlignment="1">
      <alignment vertical="center"/>
    </xf>
    <xf numFmtId="44" fontId="2" fillId="0" borderId="2" xfId="0" applyNumberFormat="1" applyFont="1" applyFill="1" applyBorder="1" applyAlignment="1">
      <alignment vertical="center"/>
    </xf>
    <xf numFmtId="0" fontId="2" fillId="0" borderId="0" xfId="0" applyFont="1" applyBorder="1" applyAlignment="1">
      <alignment vertical="center"/>
    </xf>
    <xf numFmtId="0" fontId="60" fillId="2" borderId="54" xfId="20" applyFont="1" applyFill="1" applyBorder="1" applyAlignment="1">
      <alignment horizontal="center" vertical="center" wrapText="1"/>
    </xf>
    <xf numFmtId="0" fontId="60" fillId="2" borderId="57" xfId="20" applyFont="1" applyFill="1" applyBorder="1" applyAlignment="1">
      <alignment horizontal="center" vertical="center" wrapText="1"/>
    </xf>
    <xf numFmtId="0" fontId="2" fillId="0" borderId="59" xfId="0" applyFont="1" applyBorder="1" applyAlignment="1">
      <alignment vertical="center"/>
    </xf>
    <xf numFmtId="0" fontId="60" fillId="2" borderId="62" xfId="20" applyFont="1" applyFill="1" applyBorder="1" applyAlignment="1">
      <alignment horizontal="center" vertical="center" wrapText="1"/>
    </xf>
    <xf numFmtId="0" fontId="60" fillId="2" borderId="63" xfId="20" applyFont="1" applyFill="1" applyBorder="1" applyAlignment="1">
      <alignment horizontal="center" vertical="center" wrapText="1"/>
    </xf>
    <xf numFmtId="0" fontId="60" fillId="2" borderId="59" xfId="20" applyFont="1" applyFill="1" applyBorder="1" applyAlignment="1">
      <alignment horizontal="center" vertical="center" wrapText="1"/>
    </xf>
    <xf numFmtId="0" fontId="60" fillId="2" borderId="55" xfId="20" applyFont="1" applyFill="1" applyBorder="1" applyAlignment="1">
      <alignment horizontal="center" vertical="center" wrapText="1"/>
    </xf>
    <xf numFmtId="0" fontId="60" fillId="2" borderId="56" xfId="20" applyFont="1" applyFill="1" applyBorder="1" applyAlignment="1">
      <alignment horizontal="center" vertical="center" wrapText="1"/>
    </xf>
    <xf numFmtId="0" fontId="60" fillId="2" borderId="35"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49" fontId="47" fillId="0" borderId="0" xfId="23"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0" borderId="0" xfId="20"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C000000}"/>
    <cellStyle name="Eingabe 2" xfId="82" xr:uid="{00000000-0005-0000-0000-00001D000000}"/>
    <cellStyle name="Ergebnis 2" xfId="83" xr:uid="{00000000-0005-0000-0000-00001E000000}"/>
    <cellStyle name="Erklärender Text 2" xfId="84" xr:uid="{00000000-0005-0000-0000-00001F000000}"/>
    <cellStyle name="Euro" xfId="1" xr:uid="{00000000-0005-0000-0000-000020000000}"/>
    <cellStyle name="Euro 2" xfId="25" xr:uid="{00000000-0005-0000-0000-000021000000}"/>
    <cellStyle name="Euro 2 2" xfId="33" xr:uid="{00000000-0005-0000-0000-000022000000}"/>
    <cellStyle name="Euro 2 3" xfId="118" xr:uid="{00000000-0005-0000-0000-000023000000}"/>
    <cellStyle name="Euro 3" xfId="34" xr:uid="{00000000-0005-0000-0000-000024000000}"/>
    <cellStyle name="Euro 3 2" xfId="85" xr:uid="{00000000-0005-0000-0000-000025000000}"/>
    <cellStyle name="Euro 4" xfId="35" xr:uid="{00000000-0005-0000-0000-000026000000}"/>
    <cellStyle name="Euro 5" xfId="86" xr:uid="{00000000-0005-0000-0000-000027000000}"/>
    <cellStyle name="Euro 6" xfId="116" xr:uid="{00000000-0005-0000-0000-000028000000}"/>
    <cellStyle name="Gut 2" xfId="87" xr:uid="{00000000-0005-0000-0000-000029000000}"/>
    <cellStyle name="Hyperlink 2" xfId="88" xr:uid="{00000000-0005-0000-0000-00002A000000}"/>
    <cellStyle name="Komma" xfId="3" builtinId="3"/>
    <cellStyle name="Komma 2" xfId="24" xr:uid="{00000000-0005-0000-0000-00002C000000}"/>
    <cellStyle name="Komma 2 2" xfId="36" xr:uid="{00000000-0005-0000-0000-00002D000000}"/>
    <cellStyle name="Komma 3" xfId="26" xr:uid="{00000000-0005-0000-0000-00002E000000}"/>
    <cellStyle name="Komma 3 2" xfId="37" xr:uid="{00000000-0005-0000-0000-00002F000000}"/>
    <cellStyle name="Komma 4" xfId="38" xr:uid="{00000000-0005-0000-0000-000030000000}"/>
    <cellStyle name="Komma 4 2" xfId="89" xr:uid="{00000000-0005-0000-0000-000031000000}"/>
    <cellStyle name="Komma 4 3" xfId="90" xr:uid="{00000000-0005-0000-0000-000032000000}"/>
    <cellStyle name="Komma 5" xfId="39" xr:uid="{00000000-0005-0000-0000-000033000000}"/>
    <cellStyle name="Komma 6" xfId="91" xr:uid="{00000000-0005-0000-0000-000034000000}"/>
    <cellStyle name="Komma 7" xfId="92" xr:uid="{00000000-0005-0000-0000-000035000000}"/>
    <cellStyle name="Komma 8" xfId="93" xr:uid="{00000000-0005-0000-0000-000036000000}"/>
    <cellStyle name="Komma 9" xfId="115" xr:uid="{00000000-0005-0000-0000-000037000000}"/>
    <cellStyle name="Link" xfId="2" builtinId="8"/>
    <cellStyle name="Multiple" xfId="40" xr:uid="{00000000-0005-0000-0000-000039000000}"/>
    <cellStyle name="Neutral 2" xfId="94"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3000000}"/>
    <cellStyle name="Normal_Remaining Term_1" xfId="12" xr:uid="{00000000-0005-0000-0000-000044000000}"/>
    <cellStyle name="Normal_Seasoning_1" xfId="13" xr:uid="{00000000-0005-0000-0000-000045000000}"/>
    <cellStyle name="Normal_Sheet1" xfId="14" xr:uid="{00000000-0005-0000-0000-000046000000}"/>
    <cellStyle name="Normal_Yield" xfId="15" xr:uid="{00000000-0005-0000-0000-000047000000}"/>
    <cellStyle name="Normal_Yield_1" xfId="16" xr:uid="{00000000-0005-0000-0000-000048000000}"/>
    <cellStyle name="Notiz 2" xfId="95" xr:uid="{00000000-0005-0000-0000-000049000000}"/>
    <cellStyle name="Page Heading Large" xfId="41" xr:uid="{00000000-0005-0000-0000-00004A000000}"/>
    <cellStyle name="Page Heading Small" xfId="42" xr:uid="{00000000-0005-0000-0000-00004B000000}"/>
    <cellStyle name="Percent Hard" xfId="43" xr:uid="{00000000-0005-0000-0000-00004C000000}"/>
    <cellStyle name="Prozent" xfId="17" builtinId="5"/>
    <cellStyle name="Prozent 2" xfId="27" xr:uid="{00000000-0005-0000-0000-00004E000000}"/>
    <cellStyle name="Prozent 2 2" xfId="44" xr:uid="{00000000-0005-0000-0000-00004F000000}"/>
    <cellStyle name="Prozent 3" xfId="28" xr:uid="{00000000-0005-0000-0000-000050000000}"/>
    <cellStyle name="Prozent 3 2" xfId="45" xr:uid="{00000000-0005-0000-0000-000051000000}"/>
    <cellStyle name="Prozent 4" xfId="46" xr:uid="{00000000-0005-0000-0000-000052000000}"/>
    <cellStyle name="Prozent 4 2" xfId="96" xr:uid="{00000000-0005-0000-0000-000053000000}"/>
    <cellStyle name="Prozent 4 3" xfId="97" xr:uid="{00000000-0005-0000-0000-000054000000}"/>
    <cellStyle name="Prozent 5" xfId="47" xr:uid="{00000000-0005-0000-0000-000055000000}"/>
    <cellStyle name="Prozent 6" xfId="98" xr:uid="{00000000-0005-0000-0000-000056000000}"/>
    <cellStyle name="Prozent 7" xfId="99" xr:uid="{00000000-0005-0000-0000-000057000000}"/>
    <cellStyle name="Prozent 8" xfId="100" xr:uid="{00000000-0005-0000-0000-000058000000}"/>
    <cellStyle name="Schlecht 2" xfId="101" xr:uid="{00000000-0005-0000-0000-000059000000}"/>
    <cellStyle name="Shaded" xfId="48" xr:uid="{00000000-0005-0000-0000-00005A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2000000}"/>
    <cellStyle name="Währung 3" xfId="111" xr:uid="{00000000-0005-0000-0000-000073000000}"/>
    <cellStyle name="Währung 4" xfId="112" xr:uid="{00000000-0005-0000-0000-000074000000}"/>
    <cellStyle name="Währung 5" xfId="117" xr:uid="{00000000-0005-0000-0000-000075000000}"/>
    <cellStyle name="Warnender Text 2" xfId="113" xr:uid="{00000000-0005-0000-0000-000076000000}"/>
    <cellStyle name="Year" xfId="55" xr:uid="{00000000-0005-0000-0000-000077000000}"/>
    <cellStyle name="Zelle überprüfen 2" xfId="114" xr:uid="{00000000-0005-0000-0000-000078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1154238.5900000005</c:v>
                </c:pt>
                <c:pt idx="1">
                  <c:v>9986688.4399998989</c:v>
                </c:pt>
                <c:pt idx="2">
                  <c:v>20672600.990000237</c:v>
                </c:pt>
                <c:pt idx="3">
                  <c:v>24941471.139999934</c:v>
                </c:pt>
                <c:pt idx="4">
                  <c:v>23649747.909999952</c:v>
                </c:pt>
                <c:pt idx="5">
                  <c:v>36487579.879999869</c:v>
                </c:pt>
                <c:pt idx="6">
                  <c:v>27266395.930000085</c:v>
                </c:pt>
                <c:pt idx="7">
                  <c:v>34231411.120000109</c:v>
                </c:pt>
                <c:pt idx="8">
                  <c:v>25138186.51000002</c:v>
                </c:pt>
                <c:pt idx="9">
                  <c:v>25081337.710000005</c:v>
                </c:pt>
                <c:pt idx="10">
                  <c:v>43112739.78999979</c:v>
                </c:pt>
                <c:pt idx="11">
                  <c:v>27193386.110000037</c:v>
                </c:pt>
                <c:pt idx="12">
                  <c:v>39080984.080000021</c:v>
                </c:pt>
                <c:pt idx="13">
                  <c:v>27818195.140000083</c:v>
                </c:pt>
                <c:pt idx="14">
                  <c:v>26311698.429999974</c:v>
                </c:pt>
                <c:pt idx="15">
                  <c:v>42194252.980000056</c:v>
                </c:pt>
                <c:pt idx="16">
                  <c:v>22870471.580000009</c:v>
                </c:pt>
                <c:pt idx="17">
                  <c:v>27754333.979999971</c:v>
                </c:pt>
                <c:pt idx="18">
                  <c:v>22508283.479999971</c:v>
                </c:pt>
                <c:pt idx="19">
                  <c:v>18299454.479999997</c:v>
                </c:pt>
                <c:pt idx="20">
                  <c:v>29264186.219999883</c:v>
                </c:pt>
                <c:pt idx="21">
                  <c:v>17700395.199999988</c:v>
                </c:pt>
                <c:pt idx="22">
                  <c:v>22563158.689999986</c:v>
                </c:pt>
                <c:pt idx="23">
                  <c:v>17102212.669999994</c:v>
                </c:pt>
                <c:pt idx="24">
                  <c:v>16564611.329999993</c:v>
                </c:pt>
                <c:pt idx="25">
                  <c:v>30107778.679999985</c:v>
                </c:pt>
                <c:pt idx="26">
                  <c:v>16235543.450000012</c:v>
                </c:pt>
                <c:pt idx="27">
                  <c:v>15937512.770000009</c:v>
                </c:pt>
                <c:pt idx="28">
                  <c:v>11284322.539999997</c:v>
                </c:pt>
                <c:pt idx="29">
                  <c:v>11483560.930000005</c:v>
                </c:pt>
                <c:pt idx="30">
                  <c:v>21257506.939999986</c:v>
                </c:pt>
                <c:pt idx="31">
                  <c:v>10830137.660000004</c:v>
                </c:pt>
                <c:pt idx="32">
                  <c:v>12071615.290000001</c:v>
                </c:pt>
                <c:pt idx="33">
                  <c:v>7697424.9200000046</c:v>
                </c:pt>
                <c:pt idx="34">
                  <c:v>7368612.6900000023</c:v>
                </c:pt>
                <c:pt idx="35">
                  <c:v>11134358.479999999</c:v>
                </c:pt>
                <c:pt idx="36">
                  <c:v>6706021.5299999975</c:v>
                </c:pt>
                <c:pt idx="37">
                  <c:v>17461296.07</c:v>
                </c:pt>
                <c:pt idx="38">
                  <c:v>3928054.3500000006</c:v>
                </c:pt>
                <c:pt idx="39">
                  <c:v>5838825.4899999946</c:v>
                </c:pt>
                <c:pt idx="40">
                  <c:v>3875772.9500000007</c:v>
                </c:pt>
                <c:pt idx="41">
                  <c:v>2489213.0300000003</c:v>
                </c:pt>
                <c:pt idx="42">
                  <c:v>4162081.8699999996</c:v>
                </c:pt>
                <c:pt idx="43">
                  <c:v>2435971.5200000005</c:v>
                </c:pt>
                <c:pt idx="44">
                  <c:v>1780097.41</c:v>
                </c:pt>
                <c:pt idx="45">
                  <c:v>815162.87</c:v>
                </c:pt>
                <c:pt idx="46">
                  <c:v>650577.41999999993</c:v>
                </c:pt>
                <c:pt idx="47">
                  <c:v>472719.93999999994</c:v>
                </c:pt>
                <c:pt idx="48">
                  <c:v>484511.36</c:v>
                </c:pt>
                <c:pt idx="49">
                  <c:v>295906.86</c:v>
                </c:pt>
                <c:pt idx="50">
                  <c:v>1840523.4200000002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164806408"/>
        <c:axId val="1164806800"/>
      </c:barChart>
      <c:catAx>
        <c:axId val="11648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806800"/>
        <c:crosses val="autoZero"/>
        <c:auto val="1"/>
        <c:lblAlgn val="ctr"/>
        <c:lblOffset val="100"/>
        <c:tickLblSkip val="1"/>
        <c:tickMarkSkip val="1"/>
        <c:noMultiLvlLbl val="0"/>
      </c:catAx>
      <c:valAx>
        <c:axId val="116480680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806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6616777.5599999931</c:v>
                </c:pt>
                <c:pt idx="1">
                  <c:v>16828090.979999956</c:v>
                </c:pt>
                <c:pt idx="2">
                  <c:v>22729440.870000023</c:v>
                </c:pt>
                <c:pt idx="3">
                  <c:v>26253293.099999957</c:v>
                </c:pt>
                <c:pt idx="4">
                  <c:v>25188498.910000037</c:v>
                </c:pt>
                <c:pt idx="5">
                  <c:v>26766297.949999996</c:v>
                </c:pt>
                <c:pt idx="6">
                  <c:v>29204196.339999985</c:v>
                </c:pt>
                <c:pt idx="7">
                  <c:v>28293024.520000007</c:v>
                </c:pt>
                <c:pt idx="8">
                  <c:v>28748588.440000039</c:v>
                </c:pt>
                <c:pt idx="9">
                  <c:v>28567155.08000005</c:v>
                </c:pt>
                <c:pt idx="10">
                  <c:v>27012363.649999987</c:v>
                </c:pt>
                <c:pt idx="11">
                  <c:v>23889330.09000003</c:v>
                </c:pt>
                <c:pt idx="12">
                  <c:v>21512796.680000011</c:v>
                </c:pt>
                <c:pt idx="13">
                  <c:v>20285217.369999975</c:v>
                </c:pt>
                <c:pt idx="14">
                  <c:v>18958891.969999999</c:v>
                </c:pt>
                <c:pt idx="15">
                  <c:v>19467118.580000017</c:v>
                </c:pt>
                <c:pt idx="16">
                  <c:v>19856547.850000001</c:v>
                </c:pt>
                <c:pt idx="17">
                  <c:v>17454399.189999998</c:v>
                </c:pt>
                <c:pt idx="18">
                  <c:v>15142667.830000008</c:v>
                </c:pt>
                <c:pt idx="19">
                  <c:v>14252932.600000009</c:v>
                </c:pt>
                <c:pt idx="20">
                  <c:v>11351469.470000001</c:v>
                </c:pt>
                <c:pt idx="21">
                  <c:v>10907555.019999988</c:v>
                </c:pt>
                <c:pt idx="22">
                  <c:v>9768966.2800000012</c:v>
                </c:pt>
                <c:pt idx="23">
                  <c:v>8700144.2599999961</c:v>
                </c:pt>
                <c:pt idx="24">
                  <c:v>7783913.629999999</c:v>
                </c:pt>
                <c:pt idx="25">
                  <c:v>6147358.2299999977</c:v>
                </c:pt>
                <c:pt idx="26">
                  <c:v>5241783.540000001</c:v>
                </c:pt>
                <c:pt idx="27">
                  <c:v>3794952.2800000003</c:v>
                </c:pt>
                <c:pt idx="28">
                  <c:v>3189071.7500000009</c:v>
                </c:pt>
                <c:pt idx="29">
                  <c:v>1762669.4700000004</c:v>
                </c:pt>
                <c:pt idx="30">
                  <c:v>1953877.6400000001</c:v>
                </c:pt>
                <c:pt idx="31">
                  <c:v>1134655.8499999999</c:v>
                </c:pt>
                <c:pt idx="32">
                  <c:v>1296064.45</c:v>
                </c:pt>
                <c:pt idx="33">
                  <c:v>1004096.0299999999</c:v>
                </c:pt>
                <c:pt idx="34">
                  <c:v>552590.40999999992</c:v>
                </c:pt>
                <c:pt idx="35">
                  <c:v>211574.99</c:v>
                </c:pt>
                <c:pt idx="36">
                  <c:v>147421.62</c:v>
                </c:pt>
                <c:pt idx="37">
                  <c:v>151647.16</c:v>
                </c:pt>
                <c:pt idx="38">
                  <c:v>0</c:v>
                </c:pt>
                <c:pt idx="39">
                  <c:v>79381.03</c:v>
                </c:pt>
                <c:pt idx="40">
                  <c:v>712655.2</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1164802488"/>
        <c:axId val="1164799352"/>
      </c:barChart>
      <c:catAx>
        <c:axId val="1164802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99352"/>
        <c:crosses val="autoZero"/>
        <c:auto val="1"/>
        <c:lblAlgn val="ctr"/>
        <c:lblOffset val="100"/>
        <c:tickLblSkip val="1"/>
        <c:tickMarkSkip val="1"/>
        <c:noMultiLvlLbl val="0"/>
      </c:catAx>
      <c:valAx>
        <c:axId val="116479935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802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69385945.230000094</c:v>
                </c:pt>
                <c:pt idx="1">
                  <c:v>71702426.210000202</c:v>
                </c:pt>
                <c:pt idx="2">
                  <c:v>20159317.20999999</c:v>
                </c:pt>
                <c:pt idx="3">
                  <c:v>19258242.259999983</c:v>
                </c:pt>
                <c:pt idx="4">
                  <c:v>4326219.9400000004</c:v>
                </c:pt>
                <c:pt idx="5">
                  <c:v>10078486.570000004</c:v>
                </c:pt>
                <c:pt idx="6">
                  <c:v>38377751.759999938</c:v>
                </c:pt>
                <c:pt idx="7">
                  <c:v>50522966.389999881</c:v>
                </c:pt>
                <c:pt idx="8">
                  <c:v>15450363.869999988</c:v>
                </c:pt>
                <c:pt idx="9">
                  <c:v>110728731.31999962</c:v>
                </c:pt>
                <c:pt idx="10">
                  <c:v>25435522.969999958</c:v>
                </c:pt>
                <c:pt idx="11">
                  <c:v>8622140.3400000054</c:v>
                </c:pt>
                <c:pt idx="12">
                  <c:v>19827928.729999989</c:v>
                </c:pt>
                <c:pt idx="13">
                  <c:v>16918614.439999983</c:v>
                </c:pt>
                <c:pt idx="14">
                  <c:v>16886789.31000001</c:v>
                </c:pt>
                <c:pt idx="15">
                  <c:v>13673558.989999993</c:v>
                </c:pt>
                <c:pt idx="16">
                  <c:v>1564472.3299999998</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164807584"/>
        <c:axId val="1164803664"/>
      </c:barChart>
      <c:catAx>
        <c:axId val="116480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803664"/>
        <c:crosses val="autoZero"/>
        <c:auto val="1"/>
        <c:lblAlgn val="ctr"/>
        <c:lblOffset val="100"/>
        <c:tickLblSkip val="1"/>
        <c:tickMarkSkip val="1"/>
        <c:noMultiLvlLbl val="0"/>
      </c:catAx>
      <c:valAx>
        <c:axId val="116480366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80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82808.439999999988</c:v>
                </c:pt>
                <c:pt idx="1">
                  <c:v>5332960.5600000033</c:v>
                </c:pt>
                <c:pt idx="2">
                  <c:v>88553092.07000035</c:v>
                </c:pt>
                <c:pt idx="3">
                  <c:v>61461180.340000041</c:v>
                </c:pt>
                <c:pt idx="4">
                  <c:v>59069746.349999994</c:v>
                </c:pt>
                <c:pt idx="5">
                  <c:v>67441327.420000017</c:v>
                </c:pt>
                <c:pt idx="6">
                  <c:v>99173650.859999761</c:v>
                </c:pt>
                <c:pt idx="7">
                  <c:v>76682751.10999994</c:v>
                </c:pt>
                <c:pt idx="8">
                  <c:v>36893344.170000039</c:v>
                </c:pt>
                <c:pt idx="9">
                  <c:v>12945801.580000004</c:v>
                </c:pt>
                <c:pt idx="10">
                  <c:v>3748993.4800000014</c:v>
                </c:pt>
                <c:pt idx="11">
                  <c:v>1108487.1099999999</c:v>
                </c:pt>
                <c:pt idx="12">
                  <c:v>345311.7</c:v>
                </c:pt>
                <c:pt idx="13">
                  <c:v>80022.679999999993</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1164800136"/>
        <c:axId val="1164808368"/>
      </c:barChart>
      <c:catAx>
        <c:axId val="116480013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808368"/>
        <c:crosses val="autoZero"/>
        <c:auto val="1"/>
        <c:lblAlgn val="ctr"/>
        <c:lblOffset val="100"/>
        <c:tickLblSkip val="1"/>
        <c:tickMarkSkip val="1"/>
        <c:noMultiLvlLbl val="0"/>
      </c:catAx>
      <c:valAx>
        <c:axId val="116480836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800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3270023.5399999996</c:v>
                </c:pt>
                <c:pt idx="8">
                  <c:v>18710905.329999987</c:v>
                </c:pt>
                <c:pt idx="9">
                  <c:v>27024901.380000003</c:v>
                </c:pt>
                <c:pt idx="10">
                  <c:v>23494914.699999966</c:v>
                </c:pt>
                <c:pt idx="11">
                  <c:v>82931163.250000134</c:v>
                </c:pt>
                <c:pt idx="12">
                  <c:v>165714773.12999976</c:v>
                </c:pt>
                <c:pt idx="13">
                  <c:v>112667583.53000003</c:v>
                </c:pt>
                <c:pt idx="14">
                  <c:v>50280327.829999939</c:v>
                </c:pt>
                <c:pt idx="15">
                  <c:v>16040161.429999987</c:v>
                </c:pt>
                <c:pt idx="16">
                  <c:v>5752897.5899999952</c:v>
                </c:pt>
                <c:pt idx="17">
                  <c:v>3837855.3600000008</c:v>
                </c:pt>
                <c:pt idx="18">
                  <c:v>2084828.9499999988</c:v>
                </c:pt>
                <c:pt idx="19">
                  <c:v>685391.99999999965</c:v>
                </c:pt>
                <c:pt idx="20">
                  <c:v>108656.02999999998</c:v>
                </c:pt>
                <c:pt idx="21">
                  <c:v>134201.22</c:v>
                </c:pt>
                <c:pt idx="22">
                  <c:v>79043.700000000012</c:v>
                </c:pt>
                <c:pt idx="23">
                  <c:v>36976.93</c:v>
                </c:pt>
                <c:pt idx="24">
                  <c:v>21873.78</c:v>
                </c:pt>
                <c:pt idx="25">
                  <c:v>34081.760000000002</c:v>
                </c:pt>
                <c:pt idx="26">
                  <c:v>7338.3499999999995</c:v>
                </c:pt>
                <c:pt idx="27">
                  <c:v>1578.08</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1164803272"/>
        <c:axId val="1164807976"/>
      </c:barChart>
      <c:catAx>
        <c:axId val="116480327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807976"/>
        <c:crosses val="autoZero"/>
        <c:auto val="1"/>
        <c:lblAlgn val="ctr"/>
        <c:lblOffset val="100"/>
        <c:tickLblSkip val="1"/>
        <c:tickMarkSkip val="1"/>
        <c:noMultiLvlLbl val="0"/>
      </c:catAx>
      <c:valAx>
        <c:axId val="11648079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80327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975298.19000000064</c:v>
                </c:pt>
                <c:pt idx="1">
                  <c:v>4733758.3699999964</c:v>
                </c:pt>
                <c:pt idx="2">
                  <c:v>7815473.129999998</c:v>
                </c:pt>
                <c:pt idx="3">
                  <c:v>13414962.649999985</c:v>
                </c:pt>
                <c:pt idx="4">
                  <c:v>14809141.120000016</c:v>
                </c:pt>
                <c:pt idx="5">
                  <c:v>21911179.449999977</c:v>
                </c:pt>
                <c:pt idx="6">
                  <c:v>48863682.790000029</c:v>
                </c:pt>
                <c:pt idx="7">
                  <c:v>72409331.169999793</c:v>
                </c:pt>
                <c:pt idx="8">
                  <c:v>210103487.68999997</c:v>
                </c:pt>
                <c:pt idx="9">
                  <c:v>78881145.939999998</c:v>
                </c:pt>
                <c:pt idx="10">
                  <c:v>33585839.759999961</c:v>
                </c:pt>
                <c:pt idx="11">
                  <c:v>4451340.3599999975</c:v>
                </c:pt>
                <c:pt idx="12">
                  <c:v>604853.02</c:v>
                </c:pt>
                <c:pt idx="13">
                  <c:v>41728.589999999997</c:v>
                </c:pt>
                <c:pt idx="14">
                  <c:v>318255.63999999996</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1164797000"/>
        <c:axId val="1164798960"/>
      </c:barChart>
      <c:catAx>
        <c:axId val="11647970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98960"/>
        <c:crosses val="autoZero"/>
        <c:auto val="1"/>
        <c:lblAlgn val="ctr"/>
        <c:lblOffset val="100"/>
        <c:tickLblSkip val="1"/>
        <c:tickMarkSkip val="1"/>
        <c:noMultiLvlLbl val="0"/>
      </c:catAx>
      <c:valAx>
        <c:axId val="11647989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70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-4880.8499999999995</c:v>
                </c:pt>
                <c:pt idx="1">
                  <c:v>-8303.2400000000016</c:v>
                </c:pt>
                <c:pt idx="2">
                  <c:v>-51162.339999999982</c:v>
                </c:pt>
                <c:pt idx="3">
                  <c:v>36416.289999999994</c:v>
                </c:pt>
                <c:pt idx="4">
                  <c:v>941762.90000000084</c:v>
                </c:pt>
                <c:pt idx="5">
                  <c:v>1073455.7099999997</c:v>
                </c:pt>
                <c:pt idx="6">
                  <c:v>7570430.4100000001</c:v>
                </c:pt>
                <c:pt idx="7">
                  <c:v>16461770.129999978</c:v>
                </c:pt>
                <c:pt idx="8">
                  <c:v>5637363.0299999975</c:v>
                </c:pt>
                <c:pt idx="9">
                  <c:v>23244235.159999941</c:v>
                </c:pt>
                <c:pt idx="10">
                  <c:v>9885304.5999999922</c:v>
                </c:pt>
                <c:pt idx="11">
                  <c:v>76407848.379999861</c:v>
                </c:pt>
                <c:pt idx="12">
                  <c:v>225031803.62000024</c:v>
                </c:pt>
                <c:pt idx="13">
                  <c:v>124793616.04000017</c:v>
                </c:pt>
                <c:pt idx="14">
                  <c:v>18696222.539999992</c:v>
                </c:pt>
                <c:pt idx="15">
                  <c:v>3203595.4900000007</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164805232"/>
        <c:axId val="1164797784"/>
      </c:barChart>
      <c:catAx>
        <c:axId val="116480523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97784"/>
        <c:crosses val="autoZero"/>
        <c:auto val="1"/>
        <c:lblAlgn val="ctr"/>
        <c:lblOffset val="100"/>
        <c:tickLblSkip val="1"/>
        <c:tickMarkSkip val="1"/>
        <c:noMultiLvlLbl val="0"/>
      </c:catAx>
      <c:valAx>
        <c:axId val="116479778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80523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2022-1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177798</xdr:colOff>
      <xdr:row>52</xdr:row>
      <xdr:rowOff>28019</xdr:rowOff>
    </xdr:from>
    <xdr:to>
      <xdr:col>3</xdr:col>
      <xdr:colOff>610898</xdr:colOff>
      <xdr:row>57</xdr:row>
      <xdr:rowOff>179135</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798" y="8283019"/>
          <a:ext cx="2814350" cy="944866"/>
        </a:xfrm>
        <a:prstGeom prst="rect">
          <a:avLst/>
        </a:prstGeom>
      </xdr:spPr>
    </xdr:pic>
    <xdr:clientData/>
  </xdr:twoCellAnchor>
  <xdr:twoCellAnchor editAs="oneCell">
    <xdr:from>
      <xdr:col>0</xdr:col>
      <xdr:colOff>174181</xdr:colOff>
      <xdr:row>42</xdr:row>
      <xdr:rowOff>22245</xdr:rowOff>
    </xdr:from>
    <xdr:to>
      <xdr:col>3</xdr:col>
      <xdr:colOff>597756</xdr:colOff>
      <xdr:row>51</xdr:row>
      <xdr:rowOff>42129</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689745"/>
          <a:ext cx="2804825" cy="1448634"/>
        </a:xfrm>
        <a:prstGeom prst="rect">
          <a:avLst/>
        </a:prstGeom>
      </xdr:spPr>
    </xdr:pic>
    <xdr:clientData/>
  </xdr:twoCellAnchor>
  <xdr:twoCellAnchor editAs="oneCell">
    <xdr:from>
      <xdr:col>18</xdr:col>
      <xdr:colOff>285750</xdr:colOff>
      <xdr:row>13</xdr:row>
      <xdr:rowOff>31750</xdr:rowOff>
    </xdr:from>
    <xdr:to>
      <xdr:col>20</xdr:col>
      <xdr:colOff>421772</xdr:colOff>
      <xdr:row>56</xdr:row>
      <xdr:rowOff>154603</xdr:rowOff>
    </xdr:to>
    <xdr:pic>
      <xdr:nvPicPr>
        <xdr:cNvPr id="3" name="Grafik 2">
          <a:extLst>
            <a:ext uri="{FF2B5EF4-FFF2-40B4-BE49-F238E27FC236}">
              <a16:creationId xmlns:a16="http://schemas.microsoft.com/office/drawing/2014/main" id="{68A9B532-568B-9B72-9BF7-A3265293F2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73250" y="209550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1057275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177543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rbriefung/Reporting/Reporting%20SC%20Germany%20Consumer%2023-1/Fertige%20Analysen/Investor_Report_SC%20Germany%20Consumer%2023-1_2023.10.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Verbriefung\Reporting\Reporting%20SC%20Germany%20Consumer%2023-1\Fertige%20Analysen\Investor_Report_SC%20Germany%20Consumer%2023-1_2024.08.31.xlsx" TargetMode="External"/><Relationship Id="rId1" Type="http://schemas.openxmlformats.org/officeDocument/2006/relationships/externalLinkPath" Target="/Verbriefung/Reporting/Reporting%20SC%20Germany%20Consumer%2023-1/Fertige%20Analysen/Investor_Report_SC%20Germany%20Consumer%2023-1_2024.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cell r="C1" t="str">
            <v>_FREQ_</v>
          </cell>
          <cell r="D1" t="str">
            <v>RANGEVAL</v>
          </cell>
        </row>
        <row r="2">
          <cell r="B2" t="str">
            <v>CPB_    0: 1999</v>
          </cell>
          <cell r="C2">
            <v>3321</v>
          </cell>
          <cell r="D2">
            <v>3701747.8399999887</v>
          </cell>
        </row>
        <row r="3">
          <cell r="B3" t="str">
            <v>CPB_ 2000: 3999</v>
          </cell>
          <cell r="C3">
            <v>3877</v>
          </cell>
          <cell r="D3">
            <v>11641660.020000041</v>
          </cell>
        </row>
        <row r="4">
          <cell r="B4" t="str">
            <v>CPB_ 4000: 5999</v>
          </cell>
          <cell r="C4">
            <v>4202</v>
          </cell>
          <cell r="D4">
            <v>20881075.610000011</v>
          </cell>
        </row>
        <row r="5">
          <cell r="B5" t="str">
            <v>CPB_ 6000: 7999</v>
          </cell>
          <cell r="C5">
            <v>3674</v>
          </cell>
          <cell r="D5">
            <v>25772070.710000016</v>
          </cell>
        </row>
        <row r="6">
          <cell r="B6" t="str">
            <v>CPB_ 8000: 9999</v>
          </cell>
          <cell r="C6">
            <v>3671</v>
          </cell>
          <cell r="D6">
            <v>33287299.120000038</v>
          </cell>
        </row>
        <row r="7">
          <cell r="B7" t="str">
            <v>CPB_10000:11999</v>
          </cell>
          <cell r="C7">
            <v>2495</v>
          </cell>
          <cell r="D7">
            <v>27362555.800000038</v>
          </cell>
        </row>
        <row r="8">
          <cell r="B8" t="str">
            <v>CPB_12000:13999</v>
          </cell>
          <cell r="C8">
            <v>2201</v>
          </cell>
          <cell r="D8">
            <v>28589891.759999968</v>
          </cell>
        </row>
        <row r="9">
          <cell r="B9" t="str">
            <v>CPB_14000:15999</v>
          </cell>
          <cell r="C9">
            <v>2236</v>
          </cell>
          <cell r="D9">
            <v>33344225.799999993</v>
          </cell>
        </row>
        <row r="10">
          <cell r="B10" t="str">
            <v>CPB_16000:17999</v>
          </cell>
          <cell r="C10">
            <v>1766</v>
          </cell>
          <cell r="D10">
            <v>30030699.810000043</v>
          </cell>
        </row>
        <row r="11">
          <cell r="B11" t="str">
            <v>CPB_18000:19999</v>
          </cell>
          <cell r="C11">
            <v>1940</v>
          </cell>
          <cell r="D11">
            <v>36897975.05999995</v>
          </cell>
        </row>
        <row r="12">
          <cell r="B12" t="str">
            <v>CPB_20000:21999</v>
          </cell>
          <cell r="C12">
            <v>1404</v>
          </cell>
          <cell r="D12">
            <v>29410344.879999988</v>
          </cell>
        </row>
        <row r="13">
          <cell r="B13" t="str">
            <v>CPB_22000:23999</v>
          </cell>
          <cell r="C13">
            <v>1408</v>
          </cell>
          <cell r="D13">
            <v>32424029.089999985</v>
          </cell>
        </row>
        <row r="14">
          <cell r="B14" t="str">
            <v>CPB_24000:25999</v>
          </cell>
          <cell r="C14">
            <v>1330</v>
          </cell>
          <cell r="D14">
            <v>33183437.669999983</v>
          </cell>
        </row>
        <row r="15">
          <cell r="B15" t="str">
            <v>CPB_26000:27999</v>
          </cell>
          <cell r="C15">
            <v>1095</v>
          </cell>
          <cell r="D15">
            <v>29534661.989999976</v>
          </cell>
        </row>
        <row r="16">
          <cell r="B16" t="str">
            <v>CPB_28000:29999</v>
          </cell>
          <cell r="C16">
            <v>1143</v>
          </cell>
          <cell r="D16">
            <v>33085728.759999953</v>
          </cell>
        </row>
        <row r="17">
          <cell r="B17" t="str">
            <v>CPB_30000:31999</v>
          </cell>
          <cell r="C17">
            <v>893</v>
          </cell>
          <cell r="D17">
            <v>27593056.120000001</v>
          </cell>
        </row>
        <row r="18">
          <cell r="B18" t="str">
            <v>CPB_32000:33999</v>
          </cell>
          <cell r="C18">
            <v>813</v>
          </cell>
          <cell r="D18">
            <v>26833321.510000009</v>
          </cell>
        </row>
        <row r="19">
          <cell r="B19" t="str">
            <v>CPB_34000:35999</v>
          </cell>
          <cell r="C19">
            <v>771</v>
          </cell>
          <cell r="D19">
            <v>26977775.750000037</v>
          </cell>
        </row>
        <row r="20">
          <cell r="B20" t="str">
            <v>CPB_36000:37999</v>
          </cell>
          <cell r="C20">
            <v>664</v>
          </cell>
          <cell r="D20">
            <v>24557846.80999998</v>
          </cell>
        </row>
        <row r="21">
          <cell r="B21" t="str">
            <v>CPB_38000:39999</v>
          </cell>
          <cell r="C21">
            <v>680</v>
          </cell>
          <cell r="D21">
            <v>26490050.089999992</v>
          </cell>
        </row>
        <row r="22">
          <cell r="B22" t="str">
            <v>CPB_40000:41999</v>
          </cell>
          <cell r="C22">
            <v>580</v>
          </cell>
          <cell r="D22">
            <v>23749612.759999998</v>
          </cell>
        </row>
        <row r="23">
          <cell r="B23" t="str">
            <v>CPB_42000:43999</v>
          </cell>
          <cell r="C23">
            <v>509</v>
          </cell>
          <cell r="D23">
            <v>21862053.159999978</v>
          </cell>
        </row>
        <row r="24">
          <cell r="B24" t="str">
            <v>CPB_44000:45999</v>
          </cell>
          <cell r="C24">
            <v>477</v>
          </cell>
          <cell r="D24">
            <v>21471860.410000004</v>
          </cell>
        </row>
        <row r="25">
          <cell r="B25" t="str">
            <v>CPB_46000:47999</v>
          </cell>
          <cell r="C25">
            <v>418</v>
          </cell>
          <cell r="D25">
            <v>19660524.490000002</v>
          </cell>
        </row>
        <row r="26">
          <cell r="B26" t="str">
            <v>CPB_48000:49999</v>
          </cell>
          <cell r="C26">
            <v>409</v>
          </cell>
          <cell r="D26">
            <v>20001970.489999991</v>
          </cell>
        </row>
        <row r="27">
          <cell r="B27" t="str">
            <v>CPB_50000:51999</v>
          </cell>
          <cell r="C27">
            <v>309</v>
          </cell>
          <cell r="D27">
            <v>15747074.649999995</v>
          </cell>
        </row>
        <row r="28">
          <cell r="B28" t="str">
            <v>CPB_52000:53999</v>
          </cell>
          <cell r="C28">
            <v>258</v>
          </cell>
          <cell r="D28">
            <v>13661738.490000004</v>
          </cell>
        </row>
        <row r="29">
          <cell r="B29" t="str">
            <v>CPB_54000:55999</v>
          </cell>
          <cell r="C29">
            <v>232</v>
          </cell>
          <cell r="D29">
            <v>12767533.579999991</v>
          </cell>
        </row>
        <row r="30">
          <cell r="B30" t="str">
            <v>CPB_56000:57999</v>
          </cell>
          <cell r="C30">
            <v>222</v>
          </cell>
          <cell r="D30">
            <v>12651622.109999999</v>
          </cell>
        </row>
        <row r="31">
          <cell r="B31" t="str">
            <v>CPB_58000:59999</v>
          </cell>
          <cell r="C31">
            <v>224</v>
          </cell>
          <cell r="D31">
            <v>13214070.869999995</v>
          </cell>
        </row>
        <row r="32">
          <cell r="B32" t="str">
            <v>CPB_60000:61999</v>
          </cell>
          <cell r="C32">
            <v>166</v>
          </cell>
          <cell r="D32">
            <v>10106152.800000006</v>
          </cell>
        </row>
        <row r="33">
          <cell r="B33" t="str">
            <v>CPB_62000:63999</v>
          </cell>
          <cell r="C33">
            <v>156</v>
          </cell>
          <cell r="D33">
            <v>9824348.3100000024</v>
          </cell>
        </row>
        <row r="34">
          <cell r="B34" t="str">
            <v>CPB_64000:65999</v>
          </cell>
          <cell r="C34">
            <v>131</v>
          </cell>
          <cell r="D34">
            <v>8508912.9999999981</v>
          </cell>
        </row>
        <row r="35">
          <cell r="B35" t="str">
            <v>CPB_66000:67999</v>
          </cell>
          <cell r="C35">
            <v>131</v>
          </cell>
          <cell r="D35">
            <v>8778564.7299999967</v>
          </cell>
        </row>
        <row r="36">
          <cell r="B36" t="str">
            <v>CPB_68000:69999</v>
          </cell>
          <cell r="C36">
            <v>125</v>
          </cell>
          <cell r="D36">
            <v>8625695.9199999999</v>
          </cell>
        </row>
        <row r="37">
          <cell r="B37" t="str">
            <v>CPB_70000:71999</v>
          </cell>
          <cell r="C37">
            <v>114</v>
          </cell>
          <cell r="D37">
            <v>8092218.3100000005</v>
          </cell>
        </row>
        <row r="38">
          <cell r="B38" t="str">
            <v>CPB_72000:73999</v>
          </cell>
          <cell r="C38">
            <v>104</v>
          </cell>
          <cell r="D38">
            <v>7575454.8400000008</v>
          </cell>
        </row>
        <row r="39">
          <cell r="B39" t="str">
            <v>CPB_74000:75999</v>
          </cell>
          <cell r="C39">
            <v>70</v>
          </cell>
          <cell r="D39">
            <v>5246348.1500000004</v>
          </cell>
        </row>
        <row r="40">
          <cell r="B40" t="str">
            <v>CPB_76000:77999</v>
          </cell>
          <cell r="C40">
            <v>55</v>
          </cell>
          <cell r="D40">
            <v>4236611.3400000008</v>
          </cell>
        </row>
        <row r="41">
          <cell r="B41" t="str">
            <v>CPB_78000:79999</v>
          </cell>
          <cell r="C41">
            <v>45</v>
          </cell>
          <cell r="D41">
            <v>3555883.9500000011</v>
          </cell>
        </row>
        <row r="42">
          <cell r="B42" t="str">
            <v>CPB_80000:</v>
          </cell>
          <cell r="C42">
            <v>105</v>
          </cell>
          <cell r="D42">
            <v>9062264.5999999996</v>
          </cell>
        </row>
        <row r="43">
          <cell r="B43" t="str">
            <v>Interest_ 0: 0</v>
          </cell>
          <cell r="C43">
            <v>11</v>
          </cell>
          <cell r="D43">
            <v>27062.18</v>
          </cell>
        </row>
        <row r="44">
          <cell r="B44" t="str">
            <v>Interest_ 1: 1</v>
          </cell>
          <cell r="C44">
            <v>371</v>
          </cell>
          <cell r="D44">
            <v>2904844.1799999974</v>
          </cell>
        </row>
        <row r="45">
          <cell r="B45" t="str">
            <v>Interest_ 2: 2</v>
          </cell>
          <cell r="C45">
            <v>2485</v>
          </cell>
          <cell r="D45">
            <v>32065234.899999991</v>
          </cell>
        </row>
        <row r="46">
          <cell r="B46" t="str">
            <v>Interest_ 3: 3</v>
          </cell>
          <cell r="C46">
            <v>1622</v>
          </cell>
          <cell r="D46">
            <v>24219235.079999965</v>
          </cell>
        </row>
        <row r="47">
          <cell r="B47" t="str">
            <v>Interest_ 4: 4</v>
          </cell>
          <cell r="C47">
            <v>2610</v>
          </cell>
          <cell r="D47">
            <v>45863185.859999992</v>
          </cell>
        </row>
        <row r="48">
          <cell r="B48" t="str">
            <v>Interest_ 5: 5</v>
          </cell>
          <cell r="C48">
            <v>4217</v>
          </cell>
          <cell r="D48">
            <v>84919609.870000184</v>
          </cell>
        </row>
        <row r="49">
          <cell r="B49" t="str">
            <v>Interest_ 6: 6</v>
          </cell>
          <cell r="C49">
            <v>5859</v>
          </cell>
          <cell r="D49">
            <v>119723936.04000016</v>
          </cell>
        </row>
        <row r="50">
          <cell r="B50" t="str">
            <v>Interest_ 7: 7</v>
          </cell>
          <cell r="C50">
            <v>9727</v>
          </cell>
          <cell r="D50">
            <v>177786926.09999999</v>
          </cell>
        </row>
        <row r="51">
          <cell r="B51" t="str">
            <v>Interest_ 8: 8</v>
          </cell>
          <cell r="C51">
            <v>9963</v>
          </cell>
          <cell r="D51">
            <v>195152730.70999968</v>
          </cell>
        </row>
        <row r="52">
          <cell r="B52" t="str">
            <v>Interest_ 9: 9</v>
          </cell>
          <cell r="C52">
            <v>5456</v>
          </cell>
          <cell r="D52">
            <v>84575833.680000126</v>
          </cell>
        </row>
        <row r="53">
          <cell r="B53" t="str">
            <v>Interest_10:10</v>
          </cell>
          <cell r="C53">
            <v>1575</v>
          </cell>
          <cell r="D53">
            <v>25396740.540000059</v>
          </cell>
        </row>
        <row r="54">
          <cell r="B54" t="str">
            <v>Interest_11:11</v>
          </cell>
          <cell r="C54">
            <v>336</v>
          </cell>
          <cell r="D54">
            <v>4824982.9299999988</v>
          </cell>
        </row>
        <row r="55">
          <cell r="B55" t="str">
            <v>Interest_12:12</v>
          </cell>
          <cell r="C55">
            <v>115</v>
          </cell>
          <cell r="D55">
            <v>1759113.8699999996</v>
          </cell>
        </row>
        <row r="56">
          <cell r="B56" t="str">
            <v>Interest_13:</v>
          </cell>
          <cell r="C56">
            <v>77</v>
          </cell>
          <cell r="D56">
            <v>780535.21999999951</v>
          </cell>
        </row>
        <row r="57">
          <cell r="B57" t="str">
            <v>OPB_     0:  1999</v>
          </cell>
          <cell r="C57">
            <v>1257</v>
          </cell>
          <cell r="D57">
            <v>1619797.8400000038</v>
          </cell>
        </row>
        <row r="58">
          <cell r="B58" t="str">
            <v>OPB_  2000:  3999</v>
          </cell>
          <cell r="C58">
            <v>3613</v>
          </cell>
          <cell r="D58">
            <v>10087041.029999841</v>
          </cell>
        </row>
        <row r="59">
          <cell r="B59" t="str">
            <v>OPB_  4000:  5999</v>
          </cell>
          <cell r="C59">
            <v>4272</v>
          </cell>
          <cell r="D59">
            <v>20837296.630000401</v>
          </cell>
        </row>
        <row r="60">
          <cell r="B60" t="str">
            <v>OPB_  6000:  7999</v>
          </cell>
          <cell r="C60">
            <v>3729</v>
          </cell>
          <cell r="D60">
            <v>25779666.980000198</v>
          </cell>
        </row>
        <row r="61">
          <cell r="B61" t="str">
            <v>OPB_  8000:  9999</v>
          </cell>
          <cell r="C61">
            <v>2653</v>
          </cell>
          <cell r="D61">
            <v>23365864.670000058</v>
          </cell>
        </row>
        <row r="62">
          <cell r="B62" t="str">
            <v>OPB_ 10000: 11999</v>
          </cell>
          <cell r="C62">
            <v>3673</v>
          </cell>
          <cell r="D62">
            <v>38910367.559999757</v>
          </cell>
        </row>
        <row r="63">
          <cell r="B63" t="str">
            <v>OPB_ 12000: 13999</v>
          </cell>
          <cell r="C63">
            <v>2298</v>
          </cell>
          <cell r="D63">
            <v>29515802.870000079</v>
          </cell>
        </row>
        <row r="64">
          <cell r="B64" t="str">
            <v>OPB_ 14000: 15999</v>
          </cell>
          <cell r="C64">
            <v>2436</v>
          </cell>
          <cell r="D64">
            <v>36669422.330000043</v>
          </cell>
        </row>
        <row r="65">
          <cell r="B65" t="str">
            <v>OPB_ 16000: 17999</v>
          </cell>
          <cell r="C65">
            <v>1590</v>
          </cell>
          <cell r="D65">
            <v>26931838.390000083</v>
          </cell>
        </row>
        <row r="66">
          <cell r="B66" t="str">
            <v>OPB_ 18000: 19999</v>
          </cell>
          <cell r="C66">
            <v>1500</v>
          </cell>
          <cell r="D66">
            <v>28328823.059999999</v>
          </cell>
        </row>
        <row r="67">
          <cell r="B67" t="str">
            <v>OPB_ 20000: 21999</v>
          </cell>
          <cell r="C67">
            <v>2168</v>
          </cell>
          <cell r="D67">
            <v>44822549.799999446</v>
          </cell>
        </row>
        <row r="68">
          <cell r="B68" t="str">
            <v>OPB_ 22000: 23999</v>
          </cell>
          <cell r="C68">
            <v>1197</v>
          </cell>
          <cell r="D68">
            <v>27470239.99000001</v>
          </cell>
        </row>
        <row r="69">
          <cell r="B69" t="str">
            <v>OPB_ 24000: 25999</v>
          </cell>
          <cell r="C69">
            <v>1446</v>
          </cell>
          <cell r="D69">
            <v>36004630.830000065</v>
          </cell>
        </row>
        <row r="70">
          <cell r="B70" t="str">
            <v>OPB_ 26000: 27999</v>
          </cell>
          <cell r="C70">
            <v>1223</v>
          </cell>
          <cell r="D70">
            <v>32813143.210000128</v>
          </cell>
        </row>
        <row r="71">
          <cell r="B71" t="str">
            <v>OPB_ 28000: 29999</v>
          </cell>
          <cell r="C71">
            <v>915</v>
          </cell>
          <cell r="D71">
            <v>26456033.579999998</v>
          </cell>
        </row>
        <row r="72">
          <cell r="B72" t="str">
            <v>OPB_ 30000: 31999</v>
          </cell>
          <cell r="C72">
            <v>1348</v>
          </cell>
          <cell r="D72">
            <v>41430452.609999932</v>
          </cell>
        </row>
        <row r="73">
          <cell r="B73" t="str">
            <v>OPB_ 32000: 33999</v>
          </cell>
          <cell r="C73">
            <v>781</v>
          </cell>
          <cell r="D73">
            <v>25709624.19000002</v>
          </cell>
        </row>
        <row r="74">
          <cell r="B74" t="str">
            <v>OPB_ 34000: 35999</v>
          </cell>
          <cell r="C74">
            <v>835</v>
          </cell>
          <cell r="D74">
            <v>29169583.290000029</v>
          </cell>
        </row>
        <row r="75">
          <cell r="B75" t="str">
            <v>OPB_ 36000: 37999</v>
          </cell>
          <cell r="C75">
            <v>752</v>
          </cell>
          <cell r="D75">
            <v>27741320.6399999</v>
          </cell>
        </row>
        <row r="76">
          <cell r="B76" t="str">
            <v>OPB_ 38000: 39999</v>
          </cell>
          <cell r="C76">
            <v>576</v>
          </cell>
          <cell r="D76">
            <v>22430815.879999965</v>
          </cell>
        </row>
        <row r="77">
          <cell r="B77" t="str">
            <v>OPB_ 40000: 41999</v>
          </cell>
          <cell r="C77">
            <v>870</v>
          </cell>
          <cell r="D77">
            <v>35529142.829999849</v>
          </cell>
        </row>
        <row r="78">
          <cell r="B78" t="str">
            <v>OPB_ 42000: 43999</v>
          </cell>
          <cell r="C78">
            <v>524</v>
          </cell>
          <cell r="D78">
            <v>22506442.270000007</v>
          </cell>
        </row>
        <row r="79">
          <cell r="B79" t="str">
            <v>OPB_ 44000: 45999</v>
          </cell>
          <cell r="C79">
            <v>536</v>
          </cell>
          <cell r="D79">
            <v>24101403.609999999</v>
          </cell>
        </row>
        <row r="80">
          <cell r="B80" t="str">
            <v>OPB_ 46000: 47999</v>
          </cell>
          <cell r="C80">
            <v>402</v>
          </cell>
          <cell r="D80">
            <v>18880089.049999978</v>
          </cell>
        </row>
        <row r="81">
          <cell r="B81" t="str">
            <v>OPB_ 48000: 49999</v>
          </cell>
          <cell r="C81">
            <v>359</v>
          </cell>
          <cell r="D81">
            <v>17562963.179999996</v>
          </cell>
        </row>
        <row r="82">
          <cell r="B82" t="str">
            <v>OPB_ 50000: 51999</v>
          </cell>
          <cell r="C82">
            <v>535</v>
          </cell>
          <cell r="D82">
            <v>26999824.619999982</v>
          </cell>
        </row>
        <row r="83">
          <cell r="B83" t="str">
            <v>OPB_ 52000: 53999</v>
          </cell>
          <cell r="C83">
            <v>355</v>
          </cell>
          <cell r="D83">
            <v>18750575.590000022</v>
          </cell>
        </row>
        <row r="84">
          <cell r="B84" t="str">
            <v>OPB_ 54000: 55999</v>
          </cell>
          <cell r="C84">
            <v>319</v>
          </cell>
          <cell r="D84">
            <v>17544572.91</v>
          </cell>
        </row>
        <row r="85">
          <cell r="B85" t="str">
            <v>OPB_ 56000: 57999</v>
          </cell>
          <cell r="C85">
            <v>243</v>
          </cell>
          <cell r="D85">
            <v>13840817.789999979</v>
          </cell>
        </row>
        <row r="86">
          <cell r="B86" t="str">
            <v>OPB_ 58000: 59999</v>
          </cell>
          <cell r="C86">
            <v>198</v>
          </cell>
          <cell r="D86">
            <v>11665521.75</v>
          </cell>
        </row>
        <row r="87">
          <cell r="B87" t="str">
            <v>OPB_ 60000: 61999</v>
          </cell>
          <cell r="C87">
            <v>273</v>
          </cell>
          <cell r="D87">
            <v>16552912.020000003</v>
          </cell>
        </row>
        <row r="88">
          <cell r="B88" t="str">
            <v>OPB_ 62000: 63999</v>
          </cell>
          <cell r="C88">
            <v>185</v>
          </cell>
          <cell r="D88">
            <v>11638394.860000014</v>
          </cell>
        </row>
        <row r="89">
          <cell r="B89" t="str">
            <v>OPB_ 64000: 65999</v>
          </cell>
          <cell r="C89">
            <v>188</v>
          </cell>
          <cell r="D89">
            <v>12214149.200000007</v>
          </cell>
        </row>
        <row r="90">
          <cell r="B90" t="str">
            <v>OPB_ 66000: 67999</v>
          </cell>
          <cell r="C90">
            <v>125</v>
          </cell>
          <cell r="D90">
            <v>8378709.1700000018</v>
          </cell>
        </row>
        <row r="91">
          <cell r="B91" t="str">
            <v>OPB_ 68000: 69999</v>
          </cell>
          <cell r="C91">
            <v>141</v>
          </cell>
          <cell r="D91">
            <v>9714113.8099999968</v>
          </cell>
        </row>
        <row r="92">
          <cell r="B92" t="str">
            <v>OPB_ 70000: 71999</v>
          </cell>
          <cell r="C92">
            <v>138</v>
          </cell>
          <cell r="D92">
            <v>9762533.8100000024</v>
          </cell>
        </row>
        <row r="93">
          <cell r="B93" t="str">
            <v>OPB_ 72000: 73999</v>
          </cell>
          <cell r="C93">
            <v>129</v>
          </cell>
          <cell r="D93">
            <v>9409149.3299999982</v>
          </cell>
        </row>
        <row r="94">
          <cell r="B94" t="str">
            <v>OPB_ 74000: 75999</v>
          </cell>
          <cell r="C94">
            <v>195</v>
          </cell>
          <cell r="D94">
            <v>14617890.269999998</v>
          </cell>
        </row>
        <row r="95">
          <cell r="B95" t="str">
            <v>OPB_ 76000: 77999</v>
          </cell>
          <cell r="C95">
            <v>77</v>
          </cell>
          <cell r="D95">
            <v>5938497.4900000002</v>
          </cell>
        </row>
        <row r="96">
          <cell r="B96" t="str">
            <v>OPB_ 78000: 79999</v>
          </cell>
          <cell r="C96">
            <v>111</v>
          </cell>
          <cell r="D96">
            <v>8735619.8499999922</v>
          </cell>
        </row>
        <row r="97">
          <cell r="B97" t="str">
            <v>OPB_ 80000: 81999</v>
          </cell>
          <cell r="C97">
            <v>68</v>
          </cell>
          <cell r="D97">
            <v>5503764.8399999989</v>
          </cell>
        </row>
        <row r="98">
          <cell r="B98" t="str">
            <v>OPB_ 82000: 83999</v>
          </cell>
          <cell r="C98">
            <v>60</v>
          </cell>
          <cell r="D98">
            <v>4980930.4699999988</v>
          </cell>
        </row>
        <row r="99">
          <cell r="B99" t="str">
            <v>OPB_ 84000: 85999</v>
          </cell>
          <cell r="C99">
            <v>44</v>
          </cell>
          <cell r="D99">
            <v>3740346.5099999993</v>
          </cell>
        </row>
        <row r="100">
          <cell r="B100" t="str">
            <v>OPB_ 86000: 87999</v>
          </cell>
          <cell r="C100">
            <v>22</v>
          </cell>
          <cell r="D100">
            <v>1909338.97</v>
          </cell>
        </row>
        <row r="101">
          <cell r="B101" t="str">
            <v>OPB_ 88000: 89999</v>
          </cell>
          <cell r="C101">
            <v>18</v>
          </cell>
          <cell r="D101">
            <v>1600431.3199999998</v>
          </cell>
        </row>
        <row r="102">
          <cell r="B102" t="str">
            <v>OPB_ 90000: 91999</v>
          </cell>
          <cell r="C102">
            <v>11</v>
          </cell>
          <cell r="D102">
            <v>998825.27</v>
          </cell>
        </row>
        <row r="103">
          <cell r="B103" t="str">
            <v>OPB_ 92000: 93999</v>
          </cell>
          <cell r="C103">
            <v>4</v>
          </cell>
          <cell r="D103">
            <v>372252.13999999996</v>
          </cell>
        </row>
        <row r="104">
          <cell r="B104" t="str">
            <v>OPB_ 94000: 95999</v>
          </cell>
          <cell r="C104">
            <v>8</v>
          </cell>
          <cell r="D104">
            <v>758784.81</v>
          </cell>
        </row>
        <row r="105">
          <cell r="B105" t="str">
            <v>OPB_ 96000: 97999</v>
          </cell>
          <cell r="C105">
            <v>3</v>
          </cell>
          <cell r="D105">
            <v>288686.57999999996</v>
          </cell>
        </row>
        <row r="106">
          <cell r="B106" t="str">
            <v>OPB_ 98000: 99999</v>
          </cell>
          <cell r="C106">
            <v>2</v>
          </cell>
          <cell r="D106">
            <v>198134.5</v>
          </cell>
        </row>
        <row r="107">
          <cell r="B107" t="str">
            <v>OPB_100000:</v>
          </cell>
          <cell r="C107">
            <v>19</v>
          </cell>
          <cell r="D107">
            <v>2120154.9800000004</v>
          </cell>
        </row>
        <row r="108">
          <cell r="B108" t="str">
            <v>borrower_1</v>
          </cell>
          <cell r="C108">
            <v>1</v>
          </cell>
          <cell r="D108">
            <v>127237.92</v>
          </cell>
        </row>
        <row r="109">
          <cell r="B109" t="str">
            <v>borrower_10</v>
          </cell>
          <cell r="C109">
            <v>1</v>
          </cell>
          <cell r="D109">
            <v>99411.839999999997</v>
          </cell>
        </row>
        <row r="110">
          <cell r="B110" t="str">
            <v>borrower_11</v>
          </cell>
          <cell r="C110">
            <v>2</v>
          </cell>
          <cell r="D110">
            <v>99083.17</v>
          </cell>
        </row>
        <row r="111">
          <cell r="B111" t="str">
            <v>borrower_12</v>
          </cell>
          <cell r="C111">
            <v>1</v>
          </cell>
          <cell r="D111">
            <v>97676.91</v>
          </cell>
        </row>
        <row r="112">
          <cell r="B112" t="str">
            <v>borrower_13</v>
          </cell>
          <cell r="C112">
            <v>1</v>
          </cell>
          <cell r="D112">
            <v>93103.86</v>
          </cell>
        </row>
        <row r="113">
          <cell r="B113" t="str">
            <v>borrower_14</v>
          </cell>
          <cell r="C113">
            <v>1</v>
          </cell>
          <cell r="D113">
            <v>92585.73</v>
          </cell>
        </row>
        <row r="114">
          <cell r="B114" t="str">
            <v>borrower_15</v>
          </cell>
          <cell r="C114">
            <v>1</v>
          </cell>
          <cell r="D114">
            <v>91800.3</v>
          </cell>
        </row>
        <row r="115">
          <cell r="B115" t="str">
            <v>borrower_16</v>
          </cell>
          <cell r="C115">
            <v>1</v>
          </cell>
          <cell r="D115">
            <v>91468.17</v>
          </cell>
        </row>
        <row r="116">
          <cell r="B116" t="str">
            <v>borrower_17</v>
          </cell>
          <cell r="C116">
            <v>1</v>
          </cell>
          <cell r="D116">
            <v>91404.74</v>
          </cell>
        </row>
        <row r="117">
          <cell r="B117" t="str">
            <v>borrower_18</v>
          </cell>
          <cell r="C117">
            <v>1</v>
          </cell>
          <cell r="D117">
            <v>90906.21</v>
          </cell>
        </row>
        <row r="118">
          <cell r="B118" t="str">
            <v>borrower_19</v>
          </cell>
          <cell r="C118">
            <v>1</v>
          </cell>
          <cell r="D118">
            <v>90466.64</v>
          </cell>
        </row>
        <row r="119">
          <cell r="B119" t="str">
            <v>borrower_2</v>
          </cell>
          <cell r="C119">
            <v>1</v>
          </cell>
          <cell r="D119">
            <v>124476.48</v>
          </cell>
        </row>
        <row r="120">
          <cell r="B120" t="str">
            <v>borrower_20</v>
          </cell>
          <cell r="C120">
            <v>1</v>
          </cell>
          <cell r="D120">
            <v>90407.7</v>
          </cell>
        </row>
        <row r="121">
          <cell r="B121" t="str">
            <v>borrower_21</v>
          </cell>
          <cell r="C121">
            <v>2</v>
          </cell>
          <cell r="D121">
            <v>89734.709999999992</v>
          </cell>
        </row>
        <row r="122">
          <cell r="B122" t="str">
            <v>borrower_22</v>
          </cell>
          <cell r="C122">
            <v>1</v>
          </cell>
          <cell r="D122">
            <v>89240.86</v>
          </cell>
        </row>
        <row r="123">
          <cell r="B123" t="str">
            <v>borrower_23</v>
          </cell>
          <cell r="C123">
            <v>1</v>
          </cell>
          <cell r="D123">
            <v>88754.4</v>
          </cell>
        </row>
        <row r="124">
          <cell r="B124" t="str">
            <v>borrower_24</v>
          </cell>
          <cell r="C124">
            <v>1</v>
          </cell>
          <cell r="D124">
            <v>87644.78</v>
          </cell>
        </row>
        <row r="125">
          <cell r="B125" t="str">
            <v>borrower_25</v>
          </cell>
          <cell r="C125">
            <v>1</v>
          </cell>
          <cell r="D125">
            <v>87326.36</v>
          </cell>
        </row>
        <row r="126">
          <cell r="B126" t="str">
            <v>borrower_3</v>
          </cell>
          <cell r="C126">
            <v>1</v>
          </cell>
          <cell r="D126">
            <v>108710</v>
          </cell>
        </row>
        <row r="127">
          <cell r="B127" t="str">
            <v>borrower_4</v>
          </cell>
          <cell r="C127">
            <v>1</v>
          </cell>
          <cell r="D127">
            <v>108054.3</v>
          </cell>
        </row>
        <row r="128">
          <cell r="B128" t="str">
            <v>borrower_5</v>
          </cell>
          <cell r="C128">
            <v>1</v>
          </cell>
          <cell r="D128">
            <v>106435.85</v>
          </cell>
        </row>
        <row r="129">
          <cell r="B129" t="str">
            <v>borrower_6</v>
          </cell>
          <cell r="C129">
            <v>1</v>
          </cell>
          <cell r="D129">
            <v>104660.01</v>
          </cell>
        </row>
        <row r="130">
          <cell r="B130" t="str">
            <v>borrower_7</v>
          </cell>
          <cell r="C130">
            <v>1</v>
          </cell>
          <cell r="D130">
            <v>104055.35</v>
          </cell>
        </row>
        <row r="131">
          <cell r="B131" t="str">
            <v>borrower_8</v>
          </cell>
          <cell r="C131">
            <v>1</v>
          </cell>
          <cell r="D131">
            <v>102699.93</v>
          </cell>
        </row>
        <row r="132">
          <cell r="B132" t="str">
            <v>borrower_9</v>
          </cell>
          <cell r="C132">
            <v>1</v>
          </cell>
          <cell r="D132">
            <v>101587.59</v>
          </cell>
        </row>
        <row r="133">
          <cell r="B133" t="str">
            <v>collateral_secured</v>
          </cell>
          <cell r="C133">
            <v>280</v>
          </cell>
          <cell r="D133">
            <v>9929247.1899999976</v>
          </cell>
        </row>
        <row r="134">
          <cell r="B134" t="str">
            <v>collateral_unsecured</v>
          </cell>
          <cell r="C134">
            <v>44144</v>
          </cell>
          <cell r="D134">
            <v>790070723.97000301</v>
          </cell>
        </row>
        <row r="135">
          <cell r="B135" t="str">
            <v>geo_Baden-Wuerttemberg</v>
          </cell>
          <cell r="C135">
            <v>5755</v>
          </cell>
          <cell r="D135">
            <v>111690783.93000025</v>
          </cell>
        </row>
        <row r="136">
          <cell r="B136" t="str">
            <v>geo_Bavaria</v>
          </cell>
          <cell r="C136">
            <v>6017</v>
          </cell>
          <cell r="D136">
            <v>108211802.04000004</v>
          </cell>
        </row>
        <row r="137">
          <cell r="B137" t="str">
            <v>geo_Berlin</v>
          </cell>
          <cell r="C137">
            <v>1819</v>
          </cell>
          <cell r="D137">
            <v>34846504.830000021</v>
          </cell>
        </row>
        <row r="138">
          <cell r="B138" t="str">
            <v>geo_Brandenburg</v>
          </cell>
          <cell r="C138">
            <v>1702</v>
          </cell>
          <cell r="D138">
            <v>29152935.899999958</v>
          </cell>
        </row>
        <row r="139">
          <cell r="B139" t="str">
            <v>geo_Bremen</v>
          </cell>
          <cell r="C139">
            <v>414</v>
          </cell>
          <cell r="D139">
            <v>7556340.4799999977</v>
          </cell>
        </row>
        <row r="140">
          <cell r="B140" t="str">
            <v>geo_Hamburg</v>
          </cell>
          <cell r="C140">
            <v>845</v>
          </cell>
          <cell r="D140">
            <v>16104530.800000006</v>
          </cell>
        </row>
        <row r="141">
          <cell r="B141" t="str">
            <v>geo_Hesse</v>
          </cell>
          <cell r="C141">
            <v>3064</v>
          </cell>
          <cell r="D141">
            <v>57637527.129999943</v>
          </cell>
        </row>
        <row r="142">
          <cell r="B142" t="str">
            <v>geo_Lower Saxony</v>
          </cell>
          <cell r="C142">
            <v>4543</v>
          </cell>
          <cell r="D142">
            <v>82281476.620000005</v>
          </cell>
        </row>
        <row r="143">
          <cell r="B143" t="str">
            <v>geo_Mecklenburg-Western Pomerania</v>
          </cell>
          <cell r="C143">
            <v>1251</v>
          </cell>
          <cell r="D143">
            <v>21733031.170000009</v>
          </cell>
        </row>
        <row r="144">
          <cell r="B144" t="str">
            <v>geo_North Rhine-Westphalia</v>
          </cell>
          <cell r="C144">
            <v>9884</v>
          </cell>
          <cell r="D144">
            <v>177086939.2799992</v>
          </cell>
        </row>
        <row r="145">
          <cell r="B145" t="str">
            <v>geo_Rhineland-Palatinate</v>
          </cell>
          <cell r="C145">
            <v>2174</v>
          </cell>
          <cell r="D145">
            <v>39764346.7999999</v>
          </cell>
        </row>
        <row r="146">
          <cell r="B146" t="str">
            <v>geo_Saarland</v>
          </cell>
          <cell r="C146">
            <v>664</v>
          </cell>
          <cell r="D146">
            <v>11002902.350000007</v>
          </cell>
        </row>
        <row r="147">
          <cell r="B147" t="str">
            <v>geo_Saxonia</v>
          </cell>
          <cell r="C147">
            <v>1943</v>
          </cell>
          <cell r="D147">
            <v>31250991.640000064</v>
          </cell>
        </row>
        <row r="148">
          <cell r="B148" t="str">
            <v>geo_Saxony-Anhalt</v>
          </cell>
          <cell r="C148">
            <v>1531</v>
          </cell>
          <cell r="D148">
            <v>23942576.800000023</v>
          </cell>
        </row>
        <row r="149">
          <cell r="B149" t="str">
            <v>geo_Schleswig-Holstein</v>
          </cell>
          <cell r="C149">
            <v>1560</v>
          </cell>
          <cell r="D149">
            <v>26400763.07</v>
          </cell>
        </row>
        <row r="150">
          <cell r="B150" t="str">
            <v>geo_Thuringia</v>
          </cell>
          <cell r="C150">
            <v>1247</v>
          </cell>
          <cell r="D150">
            <v>21096457.660000023</v>
          </cell>
        </row>
        <row r="151">
          <cell r="B151" t="str">
            <v>geo_n/a</v>
          </cell>
          <cell r="C151">
            <v>11</v>
          </cell>
          <cell r="D151">
            <v>240060.66000000003</v>
          </cell>
        </row>
        <row r="152">
          <cell r="B152" t="str">
            <v>insurance_no</v>
          </cell>
          <cell r="C152">
            <v>17338</v>
          </cell>
          <cell r="D152">
            <v>249249745.26999924</v>
          </cell>
        </row>
        <row r="153">
          <cell r="B153" t="str">
            <v>insurance_yes</v>
          </cell>
          <cell r="C153">
            <v>27086</v>
          </cell>
          <cell r="D153">
            <v>550750225.88999844</v>
          </cell>
        </row>
        <row r="154">
          <cell r="B154" t="str">
            <v>interest_wa interest</v>
          </cell>
          <cell r="C154">
            <v>44424</v>
          </cell>
          <cell r="D154">
            <v>7.4776200673639118E-2</v>
          </cell>
        </row>
        <row r="155">
          <cell r="B155" t="str">
            <v>loanconc_ 1: 1</v>
          </cell>
          <cell r="C155">
            <v>43577</v>
          </cell>
          <cell r="D155">
            <v>790472036.92999709</v>
          </cell>
        </row>
        <row r="156">
          <cell r="B156" t="str">
            <v>loanconc_ 2: 2</v>
          </cell>
          <cell r="C156">
            <v>419</v>
          </cell>
          <cell r="D156">
            <v>9476096.4200000074</v>
          </cell>
        </row>
        <row r="157">
          <cell r="B157" t="str">
            <v>loanconc_ 3: 3</v>
          </cell>
          <cell r="C157">
            <v>3</v>
          </cell>
          <cell r="D157">
            <v>51837.81</v>
          </cell>
        </row>
        <row r="158">
          <cell r="B158" t="str">
            <v>loanconc_ 4: 4</v>
          </cell>
          <cell r="C158">
            <v>0</v>
          </cell>
          <cell r="D158">
            <v>0</v>
          </cell>
        </row>
        <row r="159">
          <cell r="B159" t="str">
            <v>loanconc_ 5: 5</v>
          </cell>
          <cell r="C159">
            <v>0</v>
          </cell>
          <cell r="D159">
            <v>0</v>
          </cell>
        </row>
        <row r="160">
          <cell r="B160" t="str">
            <v>loanconc_ 6: 6</v>
          </cell>
          <cell r="C160">
            <v>0</v>
          </cell>
          <cell r="D160">
            <v>0</v>
          </cell>
        </row>
        <row r="161">
          <cell r="B161" t="str">
            <v>loanconc_ 7:</v>
          </cell>
          <cell r="C161">
            <v>0</v>
          </cell>
          <cell r="D161">
            <v>0</v>
          </cell>
        </row>
        <row r="162">
          <cell r="B162" t="str">
            <v>origterm_ 14: 20</v>
          </cell>
          <cell r="C162">
            <v>511</v>
          </cell>
          <cell r="D162">
            <v>859148.61000000022</v>
          </cell>
        </row>
        <row r="163">
          <cell r="B163" t="str">
            <v>origterm_ 21: 27</v>
          </cell>
          <cell r="C163">
            <v>1429</v>
          </cell>
          <cell r="D163">
            <v>3422524.849999995</v>
          </cell>
        </row>
        <row r="164">
          <cell r="B164" t="str">
            <v>origterm_ 28: 34</v>
          </cell>
          <cell r="C164">
            <v>227</v>
          </cell>
          <cell r="D164">
            <v>1078454.1600000004</v>
          </cell>
        </row>
        <row r="165">
          <cell r="B165" t="str">
            <v>origterm_ 35: 41</v>
          </cell>
          <cell r="C165">
            <v>2174</v>
          </cell>
          <cell r="D165">
            <v>9723731.7299999967</v>
          </cell>
        </row>
        <row r="166">
          <cell r="B166" t="str">
            <v>origterm_ 42: 48</v>
          </cell>
          <cell r="C166">
            <v>396</v>
          </cell>
          <cell r="D166">
            <v>3253703.9999999981</v>
          </cell>
        </row>
        <row r="167">
          <cell r="B167" t="str">
            <v>origterm_ 49: 55</v>
          </cell>
          <cell r="C167">
            <v>2820</v>
          </cell>
          <cell r="D167">
            <v>18713855.140000015</v>
          </cell>
        </row>
        <row r="168">
          <cell r="B168" t="str">
            <v>origterm_ 56: 62</v>
          </cell>
          <cell r="C168">
            <v>3007</v>
          </cell>
          <cell r="D168">
            <v>29338724.679999966</v>
          </cell>
        </row>
        <row r="169">
          <cell r="B169" t="str">
            <v>origterm_ 63: 69</v>
          </cell>
          <cell r="C169">
            <v>454</v>
          </cell>
          <cell r="D169">
            <v>6461157.8800000027</v>
          </cell>
        </row>
        <row r="170">
          <cell r="B170" t="str">
            <v>origterm_ 70: 76</v>
          </cell>
          <cell r="C170">
            <v>2691</v>
          </cell>
          <cell r="D170">
            <v>35521895.410000041</v>
          </cell>
        </row>
        <row r="171">
          <cell r="B171" t="str">
            <v>origterm_ 77: 83</v>
          </cell>
          <cell r="C171">
            <v>501</v>
          </cell>
          <cell r="D171">
            <v>10224906.449999997</v>
          </cell>
        </row>
        <row r="172">
          <cell r="B172" t="str">
            <v>origterm_ 84: 90</v>
          </cell>
          <cell r="C172">
            <v>5931</v>
          </cell>
          <cell r="D172">
            <v>90065040.270000085</v>
          </cell>
        </row>
        <row r="173">
          <cell r="B173" t="str">
            <v>origterm_ 91: 97</v>
          </cell>
          <cell r="C173">
            <v>18529</v>
          </cell>
          <cell r="D173">
            <v>449089412.41000015</v>
          </cell>
        </row>
        <row r="174">
          <cell r="B174" t="str">
            <v>origterm_ 98:104</v>
          </cell>
          <cell r="C174">
            <v>5259</v>
          </cell>
          <cell r="D174">
            <v>141599306.45000008</v>
          </cell>
        </row>
        <row r="175">
          <cell r="B175" t="str">
            <v>origterm_0: 13</v>
          </cell>
          <cell r="C175">
            <v>488</v>
          </cell>
          <cell r="D175">
            <v>518490.38</v>
          </cell>
        </row>
        <row r="176">
          <cell r="B176" t="str">
            <v>origterm_105:111</v>
          </cell>
          <cell r="C176">
            <v>7</v>
          </cell>
          <cell r="D176">
            <v>129618.73999999999</v>
          </cell>
        </row>
        <row r="177">
          <cell r="B177" t="str">
            <v>origterm_112:</v>
          </cell>
          <cell r="C177">
            <v>0</v>
          </cell>
          <cell r="D177">
            <v>0</v>
          </cell>
        </row>
        <row r="178">
          <cell r="B178" t="str">
            <v>origterm_wa original term</v>
          </cell>
          <cell r="C178">
            <v>44424</v>
          </cell>
          <cell r="D178">
            <v>90.397520097431197</v>
          </cell>
        </row>
        <row r="179">
          <cell r="B179" t="str">
            <v>payment_15th of month</v>
          </cell>
          <cell r="C179">
            <v>10945</v>
          </cell>
          <cell r="D179">
            <v>189682475.17000028</v>
          </cell>
        </row>
        <row r="180">
          <cell r="B180" t="str">
            <v>payment_1st of month</v>
          </cell>
          <cell r="C180">
            <v>33479</v>
          </cell>
          <cell r="D180">
            <v>610317495.98999953</v>
          </cell>
        </row>
        <row r="181">
          <cell r="B181" t="str">
            <v>payment_direct debit</v>
          </cell>
          <cell r="C181">
            <v>43912</v>
          </cell>
          <cell r="D181">
            <v>791060419.27000201</v>
          </cell>
        </row>
        <row r="182">
          <cell r="B182" t="str">
            <v>payment_other</v>
          </cell>
          <cell r="C182">
            <v>512</v>
          </cell>
          <cell r="D182">
            <v>8939551.889999995</v>
          </cell>
        </row>
        <row r="183">
          <cell r="B183" t="str">
            <v>period_1</v>
          </cell>
          <cell r="C183">
            <v>44424</v>
          </cell>
          <cell r="D183">
            <v>799999971.16000187</v>
          </cell>
        </row>
        <row r="184">
          <cell r="B184" t="str">
            <v>period_10</v>
          </cell>
          <cell r="C184">
            <v>43188</v>
          </cell>
          <cell r="D184">
            <v>720465332.77999997</v>
          </cell>
        </row>
        <row r="185">
          <cell r="B185" t="str">
            <v>period_100</v>
          </cell>
          <cell r="C185">
            <v>0</v>
          </cell>
          <cell r="D185">
            <v>0</v>
          </cell>
        </row>
        <row r="186">
          <cell r="B186" t="str">
            <v>period_101</v>
          </cell>
          <cell r="C186">
            <v>0</v>
          </cell>
          <cell r="D186">
            <v>0</v>
          </cell>
        </row>
        <row r="187">
          <cell r="B187" t="str">
            <v>period_11</v>
          </cell>
          <cell r="C187">
            <v>43070</v>
          </cell>
          <cell r="D187">
            <v>711494218.55999994</v>
          </cell>
        </row>
        <row r="188">
          <cell r="B188" t="str">
            <v>period_12</v>
          </cell>
          <cell r="C188">
            <v>42931</v>
          </cell>
          <cell r="D188">
            <v>702492789.62</v>
          </cell>
        </row>
        <row r="189">
          <cell r="B189" t="str">
            <v>period_13</v>
          </cell>
          <cell r="C189">
            <v>42787</v>
          </cell>
          <cell r="D189">
            <v>693461783.25999999</v>
          </cell>
        </row>
        <row r="190">
          <cell r="B190" t="str">
            <v>period_14</v>
          </cell>
          <cell r="C190">
            <v>42640</v>
          </cell>
          <cell r="D190">
            <v>684401836.83000004</v>
          </cell>
        </row>
        <row r="191">
          <cell r="B191" t="str">
            <v>period_15</v>
          </cell>
          <cell r="C191">
            <v>42477</v>
          </cell>
          <cell r="D191">
            <v>675314054.16999996</v>
          </cell>
        </row>
        <row r="192">
          <cell r="B192" t="str">
            <v>period_16</v>
          </cell>
          <cell r="C192">
            <v>42384</v>
          </cell>
          <cell r="D192">
            <v>666201106.63</v>
          </cell>
        </row>
        <row r="193">
          <cell r="B193" t="str">
            <v>period_17</v>
          </cell>
          <cell r="C193">
            <v>42218</v>
          </cell>
          <cell r="D193">
            <v>657049128.16999996</v>
          </cell>
        </row>
        <row r="194">
          <cell r="B194" t="str">
            <v>period_18</v>
          </cell>
          <cell r="C194">
            <v>42036</v>
          </cell>
          <cell r="D194">
            <v>647873593.94000006</v>
          </cell>
        </row>
        <row r="195">
          <cell r="B195" t="str">
            <v>period_19</v>
          </cell>
          <cell r="C195">
            <v>41843</v>
          </cell>
          <cell r="D195">
            <v>638676346.16999996</v>
          </cell>
        </row>
        <row r="196">
          <cell r="B196" t="str">
            <v>period_2</v>
          </cell>
          <cell r="C196">
            <v>44227</v>
          </cell>
          <cell r="D196">
            <v>791285808.84000003</v>
          </cell>
        </row>
        <row r="197">
          <cell r="B197" t="str">
            <v>period_20</v>
          </cell>
          <cell r="C197">
            <v>41650</v>
          </cell>
          <cell r="D197">
            <v>629463638.88999999</v>
          </cell>
        </row>
        <row r="198">
          <cell r="B198" t="str">
            <v>period_21</v>
          </cell>
          <cell r="C198">
            <v>41414</v>
          </cell>
          <cell r="D198">
            <v>620231428.51999998</v>
          </cell>
        </row>
        <row r="199">
          <cell r="B199" t="str">
            <v>period_22</v>
          </cell>
          <cell r="C199">
            <v>41287</v>
          </cell>
          <cell r="D199">
            <v>610987091.20000005</v>
          </cell>
        </row>
        <row r="200">
          <cell r="B200" t="str">
            <v>period_23</v>
          </cell>
          <cell r="C200">
            <v>41141</v>
          </cell>
          <cell r="D200">
            <v>601707647.58000004</v>
          </cell>
        </row>
        <row r="201">
          <cell r="B201" t="str">
            <v>period_24</v>
          </cell>
          <cell r="C201">
            <v>40978</v>
          </cell>
          <cell r="D201">
            <v>592400596.88999999</v>
          </cell>
        </row>
        <row r="202">
          <cell r="B202" t="str">
            <v>period_25</v>
          </cell>
          <cell r="C202">
            <v>40847</v>
          </cell>
          <cell r="D202">
            <v>583070062.77999997</v>
          </cell>
        </row>
        <row r="203">
          <cell r="B203" t="str">
            <v>period_26</v>
          </cell>
          <cell r="C203">
            <v>40667</v>
          </cell>
          <cell r="D203">
            <v>573707310.12</v>
          </cell>
        </row>
        <row r="204">
          <cell r="B204" t="str">
            <v>period_27</v>
          </cell>
          <cell r="C204">
            <v>40456</v>
          </cell>
          <cell r="D204">
            <v>564321062.13</v>
          </cell>
        </row>
        <row r="205">
          <cell r="B205" t="str">
            <v>period_28</v>
          </cell>
          <cell r="C205">
            <v>40317</v>
          </cell>
          <cell r="D205">
            <v>554915564.36000001</v>
          </cell>
        </row>
        <row r="206">
          <cell r="B206" t="str">
            <v>period_29</v>
          </cell>
          <cell r="C206">
            <v>40095</v>
          </cell>
          <cell r="D206">
            <v>545480490.88999999</v>
          </cell>
        </row>
        <row r="207">
          <cell r="B207" t="str">
            <v>period_3</v>
          </cell>
          <cell r="C207">
            <v>44087</v>
          </cell>
          <cell r="D207">
            <v>782527437.53999996</v>
          </cell>
        </row>
        <row r="208">
          <cell r="B208" t="str">
            <v>period_30</v>
          </cell>
          <cell r="C208">
            <v>39820</v>
          </cell>
          <cell r="D208">
            <v>536033656.30000001</v>
          </cell>
        </row>
        <row r="209">
          <cell r="B209" t="str">
            <v>period_31</v>
          </cell>
          <cell r="C209">
            <v>39543</v>
          </cell>
          <cell r="D209">
            <v>526583074.26999998</v>
          </cell>
        </row>
        <row r="210">
          <cell r="B210" t="str">
            <v>period_32</v>
          </cell>
          <cell r="C210">
            <v>39256</v>
          </cell>
          <cell r="D210">
            <v>517131099.41000003</v>
          </cell>
        </row>
        <row r="211">
          <cell r="B211" t="str">
            <v>period_33</v>
          </cell>
          <cell r="C211">
            <v>38867</v>
          </cell>
          <cell r="D211">
            <v>507687272.44999999</v>
          </cell>
        </row>
        <row r="212">
          <cell r="B212" t="str">
            <v>period_34</v>
          </cell>
          <cell r="C212">
            <v>38681</v>
          </cell>
          <cell r="D212">
            <v>498261341.26999998</v>
          </cell>
        </row>
        <row r="213">
          <cell r="B213" t="str">
            <v>period_35</v>
          </cell>
          <cell r="C213">
            <v>38503</v>
          </cell>
          <cell r="D213">
            <v>488816023.19</v>
          </cell>
        </row>
        <row r="214">
          <cell r="B214" t="str">
            <v>period_36</v>
          </cell>
          <cell r="C214">
            <v>38324</v>
          </cell>
          <cell r="D214">
            <v>479348888.33999997</v>
          </cell>
        </row>
        <row r="215">
          <cell r="B215" t="str">
            <v>period_37</v>
          </cell>
          <cell r="C215">
            <v>38130</v>
          </cell>
          <cell r="D215">
            <v>469857272.42000002</v>
          </cell>
        </row>
        <row r="216">
          <cell r="B216" t="str">
            <v>period_38</v>
          </cell>
          <cell r="C216">
            <v>37916</v>
          </cell>
          <cell r="D216">
            <v>460341935.85000002</v>
          </cell>
        </row>
        <row r="217">
          <cell r="B217" t="str">
            <v>period_39</v>
          </cell>
          <cell r="C217">
            <v>37721</v>
          </cell>
          <cell r="D217">
            <v>450813348.47000003</v>
          </cell>
        </row>
        <row r="218">
          <cell r="B218" t="str">
            <v>period_4</v>
          </cell>
          <cell r="C218">
            <v>43992</v>
          </cell>
          <cell r="D218">
            <v>773746496.67999995</v>
          </cell>
        </row>
        <row r="219">
          <cell r="B219" t="str">
            <v>period_40</v>
          </cell>
          <cell r="C219">
            <v>37562</v>
          </cell>
          <cell r="D219">
            <v>441275560.38</v>
          </cell>
        </row>
        <row r="220">
          <cell r="B220" t="str">
            <v>period_41</v>
          </cell>
          <cell r="C220">
            <v>37242</v>
          </cell>
          <cell r="D220">
            <v>431715966.88</v>
          </cell>
        </row>
        <row r="221">
          <cell r="B221" t="str">
            <v>period_42</v>
          </cell>
          <cell r="C221">
            <v>36939</v>
          </cell>
          <cell r="D221">
            <v>422169875.64999998</v>
          </cell>
        </row>
        <row r="222">
          <cell r="B222" t="str">
            <v>period_43</v>
          </cell>
          <cell r="C222">
            <v>36587</v>
          </cell>
          <cell r="D222">
            <v>412627422.00999999</v>
          </cell>
        </row>
        <row r="223">
          <cell r="B223" t="str">
            <v>period_44</v>
          </cell>
          <cell r="C223">
            <v>36252</v>
          </cell>
          <cell r="D223">
            <v>403103998.97000003</v>
          </cell>
        </row>
        <row r="224">
          <cell r="B224" t="str">
            <v>period_45</v>
          </cell>
          <cell r="C224">
            <v>35782</v>
          </cell>
          <cell r="D224">
            <v>393594836.75</v>
          </cell>
        </row>
        <row r="225">
          <cell r="B225" t="str">
            <v>period_46</v>
          </cell>
          <cell r="C225">
            <v>35583</v>
          </cell>
          <cell r="D225">
            <v>384124472.12</v>
          </cell>
        </row>
        <row r="226">
          <cell r="B226" t="str">
            <v>period_47</v>
          </cell>
          <cell r="C226">
            <v>35402</v>
          </cell>
          <cell r="D226">
            <v>374643408.79000002</v>
          </cell>
        </row>
        <row r="227">
          <cell r="B227" t="str">
            <v>period_48</v>
          </cell>
          <cell r="C227">
            <v>35178</v>
          </cell>
          <cell r="D227">
            <v>365148142.10000002</v>
          </cell>
        </row>
        <row r="228">
          <cell r="B228" t="str">
            <v>period_49</v>
          </cell>
          <cell r="C228">
            <v>34983</v>
          </cell>
          <cell r="D228">
            <v>355645237.81999999</v>
          </cell>
        </row>
        <row r="229">
          <cell r="B229" t="str">
            <v>period_5</v>
          </cell>
          <cell r="C229">
            <v>43866</v>
          </cell>
          <cell r="D229">
            <v>764932053.83000004</v>
          </cell>
        </row>
        <row r="230">
          <cell r="B230" t="str">
            <v>period_50</v>
          </cell>
          <cell r="C230">
            <v>34772</v>
          </cell>
          <cell r="D230">
            <v>346131760.58999997</v>
          </cell>
        </row>
        <row r="231">
          <cell r="B231" t="str">
            <v>period_51</v>
          </cell>
          <cell r="C231">
            <v>34550</v>
          </cell>
          <cell r="D231">
            <v>336616051.72000003</v>
          </cell>
        </row>
        <row r="232">
          <cell r="B232" t="str">
            <v>period_52</v>
          </cell>
          <cell r="C232">
            <v>34377</v>
          </cell>
          <cell r="D232">
            <v>327097720.12</v>
          </cell>
        </row>
        <row r="233">
          <cell r="B233" t="str">
            <v>period_53</v>
          </cell>
          <cell r="C233">
            <v>34091</v>
          </cell>
          <cell r="D233">
            <v>317569820.19</v>
          </cell>
        </row>
        <row r="234">
          <cell r="B234" t="str">
            <v>period_54</v>
          </cell>
          <cell r="C234">
            <v>33729</v>
          </cell>
          <cell r="D234">
            <v>308054899.16000003</v>
          </cell>
        </row>
        <row r="235">
          <cell r="B235" t="str">
            <v>period_55</v>
          </cell>
          <cell r="C235">
            <v>33378</v>
          </cell>
          <cell r="D235">
            <v>298568248.92000002</v>
          </cell>
        </row>
        <row r="236">
          <cell r="B236" t="str">
            <v>period_56</v>
          </cell>
          <cell r="C236">
            <v>33002</v>
          </cell>
          <cell r="D236">
            <v>289110916.38</v>
          </cell>
        </row>
        <row r="237">
          <cell r="B237" t="str">
            <v>period_57</v>
          </cell>
          <cell r="C237">
            <v>32501</v>
          </cell>
          <cell r="D237">
            <v>279692510.48000002</v>
          </cell>
        </row>
        <row r="238">
          <cell r="B238" t="str">
            <v>period_58</v>
          </cell>
          <cell r="C238">
            <v>32326</v>
          </cell>
          <cell r="D238">
            <v>270331205.72000003</v>
          </cell>
        </row>
        <row r="239">
          <cell r="B239" t="str">
            <v>period_59</v>
          </cell>
          <cell r="C239">
            <v>32137</v>
          </cell>
          <cell r="D239">
            <v>260960461.94</v>
          </cell>
        </row>
        <row r="240">
          <cell r="B240" t="str">
            <v>period_6</v>
          </cell>
          <cell r="C240">
            <v>43708</v>
          </cell>
          <cell r="D240">
            <v>756086633.69000006</v>
          </cell>
        </row>
        <row r="241">
          <cell r="B241" t="str">
            <v>period_60</v>
          </cell>
          <cell r="C241">
            <v>31924</v>
          </cell>
          <cell r="D241">
            <v>251578306.53999999</v>
          </cell>
        </row>
        <row r="242">
          <cell r="B242" t="str">
            <v>period_61</v>
          </cell>
          <cell r="C242">
            <v>31719</v>
          </cell>
          <cell r="D242">
            <v>242194696.11000001</v>
          </cell>
        </row>
        <row r="243">
          <cell r="B243" t="str">
            <v>period_62</v>
          </cell>
          <cell r="C243">
            <v>31479</v>
          </cell>
          <cell r="D243">
            <v>232807606.06999999</v>
          </cell>
        </row>
        <row r="244">
          <cell r="B244" t="str">
            <v>period_63</v>
          </cell>
          <cell r="C244">
            <v>31238</v>
          </cell>
          <cell r="D244">
            <v>223424791.50999999</v>
          </cell>
        </row>
        <row r="245">
          <cell r="B245" t="str">
            <v>period_64</v>
          </cell>
          <cell r="C245">
            <v>31010</v>
          </cell>
          <cell r="D245">
            <v>214049465.44</v>
          </cell>
        </row>
        <row r="246">
          <cell r="B246" t="str">
            <v>period_65</v>
          </cell>
          <cell r="C246">
            <v>30680</v>
          </cell>
          <cell r="D246">
            <v>204676853.25999999</v>
          </cell>
        </row>
        <row r="247">
          <cell r="B247" t="str">
            <v>period_66</v>
          </cell>
          <cell r="C247">
            <v>30289</v>
          </cell>
          <cell r="D247">
            <v>195334688.16</v>
          </cell>
        </row>
        <row r="248">
          <cell r="B248" t="str">
            <v>period_67</v>
          </cell>
          <cell r="C248">
            <v>29857</v>
          </cell>
          <cell r="D248">
            <v>186037372.00999999</v>
          </cell>
        </row>
        <row r="249">
          <cell r="B249" t="str">
            <v>period_68</v>
          </cell>
          <cell r="C249">
            <v>29353</v>
          </cell>
          <cell r="D249">
            <v>176797941.19999999</v>
          </cell>
        </row>
        <row r="250">
          <cell r="B250" t="str">
            <v>period_69</v>
          </cell>
          <cell r="C250">
            <v>28735</v>
          </cell>
          <cell r="D250">
            <v>167641377.59</v>
          </cell>
        </row>
        <row r="251">
          <cell r="B251" t="str">
            <v>period_7</v>
          </cell>
          <cell r="C251">
            <v>43585</v>
          </cell>
          <cell r="D251">
            <v>747218252.76999998</v>
          </cell>
        </row>
        <row r="252">
          <cell r="B252" t="str">
            <v>period_70</v>
          </cell>
          <cell r="C252">
            <v>28448</v>
          </cell>
          <cell r="D252">
            <v>158584105.28999999</v>
          </cell>
        </row>
        <row r="253">
          <cell r="B253" t="str">
            <v>period_71</v>
          </cell>
          <cell r="C253">
            <v>28125</v>
          </cell>
          <cell r="D253">
            <v>149552084.77000001</v>
          </cell>
        </row>
        <row r="254">
          <cell r="B254" t="str">
            <v>period_72</v>
          </cell>
          <cell r="C254">
            <v>27688</v>
          </cell>
          <cell r="D254">
            <v>140551257.84</v>
          </cell>
        </row>
        <row r="255">
          <cell r="B255" t="str">
            <v>period_73</v>
          </cell>
          <cell r="C255">
            <v>27236</v>
          </cell>
          <cell r="D255">
            <v>131605833.55</v>
          </cell>
        </row>
        <row r="256">
          <cell r="B256" t="str">
            <v>period_74</v>
          </cell>
          <cell r="C256">
            <v>26727</v>
          </cell>
          <cell r="D256">
            <v>122722869.81999999</v>
          </cell>
        </row>
        <row r="257">
          <cell r="B257" t="str">
            <v>period_75</v>
          </cell>
          <cell r="C257">
            <v>26133</v>
          </cell>
          <cell r="D257">
            <v>113932534.90000001</v>
          </cell>
        </row>
        <row r="258">
          <cell r="B258" t="str">
            <v>period_76</v>
          </cell>
          <cell r="C258">
            <v>25791</v>
          </cell>
          <cell r="D258">
            <v>105267354.05</v>
          </cell>
        </row>
        <row r="259">
          <cell r="B259" t="str">
            <v>period_77</v>
          </cell>
          <cell r="C259">
            <v>25101</v>
          </cell>
          <cell r="D259">
            <v>96659777.909999996</v>
          </cell>
        </row>
        <row r="260">
          <cell r="B260" t="str">
            <v>period_78</v>
          </cell>
          <cell r="C260">
            <v>24337</v>
          </cell>
          <cell r="D260">
            <v>88212844.049999997</v>
          </cell>
        </row>
        <row r="261">
          <cell r="B261" t="str">
            <v>period_79</v>
          </cell>
          <cell r="C261">
            <v>23449</v>
          </cell>
          <cell r="D261">
            <v>79961602.689999998</v>
          </cell>
        </row>
        <row r="262">
          <cell r="B262" t="str">
            <v>period_8</v>
          </cell>
          <cell r="C262">
            <v>43437</v>
          </cell>
          <cell r="D262">
            <v>738320182.88999999</v>
          </cell>
        </row>
        <row r="263">
          <cell r="B263" t="str">
            <v>period_80</v>
          </cell>
          <cell r="C263">
            <v>22457</v>
          </cell>
          <cell r="D263">
            <v>71938960.540000007</v>
          </cell>
        </row>
        <row r="264">
          <cell r="B264" t="str">
            <v>period_81</v>
          </cell>
          <cell r="C264">
            <v>21090</v>
          </cell>
          <cell r="D264">
            <v>64166684.799999997</v>
          </cell>
        </row>
        <row r="265">
          <cell r="B265" t="str">
            <v>period_82</v>
          </cell>
          <cell r="C265">
            <v>20363</v>
          </cell>
          <cell r="D265">
            <v>56763937.43</v>
          </cell>
        </row>
        <row r="266">
          <cell r="B266" t="str">
            <v>period_83</v>
          </cell>
          <cell r="C266">
            <v>19524</v>
          </cell>
          <cell r="D266">
            <v>49572475.359999999</v>
          </cell>
        </row>
        <row r="267">
          <cell r="B267" t="str">
            <v>period_84</v>
          </cell>
          <cell r="C267">
            <v>18336</v>
          </cell>
          <cell r="D267">
            <v>42617625.93</v>
          </cell>
        </row>
        <row r="268">
          <cell r="B268" t="str">
            <v>period_85</v>
          </cell>
          <cell r="C268">
            <v>17271</v>
          </cell>
          <cell r="D268">
            <v>36038794.619999997</v>
          </cell>
        </row>
        <row r="269">
          <cell r="B269" t="str">
            <v>period_86</v>
          </cell>
          <cell r="C269">
            <v>16262</v>
          </cell>
          <cell r="D269">
            <v>29802895.690000001</v>
          </cell>
        </row>
        <row r="270">
          <cell r="B270" t="str">
            <v>period_87</v>
          </cell>
          <cell r="C270">
            <v>15023</v>
          </cell>
          <cell r="D270">
            <v>23910257.699999999</v>
          </cell>
        </row>
        <row r="271">
          <cell r="B271" t="str">
            <v>period_88</v>
          </cell>
          <cell r="C271">
            <v>14177</v>
          </cell>
          <cell r="D271">
            <v>18448114.850000001</v>
          </cell>
        </row>
        <row r="272">
          <cell r="B272" t="str">
            <v>period_89</v>
          </cell>
          <cell r="C272">
            <v>12417</v>
          </cell>
          <cell r="D272">
            <v>13268744.73</v>
          </cell>
        </row>
        <row r="273">
          <cell r="B273" t="str">
            <v>period_9</v>
          </cell>
          <cell r="C273">
            <v>43288</v>
          </cell>
          <cell r="D273">
            <v>729404178.64999998</v>
          </cell>
        </row>
        <row r="274">
          <cell r="B274" t="str">
            <v>period_90</v>
          </cell>
          <cell r="C274">
            <v>9974</v>
          </cell>
          <cell r="D274">
            <v>8725071.9900000002</v>
          </cell>
        </row>
        <row r="275">
          <cell r="B275" t="str">
            <v>period_91</v>
          </cell>
          <cell r="C275">
            <v>7514</v>
          </cell>
          <cell r="D275">
            <v>5085151.45</v>
          </cell>
        </row>
        <row r="276">
          <cell r="B276" t="str">
            <v>period_92</v>
          </cell>
          <cell r="C276">
            <v>4934</v>
          </cell>
          <cell r="D276">
            <v>2346327.02</v>
          </cell>
        </row>
        <row r="277">
          <cell r="B277" t="str">
            <v>period_93</v>
          </cell>
          <cell r="C277">
            <v>1073</v>
          </cell>
          <cell r="D277">
            <v>567359.52</v>
          </cell>
        </row>
        <row r="278">
          <cell r="B278" t="str">
            <v>period_94</v>
          </cell>
          <cell r="C278">
            <v>536</v>
          </cell>
          <cell r="D278">
            <v>223837.14</v>
          </cell>
        </row>
        <row r="279">
          <cell r="B279" t="str">
            <v>period_95</v>
          </cell>
          <cell r="C279">
            <v>180</v>
          </cell>
          <cell r="D279">
            <v>60997.34</v>
          </cell>
        </row>
        <row r="280">
          <cell r="B280" t="str">
            <v>period_96</v>
          </cell>
          <cell r="C280">
            <v>12</v>
          </cell>
          <cell r="D280">
            <v>7084.27</v>
          </cell>
        </row>
        <row r="281">
          <cell r="B281" t="str">
            <v>period_97</v>
          </cell>
          <cell r="C281">
            <v>5</v>
          </cell>
          <cell r="D281">
            <v>2933.59</v>
          </cell>
        </row>
        <row r="282">
          <cell r="B282" t="str">
            <v>period_98</v>
          </cell>
          <cell r="C282">
            <v>2</v>
          </cell>
          <cell r="D282">
            <v>1303.8</v>
          </cell>
        </row>
        <row r="283">
          <cell r="B283" t="str">
            <v>period_99</v>
          </cell>
          <cell r="C283">
            <v>1</v>
          </cell>
          <cell r="D283">
            <v>417.39</v>
          </cell>
        </row>
        <row r="284">
          <cell r="B284" t="str">
            <v>remaining_  0:  6</v>
          </cell>
          <cell r="C284">
            <v>817</v>
          </cell>
          <cell r="D284">
            <v>523007.99000000034</v>
          </cell>
        </row>
        <row r="285">
          <cell r="B285" t="str">
            <v>remaining_  7: 13</v>
          </cell>
          <cell r="C285">
            <v>946</v>
          </cell>
          <cell r="D285">
            <v>1820686.6600000006</v>
          </cell>
        </row>
        <row r="286">
          <cell r="B286" t="str">
            <v>remaining_ 14: 20</v>
          </cell>
          <cell r="C286">
            <v>1226</v>
          </cell>
          <cell r="D286">
            <v>3840674.2099999925</v>
          </cell>
        </row>
        <row r="287">
          <cell r="B287" t="str">
            <v>remaining_ 21: 27</v>
          </cell>
          <cell r="C287">
            <v>1097</v>
          </cell>
          <cell r="D287">
            <v>4671718.4700000025</v>
          </cell>
        </row>
        <row r="288">
          <cell r="B288" t="str">
            <v>remaining_ 28: 34</v>
          </cell>
          <cell r="C288">
            <v>1815</v>
          </cell>
          <cell r="D288">
            <v>10433864.369999999</v>
          </cell>
        </row>
        <row r="289">
          <cell r="B289" t="str">
            <v>remaining_ 35: 41</v>
          </cell>
          <cell r="C289">
            <v>1564</v>
          </cell>
          <cell r="D289">
            <v>11478023.09000002</v>
          </cell>
        </row>
        <row r="290">
          <cell r="B290" t="str">
            <v>remaining_ 42: 48</v>
          </cell>
          <cell r="C290">
            <v>1957</v>
          </cell>
          <cell r="D290">
            <v>17080779.019999962</v>
          </cell>
        </row>
        <row r="291">
          <cell r="B291" t="str">
            <v>remaining_ 49: 55</v>
          </cell>
          <cell r="C291">
            <v>1983</v>
          </cell>
          <cell r="D291">
            <v>22579960.150000017</v>
          </cell>
        </row>
        <row r="292">
          <cell r="B292" t="str">
            <v>remaining_ 56: 62</v>
          </cell>
          <cell r="C292">
            <v>1767</v>
          </cell>
          <cell r="D292">
            <v>22330091.03000002</v>
          </cell>
        </row>
        <row r="293">
          <cell r="B293" t="str">
            <v>remaining_ 63: 69</v>
          </cell>
          <cell r="C293">
            <v>2793</v>
          </cell>
          <cell r="D293">
            <v>41617333.4000002</v>
          </cell>
        </row>
        <row r="294">
          <cell r="B294" t="str">
            <v>remaining_ 70: 76</v>
          </cell>
          <cell r="C294">
            <v>3347</v>
          </cell>
          <cell r="D294">
            <v>59297501.679999895</v>
          </cell>
        </row>
        <row r="295">
          <cell r="B295" t="str">
            <v>remaining_ 77: 83</v>
          </cell>
          <cell r="C295">
            <v>6767</v>
          </cell>
          <cell r="D295">
            <v>144598532.11999997</v>
          </cell>
        </row>
        <row r="296">
          <cell r="B296" t="str">
            <v>remaining_ 84: 90</v>
          </cell>
          <cell r="C296">
            <v>10830</v>
          </cell>
          <cell r="D296">
            <v>272484489.73000032</v>
          </cell>
        </row>
        <row r="297">
          <cell r="B297" t="str">
            <v>remaining_ 91: 97</v>
          </cell>
          <cell r="C297">
            <v>7513</v>
          </cell>
          <cell r="D297">
            <v>187181466.67000002</v>
          </cell>
        </row>
        <row r="298">
          <cell r="B298" t="str">
            <v>remaining_98:</v>
          </cell>
          <cell r="C298">
            <v>2</v>
          </cell>
          <cell r="D298">
            <v>61842.57</v>
          </cell>
        </row>
        <row r="299">
          <cell r="B299" t="str">
            <v>remaining_wa remaining term</v>
          </cell>
          <cell r="C299">
            <v>44424</v>
          </cell>
          <cell r="D299">
            <v>80.066152479947377</v>
          </cell>
        </row>
        <row r="300">
          <cell r="B300" t="str">
            <v>seasoning_ 0: 2</v>
          </cell>
          <cell r="C300">
            <v>251</v>
          </cell>
          <cell r="D300">
            <v>3587194.6099999989</v>
          </cell>
        </row>
        <row r="301">
          <cell r="B301" t="str">
            <v>seasoning_ 3: 5</v>
          </cell>
          <cell r="C301">
            <v>7265</v>
          </cell>
          <cell r="D301">
            <v>135185309.68000025</v>
          </cell>
        </row>
        <row r="302">
          <cell r="B302" t="str">
            <v>seasoning_ 6: 8</v>
          </cell>
          <cell r="C302">
            <v>13048</v>
          </cell>
          <cell r="D302">
            <v>250541073.51000023</v>
          </cell>
        </row>
        <row r="303">
          <cell r="B303" t="str">
            <v>seasoning_ 9:11</v>
          </cell>
          <cell r="C303">
            <v>7486</v>
          </cell>
          <cell r="D303">
            <v>140243470.09999952</v>
          </cell>
        </row>
        <row r="304">
          <cell r="B304" t="str">
            <v>seasoning_12:14</v>
          </cell>
          <cell r="C304">
            <v>6367</v>
          </cell>
          <cell r="D304">
            <v>112011315.3700002</v>
          </cell>
        </row>
        <row r="305">
          <cell r="B305" t="str">
            <v>seasoning_15:17</v>
          </cell>
          <cell r="C305">
            <v>3897</v>
          </cell>
          <cell r="D305">
            <v>66068791.770000033</v>
          </cell>
        </row>
        <row r="306">
          <cell r="B306" t="str">
            <v>seasoning_18:20</v>
          </cell>
          <cell r="C306">
            <v>2716</v>
          </cell>
          <cell r="D306">
            <v>46565317.779999971</v>
          </cell>
        </row>
        <row r="307">
          <cell r="B307" t="str">
            <v>seasoning_21:23</v>
          </cell>
          <cell r="C307">
            <v>1814</v>
          </cell>
          <cell r="D307">
            <v>26276488.859999988</v>
          </cell>
        </row>
        <row r="308">
          <cell r="B308" t="str">
            <v>seasoning_24:26</v>
          </cell>
          <cell r="C308">
            <v>909</v>
          </cell>
          <cell r="D308">
            <v>11573146.980000023</v>
          </cell>
        </row>
        <row r="309">
          <cell r="B309" t="str">
            <v>seasoning_27:29</v>
          </cell>
          <cell r="C309">
            <v>243</v>
          </cell>
          <cell r="D309">
            <v>3201718.5199999977</v>
          </cell>
        </row>
        <row r="310">
          <cell r="B310" t="str">
            <v>seasoning_30:32</v>
          </cell>
          <cell r="C310">
            <v>151</v>
          </cell>
          <cell r="D310">
            <v>2145700.5400000005</v>
          </cell>
        </row>
        <row r="311">
          <cell r="B311" t="str">
            <v>seasoning_33:35</v>
          </cell>
          <cell r="C311">
            <v>97</v>
          </cell>
          <cell r="D311">
            <v>980070.26</v>
          </cell>
        </row>
        <row r="312">
          <cell r="B312" t="str">
            <v>seasoning_36:38</v>
          </cell>
          <cell r="C312">
            <v>68</v>
          </cell>
          <cell r="D312">
            <v>815700.96</v>
          </cell>
        </row>
        <row r="313">
          <cell r="B313" t="str">
            <v>seasoning_39:41</v>
          </cell>
          <cell r="C313">
            <v>15</v>
          </cell>
          <cell r="D313">
            <v>108910.62</v>
          </cell>
        </row>
        <row r="314">
          <cell r="B314" t="str">
            <v>seasoning_42:44</v>
          </cell>
          <cell r="C314">
            <v>20</v>
          </cell>
          <cell r="D314">
            <v>137401.84</v>
          </cell>
        </row>
        <row r="315">
          <cell r="B315" t="str">
            <v>seasoning_45:47</v>
          </cell>
          <cell r="C315">
            <v>21</v>
          </cell>
          <cell r="D315">
            <v>188954.34999999998</v>
          </cell>
        </row>
        <row r="316">
          <cell r="B316" t="str">
            <v>seasoning_48:50</v>
          </cell>
          <cell r="C316">
            <v>12</v>
          </cell>
          <cell r="D316">
            <v>82928.160000000003</v>
          </cell>
        </row>
        <row r="317">
          <cell r="B317" t="str">
            <v>seasoning_51:53</v>
          </cell>
          <cell r="C317">
            <v>10</v>
          </cell>
          <cell r="D317">
            <v>65146.22</v>
          </cell>
        </row>
        <row r="318">
          <cell r="B318" t="str">
            <v>seasoning_54:56</v>
          </cell>
          <cell r="C318">
            <v>8</v>
          </cell>
          <cell r="D318">
            <v>83923.250000000015</v>
          </cell>
        </row>
        <row r="319">
          <cell r="B319" t="str">
            <v>seasoning_57:59</v>
          </cell>
          <cell r="C319">
            <v>6</v>
          </cell>
          <cell r="D319">
            <v>17515.580000000002</v>
          </cell>
        </row>
        <row r="320">
          <cell r="B320" t="str">
            <v>seasoning_60:62</v>
          </cell>
          <cell r="C320">
            <v>5</v>
          </cell>
          <cell r="D320">
            <v>56382.84</v>
          </cell>
        </row>
        <row r="321">
          <cell r="B321" t="str">
            <v>seasoning_63:65</v>
          </cell>
          <cell r="C321">
            <v>2</v>
          </cell>
          <cell r="D321">
            <v>21875.69</v>
          </cell>
        </row>
        <row r="322">
          <cell r="B322" t="str">
            <v>seasoning_66:68</v>
          </cell>
          <cell r="C322">
            <v>4</v>
          </cell>
          <cell r="D322">
            <v>12545.89</v>
          </cell>
        </row>
        <row r="323">
          <cell r="B323" t="str">
            <v>seasoning_69:71</v>
          </cell>
          <cell r="C323">
            <v>2</v>
          </cell>
          <cell r="D323">
            <v>844.75</v>
          </cell>
        </row>
        <row r="324">
          <cell r="B324" t="str">
            <v>seasoning_72:74</v>
          </cell>
          <cell r="C324">
            <v>4</v>
          </cell>
          <cell r="D324">
            <v>22367.23</v>
          </cell>
        </row>
        <row r="325">
          <cell r="B325" t="str">
            <v>seasoning_75:77</v>
          </cell>
          <cell r="C325">
            <v>1</v>
          </cell>
          <cell r="D325">
            <v>3373.2</v>
          </cell>
        </row>
        <row r="326">
          <cell r="B326" t="str">
            <v>seasoning_78:80</v>
          </cell>
          <cell r="C326">
            <v>0</v>
          </cell>
          <cell r="D326">
            <v>0</v>
          </cell>
        </row>
        <row r="327">
          <cell r="B327" t="str">
            <v>seasoning_81:</v>
          </cell>
          <cell r="C327">
            <v>2</v>
          </cell>
          <cell r="D327">
            <v>2502.6</v>
          </cell>
        </row>
        <row r="328">
          <cell r="B328" t="str">
            <v>seasoning_wa seasoning</v>
          </cell>
          <cell r="C328">
            <v>44424</v>
          </cell>
          <cell r="D328">
            <v>10.33136761748321</v>
          </cell>
        </row>
      </sheetData>
      <sheetData sheetId="38"/>
      <sheetData sheetId="39"/>
      <sheetData sheetId="40"/>
      <sheetData sheetId="41">
        <row r="1">
          <cell r="B1" t="str">
            <v>RANGE</v>
          </cell>
          <cell r="C1" t="str">
            <v>F2</v>
          </cell>
          <cell r="D1" t="str">
            <v>F3</v>
          </cell>
          <cell r="E1" t="str">
            <v>F4</v>
          </cell>
          <cell r="F1" t="str">
            <v>F5</v>
          </cell>
          <cell r="G1" t="str">
            <v>F6</v>
          </cell>
        </row>
        <row r="2">
          <cell r="B2" t="str">
            <v>portfolio_1</v>
          </cell>
          <cell r="C2">
            <v>799999981.55999994</v>
          </cell>
          <cell r="D2">
            <v>10261648.470000001</v>
          </cell>
          <cell r="E2">
            <v>12394844.210000001</v>
          </cell>
          <cell r="F2">
            <v>22656492.68</v>
          </cell>
          <cell r="G2">
            <v>0.17086975151042294</v>
          </cell>
        </row>
        <row r="3">
          <cell r="B3" t="str">
            <v>portfolio_2</v>
          </cell>
          <cell r="C3">
            <v>799999981.55999994</v>
          </cell>
          <cell r="D3">
            <v>10582715.699999999</v>
          </cell>
          <cell r="E3">
            <v>9485939.2200000007</v>
          </cell>
          <cell r="F3">
            <v>20068654.920000002</v>
          </cell>
          <cell r="G3">
            <v>0.13336675778769724</v>
          </cell>
        </row>
        <row r="4">
          <cell r="B4" t="str">
            <v>portfolio_3</v>
          </cell>
          <cell r="C4">
            <v>799999941.96000004</v>
          </cell>
          <cell r="D4">
            <v>10289028.23</v>
          </cell>
          <cell r="E4">
            <v>9151176.25</v>
          </cell>
          <cell r="F4">
            <v>19440204.48</v>
          </cell>
          <cell r="G4">
            <v>0.12895252131821233</v>
          </cell>
        </row>
        <row r="5">
          <cell r="B5" t="str">
            <v>portfolio_4</v>
          </cell>
        </row>
        <row r="6">
          <cell r="B6" t="str">
            <v>portfolio_5</v>
          </cell>
        </row>
        <row r="7">
          <cell r="B7" t="str">
            <v>portfolio_6</v>
          </cell>
        </row>
        <row r="8">
          <cell r="B8" t="str">
            <v>portfolio_7</v>
          </cell>
        </row>
        <row r="9">
          <cell r="B9" t="str">
            <v>portfolio_8</v>
          </cell>
        </row>
        <row r="10">
          <cell r="B10" t="str">
            <v>portfolio_9</v>
          </cell>
        </row>
        <row r="11">
          <cell r="B11" t="str">
            <v>portfolio_10</v>
          </cell>
        </row>
        <row r="12">
          <cell r="B12" t="str">
            <v>portfolio_11</v>
          </cell>
        </row>
        <row r="13">
          <cell r="B13" t="str">
            <v>portfolio_12</v>
          </cell>
        </row>
        <row r="14">
          <cell r="B14" t="str">
            <v>portfolio_13</v>
          </cell>
        </row>
        <row r="15">
          <cell r="B15" t="str">
            <v>portfolio_14</v>
          </cell>
        </row>
        <row r="16">
          <cell r="B16" t="str">
            <v>portfolio_15</v>
          </cell>
        </row>
        <row r="17">
          <cell r="B17" t="str">
            <v>portfolio_16</v>
          </cell>
        </row>
        <row r="18">
          <cell r="B18" t="str">
            <v>portfolio_17</v>
          </cell>
        </row>
        <row r="19">
          <cell r="B19" t="str">
            <v>portfolio_18</v>
          </cell>
        </row>
        <row r="20">
          <cell r="B20" t="str">
            <v>portfolio_19</v>
          </cell>
        </row>
        <row r="21">
          <cell r="B21" t="str">
            <v>portfolio_20</v>
          </cell>
        </row>
        <row r="22">
          <cell r="B22" t="str">
            <v>portfolio_21</v>
          </cell>
        </row>
        <row r="23">
          <cell r="B23" t="str">
            <v>portfolio_22</v>
          </cell>
        </row>
        <row r="24">
          <cell r="B24" t="str">
            <v>portfolio_23</v>
          </cell>
        </row>
        <row r="25">
          <cell r="B25" t="str">
            <v>portfolio_24</v>
          </cell>
        </row>
        <row r="26">
          <cell r="B26" t="str">
            <v>portfolio_25</v>
          </cell>
        </row>
        <row r="27">
          <cell r="B27" t="str">
            <v>portfolio_26</v>
          </cell>
        </row>
        <row r="28">
          <cell r="B28" t="str">
            <v>portfolio_27</v>
          </cell>
        </row>
        <row r="29">
          <cell r="B29" t="str">
            <v>portfolio_28</v>
          </cell>
        </row>
        <row r="30">
          <cell r="B30" t="str">
            <v>portfolio_29</v>
          </cell>
        </row>
        <row r="31">
          <cell r="B31" t="str">
            <v>portfolio_30</v>
          </cell>
        </row>
        <row r="32">
          <cell r="B32" t="str">
            <v>portfolio_31</v>
          </cell>
        </row>
        <row r="33">
          <cell r="B33" t="str">
            <v>portfolio_32</v>
          </cell>
        </row>
        <row r="34">
          <cell r="B34" t="str">
            <v>portfolio_33</v>
          </cell>
        </row>
        <row r="35">
          <cell r="B35" t="str">
            <v>portfolio_34</v>
          </cell>
        </row>
        <row r="36">
          <cell r="B36" t="str">
            <v>portfolio_35</v>
          </cell>
        </row>
        <row r="37">
          <cell r="B37" t="str">
            <v>portfolio_36</v>
          </cell>
        </row>
        <row r="38">
          <cell r="B38" t="str">
            <v>portfolio_37</v>
          </cell>
        </row>
        <row r="39">
          <cell r="B39" t="str">
            <v>portfolio_38</v>
          </cell>
        </row>
        <row r="40">
          <cell r="B40" t="str">
            <v>portfolio_39</v>
          </cell>
        </row>
        <row r="41">
          <cell r="B41" t="str">
            <v>portfolio_40</v>
          </cell>
        </row>
        <row r="42">
          <cell r="B42" t="str">
            <v>portfolio_41</v>
          </cell>
        </row>
        <row r="43">
          <cell r="B43" t="str">
            <v>portfolio_42</v>
          </cell>
        </row>
        <row r="44">
          <cell r="B44" t="str">
            <v>portfolio_43</v>
          </cell>
        </row>
        <row r="45">
          <cell r="B45" t="str">
            <v>portfolio_44</v>
          </cell>
        </row>
        <row r="46">
          <cell r="B46" t="str">
            <v>portfolio_45</v>
          </cell>
        </row>
        <row r="47">
          <cell r="B47" t="str">
            <v>portfolio_46</v>
          </cell>
        </row>
        <row r="48">
          <cell r="B48" t="str">
            <v>portfolio_47</v>
          </cell>
        </row>
        <row r="49">
          <cell r="B49" t="str">
            <v>portfolio_48</v>
          </cell>
        </row>
        <row r="50">
          <cell r="B50" t="str">
            <v>portfolio_49</v>
          </cell>
        </row>
        <row r="51">
          <cell r="B51" t="str">
            <v>portfolio_50</v>
          </cell>
        </row>
        <row r="52">
          <cell r="B52" t="str">
            <v>portfolio_51</v>
          </cell>
        </row>
        <row r="53">
          <cell r="B53" t="str">
            <v>portfolio_52</v>
          </cell>
        </row>
        <row r="54">
          <cell r="B54" t="str">
            <v>portfolio_53</v>
          </cell>
        </row>
        <row r="55">
          <cell r="B55" t="str">
            <v>portfolio_54</v>
          </cell>
        </row>
        <row r="56">
          <cell r="B56" t="str">
            <v>portfolio_55</v>
          </cell>
        </row>
        <row r="57">
          <cell r="B57" t="str">
            <v>portfolio_56</v>
          </cell>
        </row>
        <row r="58">
          <cell r="B58" t="str">
            <v>portfolio_57</v>
          </cell>
        </row>
        <row r="59">
          <cell r="B59" t="str">
            <v>portfolio_58</v>
          </cell>
        </row>
        <row r="60">
          <cell r="B60" t="str">
            <v>portfolio_59</v>
          </cell>
        </row>
        <row r="61">
          <cell r="B61" t="str">
            <v>portfolio_60</v>
          </cell>
        </row>
        <row r="62">
          <cell r="B62" t="str">
            <v>portfolio_61</v>
          </cell>
        </row>
        <row r="63">
          <cell r="B63" t="str">
            <v>portfolio_62</v>
          </cell>
        </row>
        <row r="64">
          <cell r="B64" t="str">
            <v>portfolio_63</v>
          </cell>
        </row>
        <row r="65">
          <cell r="B65" t="str">
            <v>portfolio_64</v>
          </cell>
        </row>
        <row r="66">
          <cell r="B66" t="str">
            <v>portfolio_65</v>
          </cell>
        </row>
        <row r="67">
          <cell r="B67" t="str">
            <v>portfolio_66</v>
          </cell>
        </row>
        <row r="68">
          <cell r="B68" t="str">
            <v>portfolio_67</v>
          </cell>
        </row>
        <row r="69">
          <cell r="B69" t="str">
            <v>portfolio_68</v>
          </cell>
        </row>
        <row r="70">
          <cell r="B70" t="str">
            <v>portfolio_69</v>
          </cell>
        </row>
        <row r="71">
          <cell r="B71" t="str">
            <v>portfolio_70</v>
          </cell>
        </row>
        <row r="72">
          <cell r="B72" t="str">
            <v>portfolio_71</v>
          </cell>
        </row>
        <row r="73">
          <cell r="B73" t="str">
            <v>portfolio_72</v>
          </cell>
        </row>
        <row r="74">
          <cell r="B74" t="str">
            <v>portfolio_73</v>
          </cell>
        </row>
        <row r="75">
          <cell r="B75" t="str">
            <v>portfolio_74</v>
          </cell>
        </row>
        <row r="76">
          <cell r="B76" t="str">
            <v>portfolio_75</v>
          </cell>
        </row>
        <row r="77">
          <cell r="B77" t="str">
            <v>portfolio_76</v>
          </cell>
        </row>
        <row r="78">
          <cell r="B78" t="str">
            <v>portfolio_77</v>
          </cell>
        </row>
        <row r="79">
          <cell r="B79" t="str">
            <v>portfolio_78</v>
          </cell>
        </row>
        <row r="80">
          <cell r="B80" t="str">
            <v>portfolio_79</v>
          </cell>
        </row>
        <row r="81">
          <cell r="B81" t="str">
            <v>portfolio_80</v>
          </cell>
        </row>
      </sheetData>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refreshError="1"/>
      <sheetData sheetId="1" refreshError="1"/>
      <sheetData sheetId="2">
        <row r="2">
          <cell r="B2" t="str">
            <v>SC Germany Consumer 2023-1</v>
          </cell>
        </row>
      </sheetData>
      <sheetData sheetId="3" refreshError="1"/>
      <sheetData sheetId="4">
        <row r="2">
          <cell r="B2" t="str">
            <v>SC Germany Consumer 2023-1</v>
          </cell>
        </row>
      </sheetData>
      <sheetData sheetId="5">
        <row r="2">
          <cell r="B2" t="str">
            <v>SC Germany Consumer 2023-1</v>
          </cell>
        </row>
      </sheetData>
      <sheetData sheetId="6">
        <row r="2">
          <cell r="B2" t="str">
            <v>SC Germany Consumer 2023-1</v>
          </cell>
        </row>
      </sheetData>
      <sheetData sheetId="7">
        <row r="1">
          <cell r="B1"/>
        </row>
      </sheetData>
      <sheetData sheetId="8">
        <row r="33">
          <cell r="B33" t="str">
            <v>Sequential Payment Trigger Event</v>
          </cell>
        </row>
      </sheetData>
      <sheetData sheetId="9">
        <row r="21">
          <cell r="D21" t="str">
            <v>AAA (sf)/AAA (sf)/Aaa (sf)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D2" t="str">
            <v>Calculation Date</v>
          </cell>
        </row>
      </sheetData>
      <sheetData sheetId="21" refreshError="1"/>
      <sheetData sheetId="22" refreshError="1"/>
      <sheetData sheetId="23" refreshError="1"/>
      <sheetData sheetId="24">
        <row r="13">
          <cell r="D13" t="str">
            <v>Remaining Term in Months</v>
          </cell>
        </row>
      </sheetData>
      <sheetData sheetId="25" refreshError="1"/>
      <sheetData sheetId="26" refreshError="1"/>
      <sheetData sheetId="27" refreshError="1"/>
      <sheetData sheetId="28" refreshError="1"/>
      <sheetData sheetId="29" refreshError="1"/>
      <sheetData sheetId="30">
        <row r="2">
          <cell r="C2" t="str">
            <v>SC Germany Consumer 2023-1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ow r="1">
          <cell r="B1" t="str">
            <v>VARIABLE</v>
          </cell>
          <cell r="C1" t="str">
            <v>NUM</v>
          </cell>
          <cell r="D1" t="str">
            <v>DATE</v>
          </cell>
          <cell r="E1" t="str">
            <v>STRG</v>
          </cell>
        </row>
        <row r="2">
          <cell r="B2" t="str">
            <v>Reporting_Date</v>
          </cell>
          <cell r="D2">
            <v>45544</v>
          </cell>
          <cell r="E2" t="str">
            <v/>
          </cell>
        </row>
        <row r="3">
          <cell r="B3" t="str">
            <v>Calculation_Date</v>
          </cell>
          <cell r="D3">
            <v>45547</v>
          </cell>
          <cell r="E3" t="str">
            <v/>
          </cell>
        </row>
        <row r="4">
          <cell r="B4" t="str">
            <v>Payment_Date</v>
          </cell>
          <cell r="D4">
            <v>45551</v>
          </cell>
          <cell r="E4" t="str">
            <v/>
          </cell>
        </row>
        <row r="5">
          <cell r="B5" t="str">
            <v>Period</v>
          </cell>
          <cell r="C5">
            <v>13</v>
          </cell>
          <cell r="E5" t="str">
            <v/>
          </cell>
        </row>
        <row r="6">
          <cell r="B6" t="str">
            <v>Monthly_Period</v>
          </cell>
          <cell r="D6">
            <v>45551</v>
          </cell>
          <cell r="E6" t="str">
            <v/>
          </cell>
        </row>
        <row r="7">
          <cell r="B7" t="str">
            <v>Interest_Period_from</v>
          </cell>
          <cell r="D7">
            <v>45518</v>
          </cell>
          <cell r="E7" t="str">
            <v/>
          </cell>
        </row>
        <row r="8">
          <cell r="B8" t="str">
            <v>Outstanding_bop_current</v>
          </cell>
          <cell r="C8">
            <v>799999953.42999995</v>
          </cell>
          <cell r="E8" t="str">
            <v/>
          </cell>
        </row>
        <row r="9">
          <cell r="B9" t="str">
            <v>Outstanding_bop_previous</v>
          </cell>
          <cell r="C9">
            <v>799999976.96000004</v>
          </cell>
          <cell r="E9" t="str">
            <v/>
          </cell>
        </row>
        <row r="10">
          <cell r="B10" t="str">
            <v>Total_Principal_Collections_current</v>
          </cell>
          <cell r="C10">
            <v>24223533.280000001</v>
          </cell>
          <cell r="E10" t="str">
            <v/>
          </cell>
        </row>
        <row r="11">
          <cell r="B11" t="str">
            <v>Total_Principal_Collections_previous</v>
          </cell>
          <cell r="C11">
            <v>27774428.670000002</v>
          </cell>
          <cell r="E11" t="str">
            <v/>
          </cell>
        </row>
        <row r="12">
          <cell r="B12" t="str">
            <v>Collected_Interest_Portion_current</v>
          </cell>
          <cell r="C12">
            <v>4865697.87</v>
          </cell>
          <cell r="E12" t="str">
            <v/>
          </cell>
        </row>
        <row r="13">
          <cell r="B13" t="str">
            <v>Collected_Interest_Portion_previous</v>
          </cell>
          <cell r="C13">
            <v>4823414.91</v>
          </cell>
          <cell r="E13" t="str">
            <v/>
          </cell>
        </row>
        <row r="14">
          <cell r="B14" t="str">
            <v>Defaults_current</v>
          </cell>
          <cell r="C14">
            <v>2282567.66</v>
          </cell>
          <cell r="E14" t="str">
            <v/>
          </cell>
        </row>
        <row r="15">
          <cell r="B15" t="str">
            <v>Defaults_previous</v>
          </cell>
          <cell r="C15">
            <v>2407067.5299999998</v>
          </cell>
          <cell r="E15" t="str">
            <v/>
          </cell>
        </row>
        <row r="16">
          <cell r="B16" t="str">
            <v>Replenishment_current</v>
          </cell>
          <cell r="C16">
            <v>0</v>
          </cell>
          <cell r="E16" t="str">
            <v/>
          </cell>
        </row>
        <row r="17">
          <cell r="B17" t="str">
            <v>Replenishment_previous</v>
          </cell>
          <cell r="C17">
            <v>30181472.670000002</v>
          </cell>
          <cell r="E17" t="str">
            <v/>
          </cell>
        </row>
        <row r="18">
          <cell r="B18" t="str">
            <v>Outstanding_eop_current</v>
          </cell>
          <cell r="C18">
            <v>773493852.49000001</v>
          </cell>
          <cell r="E18" t="str">
            <v/>
          </cell>
        </row>
        <row r="19">
          <cell r="B19" t="str">
            <v>Outstanding_eop_previous</v>
          </cell>
          <cell r="C19">
            <v>799999953.42999995</v>
          </cell>
          <cell r="E19" t="str">
            <v/>
          </cell>
        </row>
        <row r="20">
          <cell r="B20" t="str">
            <v>Purchase_Shortfall_current</v>
          </cell>
          <cell r="C20">
            <v>49.47</v>
          </cell>
          <cell r="E20" t="str">
            <v/>
          </cell>
        </row>
        <row r="21">
          <cell r="B21" t="str">
            <v>Purchase_Shortfall_previous</v>
          </cell>
          <cell r="C21">
            <v>28.13</v>
          </cell>
          <cell r="E21" t="str">
            <v/>
          </cell>
        </row>
        <row r="22">
          <cell r="B22" t="str">
            <v>Total_Assets_current</v>
          </cell>
          <cell r="C22">
            <v>773493901.96000004</v>
          </cell>
          <cell r="E22" t="str">
            <v/>
          </cell>
        </row>
        <row r="23">
          <cell r="B23" t="str">
            <v>Total_Assets_previous</v>
          </cell>
          <cell r="C23">
            <v>799999981.55999994</v>
          </cell>
          <cell r="E23" t="str">
            <v/>
          </cell>
        </row>
        <row r="24">
          <cell r="B24" t="str">
            <v>Liquidity_Reserve_bop</v>
          </cell>
          <cell r="C24">
            <v>9777378.2799999993</v>
          </cell>
          <cell r="E24" t="str">
            <v/>
          </cell>
        </row>
        <row r="25">
          <cell r="B25" t="str">
            <v>Liquidity_Reserve_cashout</v>
          </cell>
          <cell r="C25">
            <v>9777378.2799999993</v>
          </cell>
          <cell r="E25" t="str">
            <v/>
          </cell>
        </row>
        <row r="26">
          <cell r="B26" t="str">
            <v>Liquidity_Reserve_excess_amount</v>
          </cell>
          <cell r="C26">
            <v>0</v>
          </cell>
          <cell r="E26" t="str">
            <v/>
          </cell>
        </row>
        <row r="27">
          <cell r="B27" t="str">
            <v>Liquidity_Reserve_pop</v>
          </cell>
          <cell r="C27">
            <v>0</v>
          </cell>
          <cell r="E27" t="str">
            <v/>
          </cell>
        </row>
        <row r="28">
          <cell r="B28" t="str">
            <v>Liquidity_Reserve_cashin</v>
          </cell>
          <cell r="C28">
            <v>9030619.0099999998</v>
          </cell>
          <cell r="E28" t="str">
            <v/>
          </cell>
        </row>
        <row r="29">
          <cell r="B29" t="str">
            <v>Liquidity_Reserve_eop</v>
          </cell>
          <cell r="C29">
            <v>9030619.0099999998</v>
          </cell>
          <cell r="E29" t="str">
            <v/>
          </cell>
        </row>
        <row r="30">
          <cell r="B30" t="str">
            <v>Liquidity_Reserve_fund</v>
          </cell>
          <cell r="C30">
            <v>11697600</v>
          </cell>
          <cell r="E30" t="str">
            <v/>
          </cell>
        </row>
        <row r="31">
          <cell r="B31" t="str">
            <v>Com_Reserve_bop</v>
          </cell>
          <cell r="E31" t="str">
            <v>n/a</v>
          </cell>
        </row>
        <row r="32">
          <cell r="B32" t="str">
            <v>Com_Reserve_cashout</v>
          </cell>
          <cell r="E32" t="str">
            <v>n/a</v>
          </cell>
        </row>
        <row r="33">
          <cell r="B33" t="str">
            <v>Com_Reserve_cashin</v>
          </cell>
          <cell r="E33" t="str">
            <v>n/a</v>
          </cell>
        </row>
        <row r="34">
          <cell r="B34" t="str">
            <v>Com_Reserve_eop</v>
          </cell>
          <cell r="C34">
            <v>0</v>
          </cell>
          <cell r="E34" t="str">
            <v>n/a</v>
          </cell>
        </row>
        <row r="35">
          <cell r="B35" t="str">
            <v>Com_Reserve_required</v>
          </cell>
          <cell r="C35">
            <v>0</v>
          </cell>
          <cell r="E35" t="str">
            <v/>
          </cell>
        </row>
        <row r="36">
          <cell r="B36" t="str">
            <v>Com_Reserve_Trigger</v>
          </cell>
          <cell r="E36" t="str">
            <v>no</v>
          </cell>
        </row>
        <row r="37">
          <cell r="B37" t="str">
            <v>Setoff_Reserve_bop</v>
          </cell>
          <cell r="E37" t="str">
            <v>n/a</v>
          </cell>
        </row>
        <row r="38">
          <cell r="B38" t="str">
            <v>Setoff_Reserve_cashout</v>
          </cell>
          <cell r="E38" t="str">
            <v>n/a</v>
          </cell>
        </row>
        <row r="39">
          <cell r="B39" t="str">
            <v>Setoff_Reserve_cashin</v>
          </cell>
          <cell r="E39" t="str">
            <v>n/a</v>
          </cell>
        </row>
        <row r="40">
          <cell r="B40" t="str">
            <v>Setoff_Reserve_eop</v>
          </cell>
          <cell r="C40">
            <v>0</v>
          </cell>
          <cell r="E40" t="str">
            <v>n/a</v>
          </cell>
        </row>
        <row r="41">
          <cell r="B41" t="str">
            <v>Setoff_Reserve_required</v>
          </cell>
          <cell r="C41">
            <v>0</v>
          </cell>
          <cell r="E41" t="str">
            <v/>
          </cell>
        </row>
        <row r="42">
          <cell r="B42" t="str">
            <v>Setoff_Reserve_Trigger</v>
          </cell>
          <cell r="E42" t="str">
            <v>no</v>
          </cell>
        </row>
        <row r="43">
          <cell r="B43" t="str">
            <v>Setoff_Amount_current</v>
          </cell>
          <cell r="C43">
            <v>0</v>
          </cell>
          <cell r="E43" t="str">
            <v/>
          </cell>
        </row>
        <row r="44">
          <cell r="B44" t="str">
            <v>GrossDefault_current</v>
          </cell>
          <cell r="C44">
            <v>2282567.66</v>
          </cell>
          <cell r="E44" t="str">
            <v/>
          </cell>
        </row>
        <row r="45">
          <cell r="B45" t="str">
            <v>Recoveries_current</v>
          </cell>
          <cell r="C45">
            <v>-1560.44</v>
          </cell>
          <cell r="E45" t="str">
            <v/>
          </cell>
        </row>
        <row r="46">
          <cell r="B46" t="str">
            <v>Terminated_contracts_new</v>
          </cell>
          <cell r="C46">
            <v>122</v>
          </cell>
          <cell r="E46" t="str">
            <v/>
          </cell>
        </row>
        <row r="47">
          <cell r="B47" t="str">
            <v>Cum_GrossDefault</v>
          </cell>
          <cell r="C47">
            <v>17499912.579999998</v>
          </cell>
          <cell r="E47" t="str">
            <v/>
          </cell>
        </row>
        <row r="48">
          <cell r="B48" t="str">
            <v>Cum_Recoveries</v>
          </cell>
          <cell r="C48">
            <v>15797.28</v>
          </cell>
          <cell r="E48" t="str">
            <v/>
          </cell>
        </row>
        <row r="49">
          <cell r="B49" t="str">
            <v>Terminated_contracts_total</v>
          </cell>
          <cell r="C49">
            <v>791</v>
          </cell>
          <cell r="E49" t="str">
            <v/>
          </cell>
        </row>
        <row r="50">
          <cell r="B50" t="str">
            <v>Loss_Ratio_before_previous</v>
          </cell>
          <cell r="E50" t="str">
            <v>0,01211450266</v>
          </cell>
        </row>
        <row r="51">
          <cell r="B51" t="str">
            <v>Loss_Ratio_previous</v>
          </cell>
          <cell r="C51">
            <v>1.4E-2</v>
          </cell>
          <cell r="E51" t="str">
            <v/>
          </cell>
        </row>
        <row r="52">
          <cell r="B52" t="str">
            <v>Loss_Ratio_current</v>
          </cell>
          <cell r="C52">
            <v>1.61E-2</v>
          </cell>
          <cell r="E52" t="str">
            <v/>
          </cell>
        </row>
        <row r="53">
          <cell r="B53" t="str">
            <v>A_PDL_bop</v>
          </cell>
          <cell r="C53">
            <v>0</v>
          </cell>
          <cell r="E53" t="str">
            <v/>
          </cell>
        </row>
        <row r="54">
          <cell r="B54" t="str">
            <v>A_debited_PDL</v>
          </cell>
          <cell r="C54">
            <v>0</v>
          </cell>
          <cell r="E54" t="str">
            <v/>
          </cell>
        </row>
        <row r="55">
          <cell r="B55" t="str">
            <v>A_credited_PDL</v>
          </cell>
          <cell r="C55">
            <v>0</v>
          </cell>
          <cell r="E55" t="str">
            <v/>
          </cell>
        </row>
        <row r="56">
          <cell r="B56" t="str">
            <v>A_PDL_eop</v>
          </cell>
          <cell r="C56">
            <v>0</v>
          </cell>
          <cell r="E56" t="str">
            <v/>
          </cell>
        </row>
        <row r="57">
          <cell r="B57" t="str">
            <v>B_PDL_bop</v>
          </cell>
          <cell r="C57">
            <v>0</v>
          </cell>
          <cell r="E57" t="str">
            <v/>
          </cell>
        </row>
        <row r="58">
          <cell r="B58" t="str">
            <v>B_debited_PDL</v>
          </cell>
          <cell r="C58">
            <v>0</v>
          </cell>
          <cell r="E58" t="str">
            <v/>
          </cell>
        </row>
        <row r="59">
          <cell r="B59" t="str">
            <v>B_credited_PDL</v>
          </cell>
          <cell r="C59">
            <v>0</v>
          </cell>
          <cell r="E59" t="str">
            <v/>
          </cell>
        </row>
        <row r="60">
          <cell r="B60" t="str">
            <v>B_PDL_eop</v>
          </cell>
          <cell r="C60">
            <v>0</v>
          </cell>
          <cell r="E60" t="str">
            <v/>
          </cell>
        </row>
        <row r="61">
          <cell r="B61" t="str">
            <v>C_PDL_bop</v>
          </cell>
          <cell r="C61">
            <v>0</v>
          </cell>
          <cell r="E61" t="str">
            <v/>
          </cell>
        </row>
        <row r="62">
          <cell r="B62" t="str">
            <v>C_debited_PDL</v>
          </cell>
          <cell r="C62">
            <v>0</v>
          </cell>
          <cell r="E62" t="str">
            <v/>
          </cell>
        </row>
        <row r="63">
          <cell r="B63" t="str">
            <v>C_credited_PDL</v>
          </cell>
          <cell r="C63">
            <v>0</v>
          </cell>
          <cell r="E63" t="str">
            <v/>
          </cell>
        </row>
        <row r="64">
          <cell r="B64" t="str">
            <v>C_PDL_eop</v>
          </cell>
          <cell r="C64">
            <v>0</v>
          </cell>
          <cell r="E64" t="str">
            <v/>
          </cell>
        </row>
        <row r="65">
          <cell r="B65" t="str">
            <v>D_PDL_bop</v>
          </cell>
          <cell r="C65">
            <v>0</v>
          </cell>
          <cell r="E65" t="str">
            <v/>
          </cell>
        </row>
        <row r="66">
          <cell r="B66" t="str">
            <v>D_debited_PDL</v>
          </cell>
          <cell r="C66">
            <v>0</v>
          </cell>
          <cell r="E66" t="str">
            <v/>
          </cell>
        </row>
        <row r="67">
          <cell r="B67" t="str">
            <v>D_credited_PDL</v>
          </cell>
          <cell r="C67">
            <v>0</v>
          </cell>
          <cell r="E67" t="str">
            <v/>
          </cell>
        </row>
        <row r="68">
          <cell r="B68" t="str">
            <v>D_PDL_eop</v>
          </cell>
          <cell r="C68">
            <v>0</v>
          </cell>
          <cell r="E68" t="str">
            <v/>
          </cell>
        </row>
        <row r="69">
          <cell r="B69" t="str">
            <v>E_PDL_bop</v>
          </cell>
          <cell r="C69">
            <v>0</v>
          </cell>
          <cell r="E69" t="str">
            <v/>
          </cell>
        </row>
        <row r="70">
          <cell r="B70" t="str">
            <v>E_debited_PDL</v>
          </cell>
          <cell r="C70">
            <v>0</v>
          </cell>
          <cell r="E70" t="str">
            <v/>
          </cell>
        </row>
        <row r="71">
          <cell r="B71" t="str">
            <v>E_credited_PDL</v>
          </cell>
          <cell r="C71">
            <v>0</v>
          </cell>
          <cell r="E71" t="str">
            <v/>
          </cell>
        </row>
        <row r="72">
          <cell r="B72" t="str">
            <v>E_PDL_eop</v>
          </cell>
          <cell r="C72">
            <v>0</v>
          </cell>
          <cell r="E72" t="str">
            <v/>
          </cell>
        </row>
        <row r="73">
          <cell r="B73" t="str">
            <v>F_PDL_bop</v>
          </cell>
          <cell r="C73">
            <v>0</v>
          </cell>
          <cell r="E73" t="str">
            <v/>
          </cell>
        </row>
        <row r="74">
          <cell r="B74" t="str">
            <v>F_debited_PDL</v>
          </cell>
          <cell r="C74">
            <v>0</v>
          </cell>
          <cell r="E74" t="str">
            <v/>
          </cell>
        </row>
        <row r="75">
          <cell r="B75" t="str">
            <v>F_credited_PDL</v>
          </cell>
          <cell r="C75">
            <v>0</v>
          </cell>
          <cell r="E75" t="str">
            <v/>
          </cell>
        </row>
        <row r="76">
          <cell r="B76" t="str">
            <v>F_PDL_eop</v>
          </cell>
          <cell r="C76">
            <v>0</v>
          </cell>
          <cell r="E76" t="str">
            <v/>
          </cell>
        </row>
        <row r="77">
          <cell r="B77" t="str">
            <v>OC_PDL_bop</v>
          </cell>
          <cell r="C77">
            <v>0</v>
          </cell>
          <cell r="E77" t="str">
            <v/>
          </cell>
        </row>
        <row r="78">
          <cell r="B78" t="str">
            <v>OC_debited_PDL</v>
          </cell>
          <cell r="C78">
            <v>2282567.66</v>
          </cell>
          <cell r="E78" t="str">
            <v/>
          </cell>
        </row>
        <row r="79">
          <cell r="B79" t="str">
            <v>OC_credited_PDL</v>
          </cell>
          <cell r="C79">
            <v>2282567.66</v>
          </cell>
          <cell r="E79" t="str">
            <v/>
          </cell>
        </row>
        <row r="80">
          <cell r="B80" t="str">
            <v>OC_PDL_eop</v>
          </cell>
          <cell r="C80">
            <v>0</v>
          </cell>
          <cell r="E80" t="str">
            <v/>
          </cell>
        </row>
        <row r="81">
          <cell r="B81" t="str">
            <v>Cum_Default_Ratio</v>
          </cell>
          <cell r="C81">
            <v>1.61E-2</v>
          </cell>
          <cell r="E81" t="str">
            <v/>
          </cell>
        </row>
        <row r="82">
          <cell r="B82" t="str">
            <v>Purchase_Shortfall_before_previous</v>
          </cell>
          <cell r="C82">
            <v>4.5999999999999996</v>
          </cell>
          <cell r="E82" t="str">
            <v/>
          </cell>
        </row>
        <row r="83">
          <cell r="B83" t="str">
            <v>Purchase_Shortfall_previous</v>
          </cell>
          <cell r="C83">
            <v>28.13</v>
          </cell>
          <cell r="E83" t="str">
            <v/>
          </cell>
        </row>
        <row r="84">
          <cell r="B84" t="str">
            <v>Purchase_Shortfall_current</v>
          </cell>
          <cell r="C84">
            <v>49.47</v>
          </cell>
          <cell r="E84" t="str">
            <v/>
          </cell>
        </row>
        <row r="85">
          <cell r="B85" t="str">
            <v>Delinquency_Ratio</v>
          </cell>
          <cell r="C85">
            <v>1.4E-2</v>
          </cell>
          <cell r="E85" t="str">
            <v/>
          </cell>
        </row>
        <row r="86">
          <cell r="B86" t="str">
            <v>Dynamic_Loss_Ratio_3M</v>
          </cell>
          <cell r="E86" t="str">
            <v/>
          </cell>
        </row>
        <row r="87">
          <cell r="B87" t="str">
            <v>Debit_Balance_PDL_previous</v>
          </cell>
          <cell r="C87">
            <v>0</v>
          </cell>
          <cell r="E87" t="str">
            <v/>
          </cell>
        </row>
        <row r="88">
          <cell r="B88" t="str">
            <v>Debit_Balance_PDL_current</v>
          </cell>
          <cell r="C88">
            <v>0</v>
          </cell>
          <cell r="E88" t="str">
            <v/>
          </cell>
        </row>
        <row r="89">
          <cell r="B89" t="str">
            <v>Total_Notes_bop</v>
          </cell>
          <cell r="C89">
            <v>779840000</v>
          </cell>
          <cell r="E89" t="str">
            <v/>
          </cell>
        </row>
        <row r="90">
          <cell r="B90" t="str">
            <v>A_Notes_bop</v>
          </cell>
          <cell r="C90">
            <v>605600000</v>
          </cell>
          <cell r="E90" t="str">
            <v/>
          </cell>
        </row>
        <row r="91">
          <cell r="B91" t="str">
            <v>B_Notes_bop</v>
          </cell>
          <cell r="C91">
            <v>40000000</v>
          </cell>
          <cell r="E91" t="str">
            <v/>
          </cell>
        </row>
        <row r="92">
          <cell r="B92" t="str">
            <v>C_Notes_bop</v>
          </cell>
          <cell r="C92">
            <v>42400000</v>
          </cell>
          <cell r="E92" t="str">
            <v/>
          </cell>
        </row>
        <row r="93">
          <cell r="B93" t="str">
            <v>D_Notes_bop</v>
          </cell>
          <cell r="C93">
            <v>41600000</v>
          </cell>
          <cell r="E93" t="str">
            <v/>
          </cell>
        </row>
        <row r="94">
          <cell r="B94" t="str">
            <v>E_Notes_bop</v>
          </cell>
          <cell r="C94">
            <v>42400000</v>
          </cell>
          <cell r="E94" t="str">
            <v/>
          </cell>
        </row>
        <row r="95">
          <cell r="B95" t="str">
            <v>F_Notes_bop</v>
          </cell>
          <cell r="C95">
            <v>7840000</v>
          </cell>
          <cell r="E95" t="str">
            <v/>
          </cell>
        </row>
        <row r="96">
          <cell r="B96" t="str">
            <v>Replenishment</v>
          </cell>
          <cell r="C96">
            <v>0</v>
          </cell>
          <cell r="E96" t="str">
            <v/>
          </cell>
        </row>
        <row r="97">
          <cell r="B97" t="str">
            <v>Amortisation</v>
          </cell>
          <cell r="C97">
            <v>26506079.600000001</v>
          </cell>
          <cell r="E97" t="str">
            <v/>
          </cell>
        </row>
        <row r="98">
          <cell r="B98" t="str">
            <v>Total_Redemption</v>
          </cell>
          <cell r="C98">
            <v>26506079.600000001</v>
          </cell>
          <cell r="E98" t="str">
            <v/>
          </cell>
        </row>
        <row r="99">
          <cell r="B99" t="str">
            <v>A_Redemption</v>
          </cell>
          <cell r="C99">
            <v>20792852.079999998</v>
          </cell>
          <cell r="E99" t="str">
            <v/>
          </cell>
        </row>
        <row r="100">
          <cell r="B100" t="str">
            <v>B_Redemption</v>
          </cell>
          <cell r="C100">
            <v>1373372</v>
          </cell>
          <cell r="E100" t="str">
            <v/>
          </cell>
        </row>
        <row r="101">
          <cell r="B101" t="str">
            <v>C_Redemption</v>
          </cell>
          <cell r="C101">
            <v>1455774.32</v>
          </cell>
          <cell r="E101" t="str">
            <v/>
          </cell>
        </row>
        <row r="102">
          <cell r="B102" t="str">
            <v>D_Redemption</v>
          </cell>
          <cell r="C102">
            <v>1428306.88</v>
          </cell>
          <cell r="E102" t="str">
            <v/>
          </cell>
        </row>
        <row r="103">
          <cell r="B103" t="str">
            <v>E_Redemption</v>
          </cell>
          <cell r="C103">
            <v>1455774.32</v>
          </cell>
          <cell r="E103" t="str">
            <v/>
          </cell>
        </row>
        <row r="104">
          <cell r="B104" t="str">
            <v>F_Redemption</v>
          </cell>
          <cell r="C104">
            <v>0</v>
          </cell>
          <cell r="E104" t="str">
            <v/>
          </cell>
        </row>
        <row r="105">
          <cell r="B105" t="str">
            <v>Interest_Days</v>
          </cell>
          <cell r="C105">
            <v>31</v>
          </cell>
          <cell r="E105" t="str">
            <v/>
          </cell>
        </row>
        <row r="106">
          <cell r="B106" t="str">
            <v>A_Interests</v>
          </cell>
          <cell r="C106">
            <v>2412044.2400000002</v>
          </cell>
          <cell r="E106" t="str">
            <v/>
          </cell>
        </row>
        <row r="107">
          <cell r="B107" t="str">
            <v>B_Interests</v>
          </cell>
          <cell r="C107">
            <v>189752</v>
          </cell>
          <cell r="E107" t="str">
            <v/>
          </cell>
        </row>
        <row r="108">
          <cell r="B108" t="str">
            <v>C_Interests</v>
          </cell>
          <cell r="C108">
            <v>245830.96</v>
          </cell>
          <cell r="E108" t="str">
            <v/>
          </cell>
        </row>
        <row r="109">
          <cell r="B109" t="str">
            <v>D_Interests</v>
          </cell>
          <cell r="C109">
            <v>296487.36</v>
          </cell>
          <cell r="E109" t="str">
            <v/>
          </cell>
        </row>
        <row r="110">
          <cell r="B110" t="str">
            <v>E_Interests</v>
          </cell>
          <cell r="C110">
            <v>403240.96000000002</v>
          </cell>
          <cell r="E110" t="str">
            <v/>
          </cell>
        </row>
        <row r="111">
          <cell r="B111" t="str">
            <v>F_Interests</v>
          </cell>
          <cell r="C111">
            <v>88934.720000000001</v>
          </cell>
          <cell r="E111" t="str">
            <v/>
          </cell>
        </row>
        <row r="112">
          <cell r="B112" t="str">
            <v>1M_Euribor</v>
          </cell>
          <cell r="C112">
            <v>3.6200000000000003E-2</v>
          </cell>
          <cell r="E112" t="str">
            <v/>
          </cell>
        </row>
        <row r="113">
          <cell r="B113" t="str">
            <v>F_accrued_Target_Amortisation</v>
          </cell>
          <cell r="C113">
            <v>3920000</v>
          </cell>
          <cell r="E113" t="str">
            <v/>
          </cell>
        </row>
        <row r="114">
          <cell r="B114" t="str">
            <v>Interest_collections</v>
          </cell>
          <cell r="C114">
            <v>4865697.87</v>
          </cell>
          <cell r="E114" t="str">
            <v/>
          </cell>
        </row>
        <row r="115">
          <cell r="B115" t="str">
            <v>Other_interest_Payments</v>
          </cell>
          <cell r="C115">
            <v>0</v>
          </cell>
          <cell r="E115" t="str">
            <v/>
          </cell>
        </row>
        <row r="116">
          <cell r="B116" t="str">
            <v>Recoveries_received</v>
          </cell>
          <cell r="C116">
            <v>-1560.44</v>
          </cell>
          <cell r="E116" t="str">
            <v/>
          </cell>
        </row>
        <row r="117">
          <cell r="B117" t="str">
            <v>Interests_earned_Transaction_Purchase_Shortfall_Account</v>
          </cell>
          <cell r="C117">
            <v>0</v>
          </cell>
          <cell r="E117" t="str">
            <v/>
          </cell>
        </row>
        <row r="118">
          <cell r="B118" t="str">
            <v>Amounts_ComReserve_Account</v>
          </cell>
          <cell r="C118">
            <v>0</v>
          </cell>
          <cell r="E118" t="str">
            <v/>
          </cell>
        </row>
        <row r="119">
          <cell r="B119" t="str">
            <v>Amounts_Liqudity_Reserve_Account</v>
          </cell>
          <cell r="C119">
            <v>9777378.2799999993</v>
          </cell>
          <cell r="E119" t="str">
            <v/>
          </cell>
        </row>
        <row r="120">
          <cell r="B120" t="str">
            <v>Interests_paid_Swap_Counterparty</v>
          </cell>
          <cell r="C120">
            <v>310961.2</v>
          </cell>
          <cell r="E120" t="str">
            <v/>
          </cell>
        </row>
        <row r="121">
          <cell r="B121" t="str">
            <v>Principal_addition_amounts</v>
          </cell>
          <cell r="C121">
            <v>0</v>
          </cell>
          <cell r="E121" t="str">
            <v/>
          </cell>
        </row>
        <row r="122">
          <cell r="B122" t="str">
            <v>Other_amounts_paid_Interests</v>
          </cell>
          <cell r="C122">
            <v>0</v>
          </cell>
          <cell r="E122" t="str">
            <v/>
          </cell>
        </row>
        <row r="123">
          <cell r="B123" t="str">
            <v>Remaining_PreEnforcement_available_Principal_amount</v>
          </cell>
          <cell r="C123">
            <v>0</v>
          </cell>
          <cell r="E123" t="str">
            <v/>
          </cell>
        </row>
        <row r="124">
          <cell r="B124" t="str">
            <v>Available_Interest_amount</v>
          </cell>
          <cell r="C124">
            <v>14952476.91</v>
          </cell>
          <cell r="E124" t="str">
            <v/>
          </cell>
        </row>
        <row r="125">
          <cell r="B125" t="str">
            <v>Available_Interest_amount</v>
          </cell>
          <cell r="C125">
            <v>14952476.91</v>
          </cell>
          <cell r="E125" t="str">
            <v/>
          </cell>
        </row>
        <row r="126">
          <cell r="B126" t="str">
            <v>Senior_Expenses</v>
          </cell>
          <cell r="C126">
            <v>3000</v>
          </cell>
          <cell r="E126" t="str">
            <v/>
          </cell>
        </row>
        <row r="127">
          <cell r="B127" t="str">
            <v>Replacement_servicer_fee_reserve</v>
          </cell>
          <cell r="C127">
            <v>0</v>
          </cell>
          <cell r="E127" t="str">
            <v/>
          </cell>
        </row>
        <row r="128">
          <cell r="B128" t="str">
            <v>Swap_payment</v>
          </cell>
          <cell r="C128">
            <v>0</v>
          </cell>
          <cell r="E128" t="str">
            <v/>
          </cell>
        </row>
        <row r="129">
          <cell r="B129" t="str">
            <v>A_interest_amount_notes</v>
          </cell>
          <cell r="C129">
            <v>2412044.2400000002</v>
          </cell>
          <cell r="E129" t="str">
            <v/>
          </cell>
        </row>
        <row r="130">
          <cell r="B130" t="str">
            <v>B_interest_amount_notes</v>
          </cell>
          <cell r="C130">
            <v>189752</v>
          </cell>
          <cell r="E130" t="str">
            <v/>
          </cell>
        </row>
        <row r="131">
          <cell r="B131" t="str">
            <v>C_interest_amount_notes</v>
          </cell>
          <cell r="C131">
            <v>245830.96</v>
          </cell>
          <cell r="E131" t="str">
            <v/>
          </cell>
        </row>
        <row r="132">
          <cell r="B132" t="str">
            <v>D_interest_amount_notes</v>
          </cell>
          <cell r="C132">
            <v>296487.36</v>
          </cell>
          <cell r="E132" t="str">
            <v/>
          </cell>
        </row>
        <row r="133">
          <cell r="B133" t="str">
            <v>E_interest_amount_notes</v>
          </cell>
          <cell r="C133">
            <v>403240.96000000002</v>
          </cell>
          <cell r="E133" t="str">
            <v/>
          </cell>
        </row>
        <row r="134">
          <cell r="B134" t="str">
            <v>F_interest_amount_notes</v>
          </cell>
          <cell r="C134">
            <v>88934.720000000001</v>
          </cell>
          <cell r="E134" t="str">
            <v/>
          </cell>
        </row>
        <row r="135">
          <cell r="B135" t="str">
            <v>Liquidity_Reserve_Account_part1</v>
          </cell>
          <cell r="C135">
            <v>7798400</v>
          </cell>
          <cell r="E135" t="str">
            <v/>
          </cell>
        </row>
        <row r="136">
          <cell r="B136" t="str">
            <v>Elimination_PDL</v>
          </cell>
          <cell r="C136">
            <v>2282567.66</v>
          </cell>
          <cell r="E136" t="str">
            <v/>
          </cell>
        </row>
        <row r="137">
          <cell r="B137" t="str">
            <v>Liquidity_Reserve_Account_part2</v>
          </cell>
          <cell r="C137">
            <v>1232219.01</v>
          </cell>
          <cell r="E137" t="str">
            <v/>
          </cell>
        </row>
        <row r="138">
          <cell r="B138" t="str">
            <v>B_Interests_notes</v>
          </cell>
          <cell r="C138">
            <v>0</v>
          </cell>
          <cell r="E138" t="str">
            <v/>
          </cell>
        </row>
        <row r="139">
          <cell r="B139" t="str">
            <v>C_Interests_notes</v>
          </cell>
          <cell r="C139">
            <v>0</v>
          </cell>
          <cell r="E139" t="str">
            <v/>
          </cell>
        </row>
        <row r="140">
          <cell r="B140" t="str">
            <v>D_Interests_notes</v>
          </cell>
          <cell r="C140">
            <v>0</v>
          </cell>
          <cell r="E140" t="str">
            <v/>
          </cell>
        </row>
        <row r="141">
          <cell r="B141" t="str">
            <v>E_Interests_notes</v>
          </cell>
          <cell r="C141">
            <v>0</v>
          </cell>
          <cell r="E141" t="str">
            <v/>
          </cell>
        </row>
        <row r="142">
          <cell r="B142" t="str">
            <v>F_Interests_notes</v>
          </cell>
          <cell r="C142">
            <v>0</v>
          </cell>
          <cell r="E142" t="str">
            <v/>
          </cell>
        </row>
        <row r="143">
          <cell r="B143" t="str">
            <v>F_Principal_Redemption_amount</v>
          </cell>
          <cell r="C143">
            <v>0</v>
          </cell>
          <cell r="E143" t="str">
            <v/>
          </cell>
        </row>
        <row r="144">
          <cell r="B144" t="str">
            <v>Mezzanine_loan_interests</v>
          </cell>
          <cell r="C144">
            <v>0</v>
          </cell>
          <cell r="E144" t="str">
            <v/>
          </cell>
        </row>
        <row r="145">
          <cell r="B145" t="str">
            <v>Termination_payment</v>
          </cell>
          <cell r="C145">
            <v>0</v>
          </cell>
          <cell r="E145" t="str">
            <v/>
          </cell>
        </row>
        <row r="146">
          <cell r="B146" t="str">
            <v>Liqudity_Reserve_Interests</v>
          </cell>
          <cell r="C146">
            <v>0</v>
          </cell>
          <cell r="E146" t="str">
            <v/>
          </cell>
        </row>
        <row r="147">
          <cell r="B147" t="str">
            <v>Liqudity_Reserve_Principal</v>
          </cell>
          <cell r="C147">
            <v>0</v>
          </cell>
          <cell r="E147" t="str">
            <v/>
          </cell>
        </row>
        <row r="148">
          <cell r="B148" t="str">
            <v>Remaining_amount_seller</v>
          </cell>
          <cell r="C148">
            <v>0</v>
          </cell>
          <cell r="E148" t="str">
            <v/>
          </cell>
        </row>
        <row r="149">
          <cell r="B149" t="str">
            <v>Principal_collections</v>
          </cell>
          <cell r="C149">
            <v>24223533.280000001</v>
          </cell>
          <cell r="E149" t="str">
            <v/>
          </cell>
        </row>
        <row r="150">
          <cell r="B150" t="str">
            <v>Other_Principal_amount</v>
          </cell>
          <cell r="C150">
            <v>0</v>
          </cell>
          <cell r="E150" t="str">
            <v/>
          </cell>
        </row>
        <row r="151">
          <cell r="B151" t="str">
            <v>Final_Repurchase_Price</v>
          </cell>
          <cell r="C151">
            <v>0</v>
          </cell>
          <cell r="E151" t="str">
            <v/>
          </cell>
        </row>
        <row r="152">
          <cell r="B152" t="str">
            <v>Amounts_credit_Com_Reserve_Account</v>
          </cell>
          <cell r="C152">
            <v>0</v>
          </cell>
          <cell r="E152" t="str">
            <v/>
          </cell>
        </row>
        <row r="153">
          <cell r="B153" t="str">
            <v>Amounts_credit_SettOff_Reserve_Account</v>
          </cell>
          <cell r="C153">
            <v>0</v>
          </cell>
          <cell r="E153" t="str">
            <v/>
          </cell>
        </row>
        <row r="154">
          <cell r="B154" t="str">
            <v>Amounts_credit_Purchase_Shortfall_Account</v>
          </cell>
          <cell r="C154">
            <v>28.13</v>
          </cell>
          <cell r="E154" t="str">
            <v/>
          </cell>
        </row>
        <row r="155">
          <cell r="B155" t="str">
            <v>Mezzanine_loan_disbursement</v>
          </cell>
          <cell r="C155">
            <v>0</v>
          </cell>
          <cell r="E155" t="str">
            <v/>
          </cell>
        </row>
        <row r="156">
          <cell r="B156" t="str">
            <v>PDL</v>
          </cell>
          <cell r="C156">
            <v>2282567.66</v>
          </cell>
          <cell r="E156" t="str">
            <v/>
          </cell>
        </row>
        <row r="157">
          <cell r="B157" t="str">
            <v>Other_amounts_paid_Principal</v>
          </cell>
          <cell r="C157">
            <v>0</v>
          </cell>
          <cell r="E157" t="str">
            <v/>
          </cell>
        </row>
        <row r="158">
          <cell r="B158" t="str">
            <v>Available_Principal_amount</v>
          </cell>
          <cell r="C158">
            <v>26506129.07</v>
          </cell>
          <cell r="E158" t="str">
            <v/>
          </cell>
        </row>
        <row r="159">
          <cell r="B159" t="str">
            <v>Available_Principal_amount</v>
          </cell>
          <cell r="C159">
            <v>26506129.07</v>
          </cell>
          <cell r="E159" t="str">
            <v/>
          </cell>
        </row>
        <row r="160">
          <cell r="B160" t="str">
            <v>Addition_amounts</v>
          </cell>
          <cell r="C160">
            <v>0</v>
          </cell>
          <cell r="E160" t="str">
            <v/>
          </cell>
        </row>
        <row r="161">
          <cell r="B161" t="str">
            <v>Net_note_available_Principal_Proceeds</v>
          </cell>
          <cell r="C161">
            <v>26506129.07</v>
          </cell>
          <cell r="E161" t="str">
            <v/>
          </cell>
        </row>
        <row r="162">
          <cell r="B162" t="str">
            <v>Replenishment</v>
          </cell>
          <cell r="C162">
            <v>0</v>
          </cell>
          <cell r="E162" t="str">
            <v/>
          </cell>
        </row>
        <row r="163">
          <cell r="B163" t="str">
            <v>Purchase_Shortfall</v>
          </cell>
          <cell r="C163">
            <v>0</v>
          </cell>
          <cell r="E163" t="str">
            <v/>
          </cell>
        </row>
        <row r="164">
          <cell r="B164" t="str">
            <v>A_prorata_Principal</v>
          </cell>
          <cell r="C164">
            <v>20792852.079999998</v>
          </cell>
          <cell r="E164" t="str">
            <v/>
          </cell>
        </row>
        <row r="165">
          <cell r="B165" t="str">
            <v>B_prorata_Principal</v>
          </cell>
          <cell r="C165">
            <v>1373372</v>
          </cell>
          <cell r="E165" t="str">
            <v/>
          </cell>
        </row>
        <row r="166">
          <cell r="B166" t="str">
            <v>C_prorata_Principal</v>
          </cell>
          <cell r="C166">
            <v>1455774.32</v>
          </cell>
          <cell r="E166" t="str">
            <v/>
          </cell>
        </row>
        <row r="167">
          <cell r="B167" t="str">
            <v>D_prorata_Principal</v>
          </cell>
          <cell r="C167">
            <v>1428306.88</v>
          </cell>
          <cell r="E167" t="str">
            <v/>
          </cell>
        </row>
        <row r="168">
          <cell r="B168" t="str">
            <v>E_prorata_Principal</v>
          </cell>
          <cell r="C168">
            <v>1455774.32</v>
          </cell>
          <cell r="E168" t="str">
            <v/>
          </cell>
        </row>
        <row r="169">
          <cell r="B169" t="str">
            <v>A_sequential_Principal</v>
          </cell>
          <cell r="C169">
            <v>0</v>
          </cell>
          <cell r="E169" t="str">
            <v/>
          </cell>
        </row>
        <row r="170">
          <cell r="B170" t="str">
            <v>Full_Redemption_B_F</v>
          </cell>
          <cell r="C170">
            <v>0</v>
          </cell>
          <cell r="E170" t="str">
            <v/>
          </cell>
        </row>
        <row r="171">
          <cell r="B171" t="str">
            <v>Payment_deferred_purchase_price</v>
          </cell>
          <cell r="C171">
            <v>0</v>
          </cell>
          <cell r="E171" t="str">
            <v/>
          </cell>
        </row>
        <row r="172">
          <cell r="B172" t="str">
            <v>B_Full_Redemption</v>
          </cell>
          <cell r="C172">
            <v>0</v>
          </cell>
          <cell r="E172" t="str">
            <v/>
          </cell>
        </row>
        <row r="173">
          <cell r="B173" t="str">
            <v>C_Full_Redemption</v>
          </cell>
          <cell r="C173">
            <v>0</v>
          </cell>
          <cell r="E173" t="str">
            <v/>
          </cell>
        </row>
        <row r="174">
          <cell r="B174" t="str">
            <v>D_Full_Redemption</v>
          </cell>
          <cell r="C174">
            <v>0</v>
          </cell>
          <cell r="E174" t="str">
            <v/>
          </cell>
        </row>
        <row r="175">
          <cell r="B175" t="str">
            <v>E_Full_Redemption</v>
          </cell>
          <cell r="C175">
            <v>0</v>
          </cell>
          <cell r="E175" t="str">
            <v/>
          </cell>
        </row>
        <row r="176">
          <cell r="B176" t="str">
            <v>F_Full_Redemption</v>
          </cell>
          <cell r="C176">
            <v>0</v>
          </cell>
          <cell r="E176" t="str">
            <v/>
          </cell>
        </row>
        <row r="177">
          <cell r="B177" t="str">
            <v>Mezzanine_loan_principal</v>
          </cell>
          <cell r="C177">
            <v>0</v>
          </cell>
          <cell r="E177" t="str">
            <v/>
          </cell>
        </row>
        <row r="178">
          <cell r="B178" t="str">
            <v>Redemption_deferred_purchase_price</v>
          </cell>
          <cell r="C178">
            <v>0</v>
          </cell>
          <cell r="E178" t="str">
            <v/>
          </cell>
        </row>
        <row r="179">
          <cell r="B179" t="str">
            <v>Clearing_rounding_differences</v>
          </cell>
          <cell r="C179">
            <v>49.47</v>
          </cell>
          <cell r="E179" t="str">
            <v/>
          </cell>
        </row>
        <row r="180">
          <cell r="B180" t="str">
            <v>Transaction_Account_remaining_amount</v>
          </cell>
          <cell r="C180">
            <v>0</v>
          </cell>
          <cell r="E180" t="str">
            <v/>
          </cell>
        </row>
        <row r="181">
          <cell r="B181" t="str">
            <v>Senior_Expenses</v>
          </cell>
          <cell r="C181">
            <v>3000</v>
          </cell>
          <cell r="E181" t="str">
            <v/>
          </cell>
        </row>
        <row r="182">
          <cell r="B182" t="str">
            <v>Total_Interests_accrued</v>
          </cell>
          <cell r="C182">
            <v>3647020.74</v>
          </cell>
          <cell r="E182" t="str">
            <v/>
          </cell>
        </row>
        <row r="183">
          <cell r="B183" t="str">
            <v>A_Interests_accrued</v>
          </cell>
          <cell r="C183">
            <v>2412044.2400000002</v>
          </cell>
          <cell r="E183" t="str">
            <v/>
          </cell>
        </row>
        <row r="184">
          <cell r="B184" t="str">
            <v>B_Interests_accrued</v>
          </cell>
          <cell r="C184">
            <v>189752</v>
          </cell>
          <cell r="E184" t="str">
            <v/>
          </cell>
        </row>
        <row r="185">
          <cell r="B185" t="str">
            <v>C_Interests_accrued</v>
          </cell>
          <cell r="C185">
            <v>245830.96</v>
          </cell>
          <cell r="E185" t="str">
            <v/>
          </cell>
        </row>
        <row r="186">
          <cell r="B186" t="str">
            <v>D_Interests_accrued</v>
          </cell>
          <cell r="C186">
            <v>296487.36</v>
          </cell>
          <cell r="E186" t="str">
            <v/>
          </cell>
        </row>
        <row r="187">
          <cell r="B187" t="str">
            <v>E_Interests_accrued</v>
          </cell>
          <cell r="C187">
            <v>403240.96000000002</v>
          </cell>
          <cell r="E187" t="str">
            <v/>
          </cell>
        </row>
        <row r="188">
          <cell r="B188" t="str">
            <v>F_Interests_accrued</v>
          </cell>
          <cell r="C188">
            <v>88934.720000000001</v>
          </cell>
          <cell r="E188" t="str">
            <v/>
          </cell>
        </row>
        <row r="189">
          <cell r="B189" t="str">
            <v>Reserve_Interests_accrued</v>
          </cell>
          <cell r="C189">
            <v>10730.5</v>
          </cell>
          <cell r="E189" t="str">
            <v/>
          </cell>
        </row>
        <row r="190">
          <cell r="B190" t="str">
            <v>Total_Interests_accrued_cum</v>
          </cell>
          <cell r="C190">
            <v>44405251.590000004</v>
          </cell>
          <cell r="E190" t="str">
            <v/>
          </cell>
        </row>
        <row r="191">
          <cell r="B191" t="str">
            <v>A_Interests_accrued_cum</v>
          </cell>
          <cell r="C191">
            <v>29442758</v>
          </cell>
          <cell r="E191" t="str">
            <v/>
          </cell>
        </row>
        <row r="192">
          <cell r="B192" t="str">
            <v>B_Interests_accrued_cum</v>
          </cell>
          <cell r="C192">
            <v>2303448</v>
          </cell>
          <cell r="E192" t="str">
            <v/>
          </cell>
        </row>
        <row r="193">
          <cell r="B193" t="str">
            <v>C_Interests_accrued_cum</v>
          </cell>
          <cell r="C193">
            <v>2968530</v>
          </cell>
          <cell r="E193" t="str">
            <v/>
          </cell>
        </row>
        <row r="194">
          <cell r="B194" t="str">
            <v>D_Interests_accrued_cum</v>
          </cell>
          <cell r="C194">
            <v>3564308.8</v>
          </cell>
          <cell r="E194" t="str">
            <v/>
          </cell>
        </row>
        <row r="195">
          <cell r="B195" t="str">
            <v>E_Interests_accrued_cum</v>
          </cell>
          <cell r="C195">
            <v>4824060</v>
          </cell>
          <cell r="E195" t="str">
            <v/>
          </cell>
        </row>
        <row r="196">
          <cell r="B196" t="str">
            <v>F_Interests_accrued_cum</v>
          </cell>
          <cell r="C196">
            <v>1175525.1200000001</v>
          </cell>
          <cell r="E196" t="str">
            <v/>
          </cell>
        </row>
        <row r="197">
          <cell r="B197" t="str">
            <v>Reserve_Interests_accrued_cum</v>
          </cell>
          <cell r="C197">
            <v>126621.67</v>
          </cell>
          <cell r="E197" t="str">
            <v/>
          </cell>
        </row>
        <row r="198">
          <cell r="B198" t="str">
            <v>Total_Interest_Payments</v>
          </cell>
          <cell r="C198">
            <v>3636290.24</v>
          </cell>
          <cell r="E198" t="str">
            <v/>
          </cell>
        </row>
        <row r="199">
          <cell r="B199" t="str">
            <v>A_Interest_Payments</v>
          </cell>
          <cell r="C199">
            <v>2412044.2400000002</v>
          </cell>
          <cell r="E199" t="str">
            <v/>
          </cell>
        </row>
        <row r="200">
          <cell r="B200" t="str">
            <v>B_Interest_Payments</v>
          </cell>
          <cell r="C200">
            <v>189752</v>
          </cell>
          <cell r="E200" t="str">
            <v/>
          </cell>
        </row>
        <row r="201">
          <cell r="B201" t="str">
            <v>C_Interest_Payments</v>
          </cell>
          <cell r="C201">
            <v>245830.96</v>
          </cell>
          <cell r="E201" t="str">
            <v/>
          </cell>
        </row>
        <row r="202">
          <cell r="B202" t="str">
            <v>D_Interest_Payments</v>
          </cell>
          <cell r="C202">
            <v>296487.36</v>
          </cell>
          <cell r="E202" t="str">
            <v/>
          </cell>
        </row>
        <row r="203">
          <cell r="B203" t="str">
            <v>E_Interest_Payments</v>
          </cell>
          <cell r="C203">
            <v>403240.96000000002</v>
          </cell>
          <cell r="E203" t="str">
            <v/>
          </cell>
        </row>
        <row r="204">
          <cell r="B204" t="str">
            <v>F_Interest_Payments</v>
          </cell>
          <cell r="C204">
            <v>88934.720000000001</v>
          </cell>
          <cell r="E204" t="str">
            <v/>
          </cell>
        </row>
        <row r="205">
          <cell r="B205" t="str">
            <v>Reserve_Interest_Payments</v>
          </cell>
          <cell r="C205">
            <v>0</v>
          </cell>
          <cell r="E205" t="str">
            <v/>
          </cell>
        </row>
        <row r="206">
          <cell r="B206" t="str">
            <v>Total_Interest_Payments_cum</v>
          </cell>
          <cell r="C206">
            <v>44335340.759999998</v>
          </cell>
          <cell r="E206" t="str">
            <v/>
          </cell>
        </row>
        <row r="207">
          <cell r="B207" t="str">
            <v>A_Interest_Payments_cum</v>
          </cell>
          <cell r="C207">
            <v>29442758</v>
          </cell>
          <cell r="E207" t="str">
            <v/>
          </cell>
        </row>
        <row r="208">
          <cell r="B208" t="str">
            <v>B_Interest_Payments_cum</v>
          </cell>
          <cell r="C208">
            <v>2303448</v>
          </cell>
          <cell r="E208" t="str">
            <v/>
          </cell>
        </row>
        <row r="209">
          <cell r="B209" t="str">
            <v>C_Interest_Payments_cum</v>
          </cell>
          <cell r="C209">
            <v>2968530</v>
          </cell>
          <cell r="E209" t="str">
            <v/>
          </cell>
        </row>
        <row r="210">
          <cell r="B210" t="str">
            <v>D_Interest_Payments_cum</v>
          </cell>
          <cell r="C210">
            <v>3564308.8</v>
          </cell>
          <cell r="E210" t="str">
            <v/>
          </cell>
        </row>
        <row r="211">
          <cell r="B211" t="str">
            <v>E_Interest_Payments_cum</v>
          </cell>
          <cell r="C211">
            <v>4824060</v>
          </cell>
          <cell r="E211" t="str">
            <v/>
          </cell>
        </row>
        <row r="212">
          <cell r="B212" t="str">
            <v>F_Interest_Payments_cum</v>
          </cell>
          <cell r="C212">
            <v>1175525.1200000001</v>
          </cell>
          <cell r="E212" t="str">
            <v/>
          </cell>
        </row>
        <row r="213">
          <cell r="B213" t="str">
            <v>Reserve_Interest_Payments_cum</v>
          </cell>
          <cell r="C213">
            <v>56710.84</v>
          </cell>
          <cell r="E213" t="str">
            <v/>
          </cell>
        </row>
        <row r="214">
          <cell r="B214" t="str">
            <v>Total_Interests_unpaid</v>
          </cell>
          <cell r="C214">
            <v>10730.5</v>
          </cell>
          <cell r="E214" t="str">
            <v/>
          </cell>
        </row>
        <row r="215">
          <cell r="B215" t="str">
            <v>A_Interests_unpaid</v>
          </cell>
          <cell r="C215">
            <v>0</v>
          </cell>
          <cell r="E215" t="str">
            <v/>
          </cell>
        </row>
        <row r="216">
          <cell r="B216" t="str">
            <v>B_Interests_unpaid</v>
          </cell>
          <cell r="C216">
            <v>0</v>
          </cell>
          <cell r="E216" t="str">
            <v/>
          </cell>
        </row>
        <row r="217">
          <cell r="B217" t="str">
            <v>C_Interests_unpaid</v>
          </cell>
          <cell r="C217">
            <v>0</v>
          </cell>
          <cell r="E217" t="str">
            <v/>
          </cell>
        </row>
        <row r="218">
          <cell r="B218" t="str">
            <v>D_Interests_unpaid</v>
          </cell>
          <cell r="C218">
            <v>0</v>
          </cell>
          <cell r="E218" t="str">
            <v/>
          </cell>
        </row>
        <row r="219">
          <cell r="B219" t="str">
            <v>E_Interests_unpaid</v>
          </cell>
          <cell r="C219">
            <v>0</v>
          </cell>
          <cell r="E219" t="str">
            <v/>
          </cell>
        </row>
        <row r="220">
          <cell r="B220" t="str">
            <v>F_Interests_unpaid</v>
          </cell>
          <cell r="C220">
            <v>0</v>
          </cell>
          <cell r="E220" t="str">
            <v/>
          </cell>
        </row>
        <row r="221">
          <cell r="B221" t="str">
            <v>Reserve_Interests_unpaid</v>
          </cell>
          <cell r="C221">
            <v>10730.5</v>
          </cell>
          <cell r="E221" t="str">
            <v/>
          </cell>
        </row>
        <row r="222">
          <cell r="B222" t="str">
            <v>Total_Interests_unpaid_cum</v>
          </cell>
          <cell r="C222">
            <v>69910.83</v>
          </cell>
          <cell r="E222" t="str">
            <v/>
          </cell>
        </row>
        <row r="223">
          <cell r="B223" t="str">
            <v>A_Interests_unpaid_cum</v>
          </cell>
          <cell r="C223">
            <v>0</v>
          </cell>
          <cell r="E223" t="str">
            <v/>
          </cell>
        </row>
        <row r="224">
          <cell r="B224" t="str">
            <v>B_Interests_unpaid_cum</v>
          </cell>
          <cell r="C224">
            <v>0</v>
          </cell>
          <cell r="E224" t="str">
            <v/>
          </cell>
        </row>
        <row r="225">
          <cell r="B225" t="str">
            <v>C_Interests_unpaid_cum</v>
          </cell>
          <cell r="C225">
            <v>0</v>
          </cell>
          <cell r="E225" t="str">
            <v/>
          </cell>
        </row>
        <row r="226">
          <cell r="B226" t="str">
            <v>D_Interests_unpaid_cum</v>
          </cell>
          <cell r="C226">
            <v>0</v>
          </cell>
          <cell r="E226" t="str">
            <v/>
          </cell>
        </row>
        <row r="227">
          <cell r="B227" t="str">
            <v>E_Interests_unpaid_cum</v>
          </cell>
          <cell r="C227">
            <v>0</v>
          </cell>
          <cell r="E227" t="str">
            <v/>
          </cell>
        </row>
        <row r="228">
          <cell r="B228" t="str">
            <v>F_Interests_unpaid_cum</v>
          </cell>
          <cell r="C228">
            <v>0</v>
          </cell>
          <cell r="E228" t="str">
            <v/>
          </cell>
        </row>
        <row r="229">
          <cell r="B229" t="str">
            <v>Reserve_Interests_unpaid_cum</v>
          </cell>
          <cell r="C229">
            <v>69910.83</v>
          </cell>
          <cell r="E229" t="str">
            <v/>
          </cell>
        </row>
        <row r="230">
          <cell r="B230" t="str">
            <v>Reserve_outstanding</v>
          </cell>
          <cell r="C230">
            <v>11706000</v>
          </cell>
          <cell r="E230" t="str">
            <v/>
          </cell>
        </row>
        <row r="231">
          <cell r="B231" t="str">
            <v>Swap_Notional_amount</v>
          </cell>
          <cell r="C231">
            <v>779840000</v>
          </cell>
          <cell r="E231" t="str">
            <v/>
          </cell>
        </row>
        <row r="232">
          <cell r="B232" t="str">
            <v>Fixed_Rate</v>
          </cell>
          <cell r="C232">
            <v>3.1899999999999998E-2</v>
          </cell>
          <cell r="E232" t="str">
            <v/>
          </cell>
        </row>
        <row r="233">
          <cell r="B233" t="str">
            <v>Floating_Rate</v>
          </cell>
          <cell r="C233">
            <v>3.6249999999999998E-2</v>
          </cell>
          <cell r="E233" t="str">
            <v/>
          </cell>
        </row>
        <row r="234">
          <cell r="B234" t="str">
            <v>Net_Swap_Payments</v>
          </cell>
          <cell r="C234">
            <v>-310961.2</v>
          </cell>
          <cell r="E234" t="str">
            <v/>
          </cell>
        </row>
        <row r="235">
          <cell r="B235" t="str">
            <v>Swap_Notional_amount_next</v>
          </cell>
          <cell r="C235">
            <v>753333920.39999998</v>
          </cell>
          <cell r="E235" t="str">
            <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102"/>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4"/>
  <sheetViews>
    <sheetView view="pageBreakPreview" topLeftCell="A9" zoomScale="80" zoomScaleNormal="70" zoomScaleSheetLayoutView="80" zoomScalePageLayoutView="60" workbookViewId="0">
      <selection activeCell="B3" sqref="B3"/>
    </sheetView>
  </sheetViews>
  <sheetFormatPr baseColWidth="10" defaultColWidth="9.1796875" defaultRowHeight="12.5"/>
  <cols>
    <col min="1" max="1" width="1.1796875" style="238" customWidth="1"/>
    <col min="2" max="2" width="50.81640625" style="238" customWidth="1"/>
    <col min="3" max="3" width="19.54296875" style="238" bestFit="1" customWidth="1"/>
    <col min="4" max="4" width="22.1796875" style="238" bestFit="1" customWidth="1"/>
    <col min="5" max="5" width="4.81640625" style="238" customWidth="1"/>
    <col min="6" max="6" width="18.81640625" style="238" customWidth="1"/>
    <col min="7" max="7" width="4.81640625" style="238" customWidth="1"/>
    <col min="8" max="8" width="18.81640625" style="238" customWidth="1"/>
    <col min="9" max="9" width="4.81640625" style="238" customWidth="1"/>
    <col min="10" max="10" width="21" style="238" bestFit="1" customWidth="1"/>
    <col min="11" max="11" width="4.81640625" style="238" customWidth="1"/>
    <col min="12" max="12" width="18.81640625" style="238" customWidth="1"/>
    <col min="13" max="13" width="4.81640625" style="238" customWidth="1"/>
    <col min="14" max="14" width="18.81640625" style="238" customWidth="1"/>
    <col min="15" max="15" width="4.81640625" style="238" customWidth="1"/>
    <col min="16" max="16" width="18.81640625" style="238" customWidth="1"/>
    <col min="17" max="17" width="4.81640625" style="238" customWidth="1"/>
    <col min="18" max="18" width="10.81640625" style="238" customWidth="1"/>
    <col min="19" max="19" width="1.1796875" style="238" customWidth="1"/>
    <col min="20" max="20" width="38.54296875" style="684" customWidth="1"/>
    <col min="21" max="21" width="15.81640625" style="685" customWidth="1"/>
    <col min="22" max="22" width="17.81640625" style="238" customWidth="1"/>
    <col min="23" max="16384" width="9.1796875" style="238"/>
  </cols>
  <sheetData>
    <row r="1" spans="1:21" ht="6" customHeight="1">
      <c r="A1" s="235"/>
      <c r="B1" s="236"/>
      <c r="C1" s="236"/>
      <c r="D1" s="236"/>
      <c r="E1" s="236"/>
      <c r="F1" s="236"/>
      <c r="G1" s="236"/>
      <c r="H1" s="236"/>
      <c r="I1" s="236"/>
      <c r="J1" s="236"/>
      <c r="K1" s="236"/>
      <c r="L1" s="236"/>
      <c r="M1" s="236"/>
      <c r="N1" s="236"/>
      <c r="O1" s="236"/>
      <c r="P1" s="236"/>
      <c r="Q1" s="236"/>
      <c r="R1" s="236"/>
      <c r="S1" s="237"/>
    </row>
    <row r="2" spans="1:21" ht="18">
      <c r="A2" s="285"/>
      <c r="B2" s="240" t="str">
        <f>'Cover Sheet'!B2</f>
        <v>SC Germany Consumer 2022-1</v>
      </c>
      <c r="C2" s="25"/>
      <c r="D2" s="241" t="str">
        <f>'Cover Sheet'!D2</f>
        <v>Calculation Date</v>
      </c>
      <c r="E2" s="242"/>
      <c r="F2" s="243">
        <f>'Cover Sheet'!F2</f>
        <v>45848</v>
      </c>
      <c r="G2" s="242"/>
      <c r="H2" s="242"/>
      <c r="I2" s="242"/>
      <c r="J2" s="242"/>
      <c r="K2" s="242"/>
      <c r="L2" s="242"/>
      <c r="M2" s="242"/>
      <c r="N2" s="242"/>
      <c r="O2" s="242"/>
      <c r="P2" s="242"/>
      <c r="Q2" s="242"/>
      <c r="R2" s="244"/>
      <c r="S2" s="314"/>
      <c r="T2" s="686"/>
    </row>
    <row r="3" spans="1:21" ht="18">
      <c r="A3" s="285"/>
      <c r="B3" s="240" t="str">
        <f>'Cover Sheet'!B3</f>
        <v>Monthly Investor Report</v>
      </c>
      <c r="C3" s="25"/>
      <c r="D3" s="248" t="str">
        <f>'Cover Sheet'!D3</f>
        <v>Payment Date</v>
      </c>
      <c r="E3" s="249"/>
      <c r="F3" s="250">
        <f>'Cover Sheet'!F3</f>
        <v>45852</v>
      </c>
      <c r="G3" s="249"/>
      <c r="H3" s="249"/>
      <c r="I3" s="249"/>
      <c r="J3" s="249"/>
      <c r="K3" s="249"/>
      <c r="L3" s="249"/>
      <c r="M3" s="249"/>
      <c r="N3" s="249"/>
      <c r="O3" s="249"/>
      <c r="P3" s="249"/>
      <c r="Q3" s="249"/>
      <c r="R3" s="251"/>
      <c r="S3" s="314"/>
      <c r="T3" s="686"/>
    </row>
    <row r="4" spans="1:21">
      <c r="A4" s="285"/>
      <c r="B4" s="253"/>
      <c r="C4" s="25"/>
      <c r="D4" s="248" t="str">
        <f>'Cover Sheet'!D4</f>
        <v>Period  No</v>
      </c>
      <c r="E4" s="249"/>
      <c r="F4" s="254">
        <f>'Cover Sheet'!F4</f>
        <v>33</v>
      </c>
      <c r="G4" s="249"/>
      <c r="H4" s="249"/>
      <c r="I4" s="249"/>
      <c r="J4" s="249"/>
      <c r="K4" s="249"/>
      <c r="L4" s="255"/>
      <c r="M4" s="255"/>
      <c r="N4" s="255"/>
      <c r="O4" s="249"/>
      <c r="P4" s="249"/>
      <c r="Q4" s="249"/>
      <c r="R4" s="256"/>
      <c r="S4" s="314"/>
      <c r="T4" s="686"/>
    </row>
    <row r="5" spans="1:21" ht="18">
      <c r="A5" s="285"/>
      <c r="B5" s="257" t="s">
        <v>138</v>
      </c>
      <c r="C5" s="25"/>
      <c r="D5" s="248" t="str">
        <f>'Cover Sheet'!D5</f>
        <v>Monthly Period</v>
      </c>
      <c r="E5" s="249"/>
      <c r="F5" s="121">
        <f>'Cover Sheet'!F5</f>
        <v>45852</v>
      </c>
      <c r="G5" s="249"/>
      <c r="H5" s="249"/>
      <c r="I5" s="249"/>
      <c r="J5" s="249"/>
      <c r="K5" s="249"/>
      <c r="L5" s="255"/>
      <c r="M5" s="255"/>
      <c r="N5" s="255"/>
      <c r="O5" s="249"/>
      <c r="P5" s="249"/>
      <c r="Q5" s="249"/>
      <c r="R5" s="256"/>
      <c r="S5" s="314"/>
      <c r="T5" s="686"/>
    </row>
    <row r="6" spans="1:21" s="247" customFormat="1" ht="15" customHeight="1">
      <c r="A6" s="239"/>
      <c r="B6" s="258"/>
      <c r="C6" s="330"/>
      <c r="D6" s="248" t="str">
        <f>'Cover Sheet'!D6</f>
        <v>Interest Period</v>
      </c>
      <c r="E6" s="260" t="s">
        <v>34</v>
      </c>
      <c r="F6" s="250">
        <f>'Cover Sheet'!F6</f>
        <v>45824</v>
      </c>
      <c r="G6" s="260" t="str">
        <f>'Cover Sheet'!G6</f>
        <v>to</v>
      </c>
      <c r="H6" s="250">
        <f>'Cover Sheet'!H6</f>
        <v>45852</v>
      </c>
      <c r="I6" s="260" t="str">
        <f>'Cover Sheet'!I6</f>
        <v>=</v>
      </c>
      <c r="J6" s="687" t="str">
        <f>'Cover Sheet'!J6</f>
        <v>28 days</v>
      </c>
      <c r="K6" s="260"/>
      <c r="L6" s="250"/>
      <c r="M6" s="250"/>
      <c r="N6" s="250"/>
      <c r="O6" s="260"/>
      <c r="P6" s="260"/>
      <c r="Q6" s="260"/>
      <c r="R6" s="372"/>
      <c r="S6" s="327"/>
      <c r="T6" s="688"/>
      <c r="U6" s="331"/>
    </row>
    <row r="7" spans="1:21">
      <c r="A7" s="285"/>
      <c r="B7" s="25"/>
      <c r="C7" s="25"/>
      <c r="D7" s="689" t="str">
        <f>'Cover Sheet'!D7</f>
        <v>Collection Period</v>
      </c>
      <c r="E7" s="690" t="s">
        <v>34</v>
      </c>
      <c r="F7" s="264" t="str">
        <f>'Cover Sheet'!F7</f>
        <v>01.06.2025</v>
      </c>
      <c r="G7" s="690" t="str">
        <f>'Cover Sheet'!G7</f>
        <v>to</v>
      </c>
      <c r="H7" s="264">
        <f>'Cover Sheet'!H7</f>
        <v>45838</v>
      </c>
      <c r="I7" s="690"/>
      <c r="J7" s="690"/>
      <c r="K7" s="690"/>
      <c r="L7" s="264"/>
      <c r="M7" s="264"/>
      <c r="N7" s="264"/>
      <c r="O7" s="265"/>
      <c r="P7" s="265"/>
      <c r="Q7" s="265"/>
      <c r="R7" s="266"/>
      <c r="S7" s="314"/>
      <c r="T7" s="686"/>
    </row>
    <row r="8" spans="1:21" ht="13">
      <c r="A8" s="285"/>
      <c r="B8" s="25"/>
      <c r="C8" s="25"/>
      <c r="D8" s="691"/>
      <c r="E8" s="6"/>
      <c r="F8" s="691"/>
      <c r="G8" s="25"/>
      <c r="H8" s="25"/>
      <c r="I8" s="25"/>
      <c r="J8" s="25"/>
      <c r="K8" s="25"/>
      <c r="L8" s="692"/>
      <c r="M8" s="692"/>
      <c r="N8" s="692"/>
      <c r="O8" s="25"/>
      <c r="P8" s="25"/>
      <c r="Q8" s="25"/>
      <c r="R8" s="25"/>
      <c r="S8" s="314"/>
    </row>
    <row r="9" spans="1:21" ht="13">
      <c r="A9" s="285"/>
      <c r="B9" s="693"/>
      <c r="C9" s="25"/>
      <c r="D9" s="691"/>
      <c r="E9" s="6"/>
      <c r="F9" s="691"/>
      <c r="G9" s="25"/>
      <c r="H9" s="25"/>
      <c r="I9" s="25"/>
      <c r="J9" s="25"/>
      <c r="K9" s="25"/>
      <c r="L9" s="692"/>
      <c r="M9" s="692"/>
      <c r="N9" s="692"/>
      <c r="O9" s="25"/>
      <c r="P9" s="25"/>
      <c r="Q9" s="25"/>
      <c r="R9" s="25"/>
      <c r="S9" s="314"/>
    </row>
    <row r="10" spans="1:21">
      <c r="A10" s="285"/>
      <c r="B10" s="25"/>
      <c r="C10" s="25"/>
      <c r="D10" s="25"/>
      <c r="E10" s="25"/>
      <c r="F10" s="25"/>
      <c r="G10" s="25"/>
      <c r="H10" s="25"/>
      <c r="I10" s="25"/>
      <c r="J10" s="25"/>
      <c r="K10" s="25"/>
      <c r="L10" s="694"/>
      <c r="M10" s="694"/>
      <c r="N10" s="694"/>
      <c r="O10" s="25"/>
      <c r="P10" s="25"/>
      <c r="Q10" s="25"/>
      <c r="R10" s="25"/>
      <c r="S10" s="314"/>
    </row>
    <row r="11" spans="1:21" ht="18" customHeight="1">
      <c r="A11" s="285"/>
      <c r="B11" s="25"/>
      <c r="C11" s="25"/>
      <c r="D11" s="25"/>
      <c r="E11" s="25"/>
      <c r="F11" s="25"/>
      <c r="G11" s="25"/>
      <c r="H11" s="25"/>
      <c r="I11" s="25"/>
      <c r="J11" s="25"/>
      <c r="K11" s="25"/>
      <c r="L11" s="25"/>
      <c r="M11" s="25"/>
      <c r="N11" s="25"/>
      <c r="O11" s="25"/>
      <c r="P11" s="25"/>
      <c r="Q11" s="25"/>
      <c r="R11" s="25"/>
      <c r="S11" s="314"/>
    </row>
    <row r="12" spans="1:21">
      <c r="A12" s="285"/>
      <c r="B12" s="25"/>
      <c r="C12" s="25"/>
      <c r="D12" s="25"/>
      <c r="E12" s="25"/>
      <c r="F12" s="25"/>
      <c r="G12" s="25"/>
      <c r="H12" s="25"/>
      <c r="I12" s="25"/>
      <c r="J12" s="25"/>
      <c r="K12" s="25"/>
      <c r="L12" s="25"/>
      <c r="M12" s="25"/>
      <c r="N12" s="25"/>
      <c r="O12" s="25"/>
      <c r="P12" s="25"/>
      <c r="Q12" s="25"/>
      <c r="R12" s="25"/>
      <c r="S12" s="314"/>
    </row>
    <row r="13" spans="1:21" ht="18">
      <c r="A13" s="285"/>
      <c r="B13" s="275" t="s">
        <v>25</v>
      </c>
      <c r="C13" s="695" t="s">
        <v>7</v>
      </c>
      <c r="D13" s="695" t="s">
        <v>5</v>
      </c>
      <c r="E13" s="695"/>
      <c r="F13" s="695" t="s">
        <v>6</v>
      </c>
      <c r="G13" s="695"/>
      <c r="H13" s="695" t="s">
        <v>180</v>
      </c>
      <c r="I13" s="695"/>
      <c r="J13" s="695" t="s">
        <v>181</v>
      </c>
      <c r="K13" s="695"/>
      <c r="L13" s="695" t="s">
        <v>182</v>
      </c>
      <c r="M13" s="695"/>
      <c r="N13" s="695" t="s">
        <v>229</v>
      </c>
      <c r="O13" s="695"/>
      <c r="P13" s="695" t="s">
        <v>240</v>
      </c>
      <c r="Q13" s="695"/>
      <c r="R13" s="695"/>
      <c r="S13" s="314"/>
      <c r="T13" s="696"/>
    </row>
    <row r="14" spans="1:21" ht="12.75" customHeight="1">
      <c r="A14" s="285"/>
      <c r="B14" s="697" t="s">
        <v>16</v>
      </c>
      <c r="C14" s="698"/>
      <c r="D14" s="698"/>
      <c r="E14" s="698"/>
      <c r="F14" s="698"/>
      <c r="G14" s="698"/>
      <c r="H14" s="698"/>
      <c r="I14" s="698"/>
      <c r="J14" s="698"/>
      <c r="K14" s="698"/>
      <c r="L14" s="698"/>
      <c r="M14" s="698"/>
      <c r="N14" s="698"/>
      <c r="O14" s="698"/>
      <c r="P14" s="698"/>
      <c r="Q14" s="698"/>
      <c r="R14" s="699"/>
      <c r="S14" s="314"/>
      <c r="T14" s="696"/>
    </row>
    <row r="15" spans="1:21" ht="14.25" customHeight="1">
      <c r="A15" s="285"/>
      <c r="B15" s="285" t="s">
        <v>17</v>
      </c>
      <c r="C15" s="700"/>
      <c r="D15" s="82" t="s">
        <v>574</v>
      </c>
      <c r="E15" s="685"/>
      <c r="F15" s="82" t="s">
        <v>575</v>
      </c>
      <c r="G15" s="701"/>
      <c r="H15" s="82" t="s">
        <v>576</v>
      </c>
      <c r="I15" s="701"/>
      <c r="J15" s="82" t="s">
        <v>577</v>
      </c>
      <c r="K15" s="701"/>
      <c r="L15" s="82" t="s">
        <v>578</v>
      </c>
      <c r="M15" s="702"/>
      <c r="N15" s="82" t="s">
        <v>579</v>
      </c>
      <c r="O15" s="701"/>
      <c r="P15" s="82" t="s">
        <v>580</v>
      </c>
      <c r="Q15" s="700"/>
      <c r="R15" s="703"/>
      <c r="S15" s="314"/>
      <c r="T15" s="696"/>
    </row>
    <row r="16" spans="1:21" ht="14.25" customHeight="1">
      <c r="A16" s="285"/>
      <c r="B16" s="285" t="s">
        <v>56</v>
      </c>
      <c r="C16" s="700"/>
      <c r="D16" s="701" t="s">
        <v>54</v>
      </c>
      <c r="E16" s="701"/>
      <c r="F16" s="701" t="s">
        <v>54</v>
      </c>
      <c r="G16" s="704"/>
      <c r="H16" s="701" t="s">
        <v>54</v>
      </c>
      <c r="I16" s="704"/>
      <c r="J16" s="701" t="s">
        <v>54</v>
      </c>
      <c r="K16" s="704"/>
      <c r="L16" s="701" t="s">
        <v>54</v>
      </c>
      <c r="M16" s="701"/>
      <c r="N16" s="701" t="s">
        <v>54</v>
      </c>
      <c r="O16" s="704"/>
      <c r="P16" s="701" t="s">
        <v>54</v>
      </c>
      <c r="Q16" s="700"/>
      <c r="R16" s="703"/>
      <c r="S16" s="314"/>
      <c r="T16" s="696"/>
    </row>
    <row r="17" spans="1:21" ht="13">
      <c r="A17" s="285"/>
      <c r="B17" s="285" t="s">
        <v>18</v>
      </c>
      <c r="C17" s="694" t="s">
        <v>8</v>
      </c>
      <c r="D17" s="705">
        <v>0.75600000000000001</v>
      </c>
      <c r="E17" s="705"/>
      <c r="F17" s="705">
        <v>4.3999999999999997E-2</v>
      </c>
      <c r="G17" s="705"/>
      <c r="H17" s="705">
        <v>5.5E-2</v>
      </c>
      <c r="I17" s="705"/>
      <c r="J17" s="705">
        <v>0.04</v>
      </c>
      <c r="K17" s="705"/>
      <c r="L17" s="705">
        <v>5.0999999999999997E-2</v>
      </c>
      <c r="M17" s="705"/>
      <c r="N17" s="705">
        <v>2.5999999999999999E-2</v>
      </c>
      <c r="O17" s="705"/>
      <c r="P17" s="705">
        <v>2.8000000000000001E-2</v>
      </c>
      <c r="Q17" s="706"/>
      <c r="R17" s="707"/>
      <c r="S17" s="314"/>
      <c r="T17" s="708"/>
    </row>
    <row r="18" spans="1:21" ht="13">
      <c r="A18" s="285"/>
      <c r="B18" s="285" t="s">
        <v>139</v>
      </c>
      <c r="C18" s="694"/>
      <c r="D18" s="702">
        <v>49962</v>
      </c>
      <c r="E18" s="685"/>
      <c r="F18" s="702">
        <v>49962</v>
      </c>
      <c r="G18" s="701"/>
      <c r="H18" s="702">
        <v>49962</v>
      </c>
      <c r="I18" s="701"/>
      <c r="J18" s="702">
        <v>49962</v>
      </c>
      <c r="K18" s="701"/>
      <c r="L18" s="702">
        <v>49962</v>
      </c>
      <c r="M18" s="702"/>
      <c r="N18" s="702">
        <v>49962</v>
      </c>
      <c r="O18" s="701"/>
      <c r="P18" s="702">
        <v>49962</v>
      </c>
      <c r="Q18" s="706"/>
      <c r="R18" s="707"/>
      <c r="S18" s="314"/>
      <c r="T18" s="708"/>
    </row>
    <row r="19" spans="1:21" ht="13">
      <c r="A19" s="285"/>
      <c r="B19" s="285" t="s">
        <v>168</v>
      </c>
      <c r="C19" s="694"/>
      <c r="D19" s="702">
        <v>46705</v>
      </c>
      <c r="E19" s="685"/>
      <c r="F19" s="702">
        <v>46705</v>
      </c>
      <c r="G19" s="701"/>
      <c r="H19" s="702">
        <v>46705</v>
      </c>
      <c r="I19" s="701"/>
      <c r="J19" s="702">
        <v>46705</v>
      </c>
      <c r="K19" s="701"/>
      <c r="L19" s="702">
        <v>46705</v>
      </c>
      <c r="M19" s="702"/>
      <c r="N19" s="702">
        <v>45305</v>
      </c>
      <c r="O19" s="701"/>
      <c r="P19" s="702">
        <v>46705</v>
      </c>
      <c r="Q19" s="706"/>
      <c r="R19" s="707"/>
      <c r="S19" s="314"/>
      <c r="T19" s="708"/>
    </row>
    <row r="20" spans="1:21" ht="13">
      <c r="A20" s="285"/>
      <c r="B20" s="285" t="s">
        <v>244</v>
      </c>
      <c r="C20" s="694"/>
      <c r="D20" s="701" t="s">
        <v>406</v>
      </c>
      <c r="E20" s="701"/>
      <c r="F20" s="701" t="s">
        <v>602</v>
      </c>
      <c r="G20" s="701"/>
      <c r="H20" s="701" t="s">
        <v>605</v>
      </c>
      <c r="I20" s="701"/>
      <c r="J20" s="701" t="s">
        <v>429</v>
      </c>
      <c r="K20" s="701"/>
      <c r="L20" s="701" t="s">
        <v>603</v>
      </c>
      <c r="M20" s="701"/>
      <c r="N20" s="701" t="s">
        <v>604</v>
      </c>
      <c r="O20" s="701"/>
      <c r="P20" s="701" t="s">
        <v>407</v>
      </c>
      <c r="Q20" s="706"/>
      <c r="R20" s="707"/>
      <c r="S20" s="314"/>
      <c r="T20" s="708"/>
    </row>
    <row r="21" spans="1:21" ht="13">
      <c r="A21" s="285"/>
      <c r="B21" s="285" t="s">
        <v>245</v>
      </c>
      <c r="C21" s="709" t="s">
        <v>417</v>
      </c>
      <c r="D21" s="701" t="str">
        <f>VLOOKUP(D15,ratings,18,FALSE)</f>
        <v>AAA (sf)/Aaa (sf)</v>
      </c>
      <c r="E21" s="701"/>
      <c r="F21" s="701" t="str">
        <f>VLOOKUP(F15,ratings,18,FALSE)</f>
        <v>AA- (sf)/Aaa (sf)</v>
      </c>
      <c r="G21" s="701"/>
      <c r="H21" s="701" t="str">
        <f>VLOOKUP(H15,ratings,18,FALSE)</f>
        <v>A (sf)/Aa3 (sf)</v>
      </c>
      <c r="I21" s="701"/>
      <c r="J21" s="701" t="str">
        <f>VLOOKUP(J15,ratings,18,FALSE)</f>
        <v>BBB (sf)/Baa3 (sf)</v>
      </c>
      <c r="K21" s="701"/>
      <c r="L21" s="701" t="str">
        <f>VLOOKUP(L15,ratings,18,FALSE)</f>
        <v>B+ (sf)/Ba3 (sf)</v>
      </c>
      <c r="M21" s="701"/>
      <c r="N21" s="701" t="str">
        <f>VLOOKUP(N15,ratings,18,FALSE)</f>
        <v>CC (sf)/Caa1 (sf)</v>
      </c>
      <c r="O21" s="701"/>
      <c r="P21" s="701" t="str">
        <f>VLOOKUP(P15,ratings,18,FALSE)</f>
        <v/>
      </c>
      <c r="Q21" s="706"/>
      <c r="R21" s="707"/>
      <c r="S21" s="314"/>
      <c r="T21" s="708"/>
    </row>
    <row r="22" spans="1:21">
      <c r="A22" s="285"/>
      <c r="B22" s="285" t="s">
        <v>45</v>
      </c>
      <c r="C22" s="710">
        <f>SUM(D22:P22)</f>
        <v>1000000000</v>
      </c>
      <c r="D22" s="711">
        <v>756000000</v>
      </c>
      <c r="E22" s="701"/>
      <c r="F22" s="711">
        <v>44000000</v>
      </c>
      <c r="G22" s="701"/>
      <c r="H22" s="711">
        <v>55000000</v>
      </c>
      <c r="I22" s="701"/>
      <c r="J22" s="711">
        <v>40000000</v>
      </c>
      <c r="K22" s="701"/>
      <c r="L22" s="711">
        <v>51000000</v>
      </c>
      <c r="M22" s="701"/>
      <c r="N22" s="711">
        <v>26000000</v>
      </c>
      <c r="O22" s="701"/>
      <c r="P22" s="711">
        <v>28000000</v>
      </c>
      <c r="Q22" s="712"/>
      <c r="R22" s="713"/>
      <c r="S22" s="314"/>
    </row>
    <row r="23" spans="1:21">
      <c r="A23" s="285"/>
      <c r="B23" s="285" t="s">
        <v>19</v>
      </c>
      <c r="C23" s="693"/>
      <c r="D23" s="711">
        <v>100000</v>
      </c>
      <c r="E23" s="6"/>
      <c r="F23" s="711">
        <f>D23</f>
        <v>100000</v>
      </c>
      <c r="G23" s="6"/>
      <c r="H23" s="711">
        <f>D23</f>
        <v>100000</v>
      </c>
      <c r="I23" s="6"/>
      <c r="J23" s="711">
        <f>D23</f>
        <v>100000</v>
      </c>
      <c r="K23" s="6"/>
      <c r="L23" s="711">
        <f>D23</f>
        <v>100000</v>
      </c>
      <c r="M23" s="711"/>
      <c r="N23" s="711">
        <f>D23</f>
        <v>100000</v>
      </c>
      <c r="O23" s="6"/>
      <c r="P23" s="711">
        <v>100000</v>
      </c>
      <c r="Q23" s="25"/>
      <c r="R23" s="714"/>
      <c r="S23" s="314"/>
      <c r="U23" s="715"/>
    </row>
    <row r="24" spans="1:21">
      <c r="A24" s="285"/>
      <c r="B24" s="348" t="s">
        <v>20</v>
      </c>
      <c r="C24" s="716"/>
      <c r="D24" s="717">
        <f>D22/D23</f>
        <v>7560</v>
      </c>
      <c r="E24" s="718"/>
      <c r="F24" s="717">
        <f>F22/F23</f>
        <v>440</v>
      </c>
      <c r="G24" s="717"/>
      <c r="H24" s="717">
        <f>H22/H23</f>
        <v>550</v>
      </c>
      <c r="I24" s="717"/>
      <c r="J24" s="717">
        <f>J22/J23</f>
        <v>400</v>
      </c>
      <c r="K24" s="717"/>
      <c r="L24" s="717">
        <f>L22/L23</f>
        <v>510</v>
      </c>
      <c r="M24" s="717"/>
      <c r="N24" s="717">
        <f>N22/N23</f>
        <v>260</v>
      </c>
      <c r="O24" s="717"/>
      <c r="P24" s="717">
        <f>P22/P23</f>
        <v>280</v>
      </c>
      <c r="Q24" s="40"/>
      <c r="R24" s="719"/>
      <c r="S24" s="314"/>
    </row>
    <row r="25" spans="1:21" ht="12.75" customHeight="1">
      <c r="A25" s="285"/>
      <c r="B25" s="235"/>
      <c r="C25" s="236"/>
      <c r="D25" s="720"/>
      <c r="E25" s="236"/>
      <c r="F25" s="720"/>
      <c r="G25" s="236"/>
      <c r="H25" s="236"/>
      <c r="I25" s="236"/>
      <c r="J25" s="236"/>
      <c r="K25" s="236"/>
      <c r="L25" s="720"/>
      <c r="M25" s="720"/>
      <c r="N25" s="720"/>
      <c r="O25" s="236"/>
      <c r="P25" s="236"/>
      <c r="Q25" s="236"/>
      <c r="R25" s="721"/>
      <c r="S25" s="314"/>
    </row>
    <row r="26" spans="1:21" ht="13">
      <c r="A26" s="285"/>
      <c r="B26" s="722" t="s">
        <v>21</v>
      </c>
      <c r="C26" s="25"/>
      <c r="D26" s="25"/>
      <c r="E26" s="25"/>
      <c r="F26" s="25"/>
      <c r="G26" s="25"/>
      <c r="H26" s="25"/>
      <c r="I26" s="25"/>
      <c r="J26" s="25"/>
      <c r="K26" s="25"/>
      <c r="L26" s="25"/>
      <c r="M26" s="25"/>
      <c r="N26" s="25"/>
      <c r="O26" s="25"/>
      <c r="P26" s="25"/>
      <c r="Q26" s="25"/>
      <c r="R26" s="314"/>
      <c r="S26" s="314"/>
    </row>
    <row r="27" spans="1:21">
      <c r="A27" s="285"/>
      <c r="B27" s="285" t="s">
        <v>46</v>
      </c>
      <c r="C27" s="723">
        <f>SUM(D27,F27,H27,J27,L27,N27,P27)</f>
        <v>543571397.83999991</v>
      </c>
      <c r="D27" s="920">
        <f>VLOOKUP("A_Notes_bop",calcdata_22,2,FALSE)</f>
        <v>362060873.99999988</v>
      </c>
      <c r="E27" s="920"/>
      <c r="F27" s="920">
        <f>VLOOKUP("B_Notes_bop",calcdata_22,2,FALSE)</f>
        <v>30858286.800000001</v>
      </c>
      <c r="G27" s="920"/>
      <c r="H27" s="920">
        <f>VLOOKUP("C_Notes_bop",calcdata_22,2,FALSE)</f>
        <v>38572858.5</v>
      </c>
      <c r="I27" s="920"/>
      <c r="J27" s="920">
        <f>VLOOKUP("D_Notes_bop",calcdata_22,2,FALSE)</f>
        <v>28052988</v>
      </c>
      <c r="K27" s="920"/>
      <c r="L27" s="920">
        <f>VLOOKUP("E_Notes_bop",calcdata_22,2,FALSE)</f>
        <v>35767559.699999988</v>
      </c>
      <c r="M27" s="920"/>
      <c r="N27" s="920">
        <f>VLOOKUP("F_Notes_bop",calcdata_22,2,FALSE)</f>
        <v>20258830.840000004</v>
      </c>
      <c r="O27" s="920"/>
      <c r="P27" s="920">
        <f>VLOOKUP("G_Notes_bop",calcdata_22,2,FALSE)</f>
        <v>28000000</v>
      </c>
      <c r="Q27" s="693"/>
      <c r="R27" s="714"/>
      <c r="S27" s="314"/>
    </row>
    <row r="28" spans="1:21">
      <c r="A28" s="285"/>
      <c r="B28" s="285"/>
      <c r="C28" s="723"/>
      <c r="D28" s="723"/>
      <c r="E28" s="723"/>
      <c r="F28" s="723"/>
      <c r="G28" s="723"/>
      <c r="H28" s="723"/>
      <c r="I28" s="723"/>
      <c r="J28" s="723"/>
      <c r="K28" s="723"/>
      <c r="L28" s="723"/>
      <c r="M28" s="723"/>
      <c r="N28" s="723"/>
      <c r="O28" s="693"/>
      <c r="P28" s="693"/>
      <c r="Q28" s="693"/>
      <c r="R28" s="714"/>
      <c r="S28" s="314"/>
    </row>
    <row r="29" spans="1:21">
      <c r="A29" s="285"/>
      <c r="B29" s="285" t="s">
        <v>140</v>
      </c>
      <c r="C29" s="723">
        <f>VLOOKUP("Replenishment",calcdata_22,2,FALSE)</f>
        <v>0</v>
      </c>
      <c r="D29" s="723"/>
      <c r="E29" s="723"/>
      <c r="F29" s="723"/>
      <c r="G29" s="723"/>
      <c r="H29" s="723"/>
      <c r="I29" s="723"/>
      <c r="J29" s="723"/>
      <c r="K29" s="723"/>
      <c r="L29" s="723"/>
      <c r="M29" s="723"/>
      <c r="N29" s="723"/>
      <c r="O29" s="25"/>
      <c r="P29" s="25"/>
      <c r="Q29" s="25"/>
      <c r="R29" s="314"/>
      <c r="S29" s="314"/>
    </row>
    <row r="30" spans="1:21">
      <c r="A30" s="285"/>
      <c r="B30" s="285" t="s">
        <v>95</v>
      </c>
      <c r="C30" s="723">
        <f>VLOOKUP("Amortisation",calcdata_22,2,FALSE)</f>
        <v>16731943.199999999</v>
      </c>
      <c r="D30" s="723"/>
      <c r="E30" s="723"/>
      <c r="F30" s="723"/>
      <c r="G30" s="723"/>
      <c r="H30" s="723"/>
      <c r="I30" s="723"/>
      <c r="J30" s="723"/>
      <c r="K30" s="723"/>
      <c r="L30" s="723"/>
      <c r="M30" s="723"/>
      <c r="N30" s="723"/>
      <c r="O30" s="25"/>
      <c r="P30" s="25"/>
      <c r="Q30" s="25"/>
      <c r="R30" s="314"/>
      <c r="S30" s="314"/>
    </row>
    <row r="31" spans="1:21">
      <c r="A31" s="285"/>
      <c r="B31" s="285" t="s">
        <v>23</v>
      </c>
      <c r="C31" s="723"/>
      <c r="D31" s="723">
        <f>VLOOKUP("A_Redemption",calcdata_22,2,FALSE)</f>
        <v>16731943.199999999</v>
      </c>
      <c r="E31" s="723"/>
      <c r="F31" s="723">
        <f>VLOOKUP("B_Redemption",calcdata_22,2,FALSE)</f>
        <v>0</v>
      </c>
      <c r="G31" s="723"/>
      <c r="H31" s="723">
        <f>VLOOKUP("C_Redemption",calcdata_22,2,FALSE)</f>
        <v>0</v>
      </c>
      <c r="I31" s="723"/>
      <c r="J31" s="723">
        <f>VLOOKUP("D_Redemption",calcdata_22,2,FALSE)</f>
        <v>0</v>
      </c>
      <c r="K31" s="723"/>
      <c r="L31" s="723">
        <f>VLOOKUP("E_Redemption",calcdata_22,2,FALSE)</f>
        <v>0</v>
      </c>
      <c r="M31" s="723"/>
      <c r="N31" s="723">
        <f>VLOOKUP("F_Redemption",calcdata_22,2,FALSE)</f>
        <v>0</v>
      </c>
      <c r="O31" s="693"/>
      <c r="P31" s="723">
        <f>VLOOKUP("G_Redemption",calcdata_22,2,FALSE)</f>
        <v>0</v>
      </c>
      <c r="Q31" s="693"/>
      <c r="R31" s="714"/>
      <c r="S31" s="314"/>
    </row>
    <row r="32" spans="1:21">
      <c r="A32" s="285"/>
      <c r="B32" s="285" t="s">
        <v>22</v>
      </c>
      <c r="C32" s="723"/>
      <c r="D32" s="723">
        <f>IF(ISNUMBER(D31),D31/D24,"")</f>
        <v>2213.2199999999998</v>
      </c>
      <c r="E32" s="723"/>
      <c r="F32" s="723">
        <f>IF(ISNUMBER(F31),F31/F24,"")</f>
        <v>0</v>
      </c>
      <c r="G32" s="723"/>
      <c r="H32" s="723">
        <f>IF(ISNUMBER(H31),H31/H24,"")</f>
        <v>0</v>
      </c>
      <c r="I32" s="723"/>
      <c r="J32" s="723">
        <f>IF(ISNUMBER(J31),J31/J24,"")</f>
        <v>0</v>
      </c>
      <c r="K32" s="723"/>
      <c r="L32" s="723">
        <f>IF(ISNUMBER(L31),L31/L24,"")</f>
        <v>0</v>
      </c>
      <c r="M32" s="723"/>
      <c r="N32" s="723">
        <f>IF(ISNUMBER(N31),N31/N24,"")</f>
        <v>0</v>
      </c>
      <c r="O32" s="693"/>
      <c r="P32" s="723">
        <f>IF(ISNUMBER(P31),P31/P24,"")</f>
        <v>0</v>
      </c>
      <c r="Q32" s="693"/>
      <c r="R32" s="714"/>
      <c r="S32" s="314"/>
    </row>
    <row r="33" spans="1:19">
      <c r="A33" s="285"/>
      <c r="B33" s="285" t="s">
        <v>47</v>
      </c>
      <c r="C33" s="723">
        <f>SUM(D33,F33,H33,J33,L33,N33,P33)</f>
        <v>526839454.63999987</v>
      </c>
      <c r="D33" s="723">
        <f>D27-D31</f>
        <v>345328930.79999989</v>
      </c>
      <c r="E33" s="723"/>
      <c r="F33" s="723">
        <f>F27-F31</f>
        <v>30858286.800000001</v>
      </c>
      <c r="G33" s="723"/>
      <c r="H33" s="723">
        <f>H27-H31</f>
        <v>38572858.5</v>
      </c>
      <c r="I33" s="723"/>
      <c r="J33" s="723">
        <f>J27-J31</f>
        <v>28052988</v>
      </c>
      <c r="K33" s="723"/>
      <c r="L33" s="723">
        <f>L27-L31</f>
        <v>35767559.699999988</v>
      </c>
      <c r="M33" s="723"/>
      <c r="N33" s="723">
        <f>N27-N31</f>
        <v>20258830.840000004</v>
      </c>
      <c r="O33" s="25"/>
      <c r="P33" s="723">
        <f>P27-P31</f>
        <v>28000000</v>
      </c>
      <c r="Q33" s="25"/>
      <c r="R33" s="714"/>
      <c r="S33" s="314"/>
    </row>
    <row r="34" spans="1:19">
      <c r="A34" s="285"/>
      <c r="B34" s="285" t="s">
        <v>24</v>
      </c>
      <c r="C34" s="25"/>
      <c r="D34" s="724">
        <f>+D33/$C$33</f>
        <v>0.65547279680480686</v>
      </c>
      <c r="E34" s="25"/>
      <c r="F34" s="724">
        <f>+F33/$C$33</f>
        <v>5.8572467434289059E-2</v>
      </c>
      <c r="G34" s="25"/>
      <c r="H34" s="724">
        <f>+H33/$C$33</f>
        <v>7.3215584292861319E-2</v>
      </c>
      <c r="I34" s="25"/>
      <c r="J34" s="724">
        <f>+J33/$C$33</f>
        <v>5.324769766753551E-2</v>
      </c>
      <c r="K34" s="25"/>
      <c r="L34" s="724">
        <f>+L33/$C$33</f>
        <v>6.7890814526107748E-2</v>
      </c>
      <c r="M34" s="724"/>
      <c r="N34" s="724">
        <f>+N33/$C$33</f>
        <v>3.8453518736259559E-2</v>
      </c>
      <c r="O34" s="25"/>
      <c r="P34" s="724">
        <f>+P33/$C$33</f>
        <v>5.3147120538139976E-2</v>
      </c>
      <c r="Q34" s="25"/>
      <c r="R34" s="725"/>
      <c r="S34" s="314"/>
    </row>
    <row r="35" spans="1:19">
      <c r="A35" s="285"/>
      <c r="B35" s="348" t="s">
        <v>27</v>
      </c>
      <c r="C35" s="726">
        <f>C33/C22</f>
        <v>0.52683945463999982</v>
      </c>
      <c r="D35" s="726">
        <f>D33/D22</f>
        <v>0.45678429999999987</v>
      </c>
      <c r="E35" s="40"/>
      <c r="F35" s="726">
        <f>F33/F22</f>
        <v>0.70132470000000002</v>
      </c>
      <c r="G35" s="40"/>
      <c r="H35" s="726">
        <f>H33/H22</f>
        <v>0.70132470000000002</v>
      </c>
      <c r="I35" s="40"/>
      <c r="J35" s="726">
        <f>J33/J22</f>
        <v>0.70132470000000002</v>
      </c>
      <c r="K35" s="40"/>
      <c r="L35" s="726">
        <f>L33/L22</f>
        <v>0.7013246999999998</v>
      </c>
      <c r="M35" s="726"/>
      <c r="N35" s="726">
        <f>N33/N22</f>
        <v>0.77918580153846173</v>
      </c>
      <c r="O35" s="40"/>
      <c r="P35" s="726">
        <f>P33/P22</f>
        <v>1</v>
      </c>
      <c r="Q35" s="40"/>
      <c r="R35" s="727"/>
      <c r="S35" s="314"/>
    </row>
    <row r="36" spans="1:19">
      <c r="A36" s="285"/>
      <c r="B36" s="25"/>
      <c r="C36" s="25"/>
      <c r="D36" s="25"/>
      <c r="E36" s="25"/>
      <c r="F36" s="25"/>
      <c r="G36" s="25"/>
      <c r="H36" s="25"/>
      <c r="I36" s="25"/>
      <c r="J36" s="25"/>
      <c r="K36" s="25"/>
      <c r="L36" s="25"/>
      <c r="M36" s="25"/>
      <c r="N36" s="25"/>
      <c r="O36" s="25"/>
      <c r="P36" s="25"/>
      <c r="Q36" s="25"/>
      <c r="R36" s="25"/>
      <c r="S36" s="314"/>
    </row>
    <row r="37" spans="1:19" ht="18">
      <c r="A37" s="285"/>
      <c r="B37" s="275" t="s">
        <v>26</v>
      </c>
      <c r="C37" s="695" t="s">
        <v>7</v>
      </c>
      <c r="D37" s="695" t="s">
        <v>5</v>
      </c>
      <c r="E37" s="695"/>
      <c r="F37" s="695" t="s">
        <v>6</v>
      </c>
      <c r="G37" s="695"/>
      <c r="H37" s="695" t="s">
        <v>180</v>
      </c>
      <c r="I37" s="695"/>
      <c r="J37" s="695" t="s">
        <v>181</v>
      </c>
      <c r="K37" s="695"/>
      <c r="L37" s="695" t="s">
        <v>182</v>
      </c>
      <c r="M37" s="695"/>
      <c r="N37" s="695" t="s">
        <v>229</v>
      </c>
      <c r="O37" s="695"/>
      <c r="P37" s="695" t="s">
        <v>240</v>
      </c>
      <c r="Q37" s="695"/>
      <c r="R37" s="695"/>
      <c r="S37" s="314"/>
    </row>
    <row r="38" spans="1:19">
      <c r="A38" s="285"/>
      <c r="B38" s="235" t="s">
        <v>183</v>
      </c>
      <c r="C38" s="728">
        <f>VLOOKUP("1M_Euribor",calcdata_22,2,FALSE)</f>
        <v>1.8919999999999999E-2</v>
      </c>
      <c r="D38" s="729" t="s">
        <v>467</v>
      </c>
      <c r="E38" s="730"/>
      <c r="F38" s="731" t="s">
        <v>581</v>
      </c>
      <c r="G38" s="731"/>
      <c r="H38" s="731" t="s">
        <v>582</v>
      </c>
      <c r="I38" s="731"/>
      <c r="J38" s="731" t="s">
        <v>583</v>
      </c>
      <c r="K38" s="731"/>
      <c r="L38" s="731" t="s">
        <v>584</v>
      </c>
      <c r="M38" s="731"/>
      <c r="N38" s="731" t="s">
        <v>585</v>
      </c>
      <c r="O38" s="731"/>
      <c r="P38" s="732" t="s">
        <v>586</v>
      </c>
      <c r="Q38" s="236"/>
      <c r="R38" s="733"/>
      <c r="S38" s="314"/>
    </row>
    <row r="39" spans="1:19">
      <c r="A39" s="285"/>
      <c r="B39" s="285" t="s">
        <v>57</v>
      </c>
      <c r="C39" s="734"/>
      <c r="D39" s="735" t="s">
        <v>55</v>
      </c>
      <c r="E39" s="6"/>
      <c r="F39" s="735" t="s">
        <v>55</v>
      </c>
      <c r="G39" s="6"/>
      <c r="H39" s="735" t="s">
        <v>55</v>
      </c>
      <c r="I39" s="6"/>
      <c r="J39" s="735" t="s">
        <v>55</v>
      </c>
      <c r="K39" s="6"/>
      <c r="L39" s="735" t="s">
        <v>55</v>
      </c>
      <c r="M39" s="735"/>
      <c r="N39" s="735" t="s">
        <v>55</v>
      </c>
      <c r="O39" s="6"/>
      <c r="P39" s="735" t="s">
        <v>55</v>
      </c>
      <c r="Q39" s="25"/>
      <c r="R39" s="736"/>
      <c r="S39" s="314"/>
    </row>
    <row r="40" spans="1:19">
      <c r="A40" s="285"/>
      <c r="B40" s="285" t="s">
        <v>93</v>
      </c>
      <c r="C40" s="734">
        <f>VLOOKUP("Interest_Days",calcdata_22,2,FALSE)</f>
        <v>28</v>
      </c>
      <c r="D40" s="737"/>
      <c r="E40" s="25"/>
      <c r="F40" s="737"/>
      <c r="G40" s="25"/>
      <c r="H40" s="25"/>
      <c r="I40" s="25"/>
      <c r="J40" s="25"/>
      <c r="K40" s="25"/>
      <c r="L40" s="738"/>
      <c r="M40" s="738"/>
      <c r="N40" s="738"/>
      <c r="O40" s="25"/>
      <c r="P40" s="738"/>
      <c r="Q40" s="25"/>
      <c r="R40" s="736"/>
      <c r="S40" s="314"/>
    </row>
    <row r="41" spans="1:19">
      <c r="A41" s="285"/>
      <c r="B41" s="285" t="s">
        <v>28</v>
      </c>
      <c r="C41" s="693"/>
      <c r="D41" s="723">
        <f>D27/D24</f>
        <v>47891.649999999987</v>
      </c>
      <c r="E41" s="723"/>
      <c r="F41" s="723">
        <f>F27/F24</f>
        <v>70132.47</v>
      </c>
      <c r="G41" s="723"/>
      <c r="H41" s="723">
        <f>H27/H24</f>
        <v>70132.47</v>
      </c>
      <c r="I41" s="723"/>
      <c r="J41" s="723">
        <f>J27/J24</f>
        <v>70132.47</v>
      </c>
      <c r="K41" s="723"/>
      <c r="L41" s="723">
        <f>L27/L24</f>
        <v>70132.469999999972</v>
      </c>
      <c r="M41" s="723"/>
      <c r="N41" s="723">
        <f>N27/N24</f>
        <v>77918.580153846167</v>
      </c>
      <c r="O41" s="25"/>
      <c r="P41" s="723">
        <f>P27/P24</f>
        <v>100000</v>
      </c>
      <c r="Q41" s="25"/>
      <c r="R41" s="714"/>
      <c r="S41" s="314"/>
    </row>
    <row r="42" spans="1:19" ht="13">
      <c r="A42" s="285"/>
      <c r="B42" s="285" t="s">
        <v>30</v>
      </c>
      <c r="C42" s="739"/>
      <c r="D42" s="740">
        <f>+D32</f>
        <v>2213.2199999999998</v>
      </c>
      <c r="E42" s="740"/>
      <c r="F42" s="740">
        <f>+F32</f>
        <v>0</v>
      </c>
      <c r="G42" s="740"/>
      <c r="H42" s="740">
        <f>+H32</f>
        <v>0</v>
      </c>
      <c r="I42" s="740"/>
      <c r="J42" s="740">
        <f>+J32</f>
        <v>0</v>
      </c>
      <c r="K42" s="740"/>
      <c r="L42" s="740">
        <f>+L32</f>
        <v>0</v>
      </c>
      <c r="M42" s="740"/>
      <c r="N42" s="740">
        <f>+N32</f>
        <v>0</v>
      </c>
      <c r="O42" s="24"/>
      <c r="P42" s="740">
        <f>+P32</f>
        <v>0</v>
      </c>
      <c r="Q42" s="24"/>
      <c r="R42" s="741"/>
      <c r="S42" s="314"/>
    </row>
    <row r="43" spans="1:19">
      <c r="A43" s="285"/>
      <c r="B43" s="285" t="s">
        <v>29</v>
      </c>
      <c r="C43" s="739"/>
      <c r="D43" s="723">
        <f>D41-D42</f>
        <v>45678.429999999986</v>
      </c>
      <c r="E43" s="723"/>
      <c r="F43" s="723">
        <f>F41-F42</f>
        <v>70132.47</v>
      </c>
      <c r="G43" s="723"/>
      <c r="H43" s="723">
        <f>H41-H42</f>
        <v>70132.47</v>
      </c>
      <c r="I43" s="723"/>
      <c r="J43" s="723">
        <f>J41-J42</f>
        <v>70132.47</v>
      </c>
      <c r="K43" s="723"/>
      <c r="L43" s="723">
        <f>L41-L42</f>
        <v>70132.469999999972</v>
      </c>
      <c r="M43" s="723"/>
      <c r="N43" s="723">
        <f>N41-N42</f>
        <v>77918.580153846167</v>
      </c>
      <c r="O43" s="25"/>
      <c r="P43" s="723">
        <f>P41-P42</f>
        <v>100000</v>
      </c>
      <c r="Q43" s="25"/>
      <c r="R43" s="714"/>
      <c r="S43" s="314"/>
    </row>
    <row r="44" spans="1:19" ht="13">
      <c r="A44" s="285"/>
      <c r="B44" s="285" t="s">
        <v>83</v>
      </c>
      <c r="C44" s="742"/>
      <c r="D44" s="740">
        <f>-'19. PoP + Transaction Costs'!E61</f>
        <v>-729918</v>
      </c>
      <c r="E44" s="740"/>
      <c r="F44" s="740">
        <f>-'19. PoP + Transaction Costs'!G61</f>
        <v>-111412.40000000001</v>
      </c>
      <c r="G44" s="723"/>
      <c r="H44" s="740">
        <f>-'19. PoP + Transaction Costs'!I61</f>
        <v>-169268</v>
      </c>
      <c r="I44" s="723"/>
      <c r="J44" s="740">
        <f>-'19. PoP + Transaction Costs'!K61</f>
        <v>-161284</v>
      </c>
      <c r="K44" s="723"/>
      <c r="L44" s="740">
        <f>-'19. PoP + Transaction Costs'!M61</f>
        <v>-289098.60000000003</v>
      </c>
      <c r="M44" s="740"/>
      <c r="N44" s="740">
        <f>-'19. PoP + Transaction Costs'!O61</f>
        <v>-218894</v>
      </c>
      <c r="O44" s="25"/>
      <c r="P44" s="740">
        <f>-'19. PoP + Transaction Costs'!Q61</f>
        <v>-12440349.6</v>
      </c>
      <c r="Q44" s="25"/>
      <c r="R44" s="714"/>
      <c r="S44" s="314"/>
    </row>
    <row r="45" spans="1:19" ht="13">
      <c r="A45" s="285"/>
      <c r="B45" s="285" t="s">
        <v>92</v>
      </c>
      <c r="C45" s="742"/>
      <c r="D45" s="740">
        <f>VLOOKUP("A_Interests",calcdata_22,2,0)</f>
        <v>729918</v>
      </c>
      <c r="E45" s="740"/>
      <c r="F45" s="740">
        <f>VLOOKUP("B_Interests",calcdata_22,2,0)</f>
        <v>111412.40000000001</v>
      </c>
      <c r="G45" s="723"/>
      <c r="H45" s="740">
        <f>VLOOKUP("C_Interests",calcdata_22,2,0)</f>
        <v>169268</v>
      </c>
      <c r="I45" s="723"/>
      <c r="J45" s="740">
        <f>VLOOKUP("D_Interests",calcdata_22,2,0)</f>
        <v>161284</v>
      </c>
      <c r="K45" s="723"/>
      <c r="L45" s="740">
        <f>VLOOKUP("E_Interests",calcdata_22,2,0)</f>
        <v>289098.60000000003</v>
      </c>
      <c r="M45" s="740"/>
      <c r="N45" s="740">
        <f>VLOOKUP("F_Interests",calcdata_22,2,0)</f>
        <v>218894</v>
      </c>
      <c r="O45" s="25"/>
      <c r="P45" s="740">
        <f>VLOOKUP("G_Interests",calcdata_22,2,0)</f>
        <v>0</v>
      </c>
      <c r="Q45" s="25"/>
      <c r="R45" s="714"/>
      <c r="S45" s="314"/>
    </row>
    <row r="46" spans="1:19" ht="13">
      <c r="A46" s="285"/>
      <c r="B46" s="348" t="s">
        <v>84</v>
      </c>
      <c r="C46" s="40"/>
      <c r="D46" s="743">
        <f>D45/D24</f>
        <v>96.55</v>
      </c>
      <c r="E46" s="743"/>
      <c r="F46" s="743">
        <f>F45/F24</f>
        <v>253.21</v>
      </c>
      <c r="G46" s="744"/>
      <c r="H46" s="743">
        <f>H45/H24</f>
        <v>307.76</v>
      </c>
      <c r="I46" s="744"/>
      <c r="J46" s="743">
        <f>J45/J24</f>
        <v>403.21</v>
      </c>
      <c r="K46" s="744"/>
      <c r="L46" s="743">
        <f>L45/L24</f>
        <v>566.86</v>
      </c>
      <c r="M46" s="743"/>
      <c r="N46" s="743">
        <f>N45/N24</f>
        <v>841.9</v>
      </c>
      <c r="O46" s="40"/>
      <c r="P46" s="743">
        <f>P45/P24</f>
        <v>0</v>
      </c>
      <c r="Q46" s="40"/>
      <c r="R46" s="745"/>
      <c r="S46" s="314"/>
    </row>
    <row r="47" spans="1:19" ht="13">
      <c r="A47" s="285"/>
      <c r="G47" s="746"/>
      <c r="H47" s="746"/>
      <c r="I47" s="746"/>
      <c r="J47" s="746"/>
      <c r="K47" s="746"/>
      <c r="L47" s="746"/>
      <c r="M47" s="746"/>
      <c r="N47" s="746"/>
      <c r="O47" s="746"/>
      <c r="P47" s="746"/>
      <c r="Q47" s="746"/>
      <c r="R47" s="746"/>
      <c r="S47" s="314"/>
    </row>
    <row r="48" spans="1:19">
      <c r="A48" s="285"/>
      <c r="B48" s="25"/>
      <c r="C48" s="693"/>
      <c r="D48" s="693"/>
      <c r="E48" s="25"/>
      <c r="F48" s="693"/>
      <c r="G48" s="25"/>
      <c r="H48" s="25"/>
      <c r="I48" s="25"/>
      <c r="J48" s="25"/>
      <c r="K48" s="25"/>
      <c r="L48" s="693"/>
      <c r="M48" s="693"/>
      <c r="N48" s="693"/>
      <c r="O48" s="25"/>
      <c r="P48" s="25"/>
      <c r="Q48" s="25"/>
      <c r="R48" s="693"/>
      <c r="S48" s="314"/>
    </row>
    <row r="49" spans="1:19" ht="18">
      <c r="A49" s="285"/>
      <c r="B49" s="275" t="s">
        <v>31</v>
      </c>
      <c r="C49" s="25"/>
      <c r="D49" s="695" t="s">
        <v>5</v>
      </c>
      <c r="E49" s="695"/>
      <c r="F49" s="695" t="s">
        <v>6</v>
      </c>
      <c r="G49" s="25"/>
      <c r="H49" s="695" t="s">
        <v>180</v>
      </c>
      <c r="I49" s="695"/>
      <c r="J49" s="695" t="s">
        <v>181</v>
      </c>
      <c r="K49" s="695"/>
      <c r="L49" s="695" t="s">
        <v>182</v>
      </c>
      <c r="M49" s="695"/>
      <c r="N49" s="695" t="s">
        <v>229</v>
      </c>
      <c r="O49" s="25"/>
      <c r="P49" s="695" t="s">
        <v>240</v>
      </c>
      <c r="Q49" s="25"/>
      <c r="R49" s="25"/>
      <c r="S49" s="314"/>
    </row>
    <row r="50" spans="1:19">
      <c r="A50" s="285"/>
      <c r="B50" s="235" t="s">
        <v>53</v>
      </c>
      <c r="C50" s="236"/>
      <c r="D50" s="747">
        <v>0.26539999999999997</v>
      </c>
      <c r="E50" s="747"/>
      <c r="F50" s="747">
        <v>0.22139999999999999</v>
      </c>
      <c r="G50" s="747"/>
      <c r="H50" s="747">
        <v>0.16639999999999999</v>
      </c>
      <c r="I50" s="747"/>
      <c r="J50" s="747">
        <v>0.12639999999999998</v>
      </c>
      <c r="K50" s="747"/>
      <c r="L50" s="747">
        <v>7.5399999999999995E-2</v>
      </c>
      <c r="M50" s="747"/>
      <c r="N50" s="747">
        <v>4.9399999999999999E-2</v>
      </c>
      <c r="O50" s="747"/>
      <c r="P50" s="747">
        <v>2.1399999999999999E-2</v>
      </c>
      <c r="Q50" s="748"/>
      <c r="R50" s="749"/>
      <c r="S50" s="314"/>
    </row>
    <row r="51" spans="1:19">
      <c r="A51" s="285"/>
      <c r="B51" s="348" t="s">
        <v>230</v>
      </c>
      <c r="C51" s="40"/>
      <c r="D51" s="750">
        <f>1-'5. Outstanding Notes'!D33/'1. Portfolio Information'!$F$32+'2. Reserve Accounts'!$D$24/'1. Portfolio Information'!$F$32</f>
        <v>0.35137402092925307</v>
      </c>
      <c r="E51" s="750"/>
      <c r="F51" s="750">
        <f>1-SUM('5. Outstanding Notes'!F33,D33)/'1. Portfolio Information'!$F$32+'2. Reserve Accounts'!$D$24/'1. Portfolio Information'!$F$32</f>
        <v>0.29121197769026297</v>
      </c>
      <c r="G51" s="750"/>
      <c r="H51" s="750">
        <f>1-SUM('5. Outstanding Notes'!H33,F33,D33)/'1. Portfolio Information'!$F$32+'2. Reserve Accounts'!$D$24/'1. Portfolio Information'!$F$32</f>
        <v>0.21600942364152545</v>
      </c>
      <c r="I51" s="750"/>
      <c r="J51" s="750">
        <f>1-SUM('5. Outstanding Notes'!J33,H33,F33,D33)/'1. Portfolio Information'!$F$32+'2. Reserve Accounts'!$D$24/'1. Portfolio Information'!$F$32</f>
        <v>0.16131665706062551</v>
      </c>
      <c r="K51" s="750"/>
      <c r="L51" s="750">
        <f>1-SUM('5. Outstanding Notes'!L33,J33,H33,F33,D33)/'1. Portfolio Information'!$F$32+'2. Reserve Accounts'!$D$24/'1. Portfolio Information'!$F$32</f>
        <v>9.158337966997801E-2</v>
      </c>
      <c r="M51" s="750"/>
      <c r="N51" s="750">
        <f>1-SUM(L33,J33,H33,F33,D33,'5. Outstanding Notes'!N33)/'1. Portfolio Information'!$F$32+'2. Reserve Accounts'!$D$24/'1. Portfolio Information'!$F$32</f>
        <v>5.2086285587377629E-2</v>
      </c>
      <c r="O51" s="750"/>
      <c r="P51" s="750">
        <f>1-SUM('5. Outstanding Notes'!P33,N33,L33,J33,H33,F33,D33)/'1. Portfolio Information'!$F$32+'2. Reserve Accounts'!$D$24/'1. Portfolio Information'!$F$32</f>
        <v>-2.5031743398572261E-3</v>
      </c>
      <c r="Q51" s="751"/>
      <c r="R51" s="752"/>
      <c r="S51" s="314"/>
    </row>
    <row r="52" spans="1:19">
      <c r="A52" s="285"/>
      <c r="B52" s="25"/>
      <c r="C52" s="25"/>
      <c r="D52" s="739"/>
      <c r="E52" s="739"/>
      <c r="F52" s="739"/>
      <c r="G52" s="739"/>
      <c r="H52" s="739"/>
      <c r="I52" s="739"/>
      <c r="J52" s="739"/>
      <c r="K52" s="739"/>
      <c r="L52" s="739"/>
      <c r="M52" s="739"/>
      <c r="N52" s="739"/>
      <c r="O52" s="739"/>
      <c r="P52" s="739"/>
      <c r="Q52" s="739"/>
      <c r="R52" s="739"/>
      <c r="S52" s="314"/>
    </row>
    <row r="53" spans="1:19">
      <c r="A53" s="285"/>
      <c r="B53" s="64"/>
      <c r="C53" s="25"/>
      <c r="D53" s="739"/>
      <c r="E53" s="739"/>
      <c r="F53" s="739"/>
      <c r="G53" s="739"/>
      <c r="H53" s="739"/>
      <c r="I53" s="739"/>
      <c r="J53" s="739"/>
      <c r="K53" s="739"/>
      <c r="L53" s="739"/>
      <c r="M53" s="739"/>
      <c r="N53" s="739"/>
      <c r="O53" s="739"/>
      <c r="P53" s="739"/>
      <c r="Q53" s="739"/>
      <c r="R53" s="739"/>
      <c r="S53" s="314"/>
    </row>
    <row r="54" spans="1:19" ht="13.5" customHeight="1">
      <c r="A54" s="348"/>
      <c r="B54" s="40" t="s">
        <v>1043</v>
      </c>
      <c r="C54" s="40"/>
      <c r="D54" s="40"/>
      <c r="E54" s="40"/>
      <c r="F54" s="40"/>
      <c r="G54" s="40"/>
      <c r="H54" s="40"/>
      <c r="I54" s="40"/>
      <c r="J54" s="40"/>
      <c r="K54" s="40"/>
      <c r="L54" s="40"/>
      <c r="M54" s="40"/>
      <c r="N54" s="40"/>
      <c r="O54" s="40"/>
      <c r="P54" s="40"/>
      <c r="Q54" s="40"/>
      <c r="R54" s="40"/>
      <c r="S54" s="352"/>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topLeftCell="A3" zoomScale="80" zoomScaleNormal="75"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22" style="144" customWidth="1"/>
    <col min="5" max="5" width="18.54296875" style="144" customWidth="1"/>
    <col min="6" max="6" width="17.1796875" style="144" customWidth="1"/>
    <col min="7" max="8" width="19" style="144" customWidth="1"/>
    <col min="9" max="9" width="9.1796875" style="144" customWidth="1"/>
    <col min="10" max="10" width="15.453125" style="144" customWidth="1"/>
    <col min="11" max="11" width="1.1796875" style="144" customWidth="1"/>
    <col min="12" max="12" width="4.1796875" style="144" customWidth="1"/>
    <col min="13" max="13" width="22" style="144" customWidth="1"/>
    <col min="14" max="14" width="18.54296875" style="144" customWidth="1"/>
    <col min="15" max="15" width="17.1796875" style="144" customWidth="1"/>
    <col min="16" max="17" width="19" style="144" customWidth="1"/>
    <col min="18"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c r="R2" s="21"/>
    </row>
    <row r="3" spans="1:18"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c r="R3" s="21"/>
    </row>
    <row r="4" spans="1:18" s="102" customFormat="1" ht="13">
      <c r="A4" s="103"/>
      <c r="B4" s="157"/>
      <c r="C4" s="158"/>
      <c r="D4" s="112" t="str">
        <f>'Cover Sheet'!D4</f>
        <v>Period  No</v>
      </c>
      <c r="E4" s="113"/>
      <c r="F4" s="117">
        <f>'Cover Sheet'!F4</f>
        <v>33</v>
      </c>
      <c r="G4" s="113"/>
      <c r="H4" s="118"/>
      <c r="I4" s="113"/>
      <c r="J4" s="119"/>
      <c r="K4" s="359"/>
      <c r="M4" s="164"/>
      <c r="N4" s="21"/>
      <c r="O4" s="229"/>
      <c r="P4" s="21"/>
      <c r="Q4" s="164"/>
      <c r="R4" s="21"/>
    </row>
    <row r="5" spans="1:18" s="102" customFormat="1" ht="18">
      <c r="A5" s="103"/>
      <c r="B5" s="160" t="s">
        <v>163</v>
      </c>
      <c r="C5" s="120"/>
      <c r="D5" s="112" t="str">
        <f>'Cover Sheet'!D5</f>
        <v>Monthly Period</v>
      </c>
      <c r="E5" s="113"/>
      <c r="F5" s="121">
        <f>'Cover Sheet'!F5</f>
        <v>45852</v>
      </c>
      <c r="G5" s="113"/>
      <c r="H5" s="118"/>
      <c r="I5" s="113"/>
      <c r="J5" s="119"/>
      <c r="K5" s="125"/>
      <c r="M5" s="164"/>
      <c r="N5" s="21"/>
      <c r="O5" s="497"/>
      <c r="P5" s="21"/>
      <c r="Q5" s="164"/>
      <c r="R5" s="21"/>
    </row>
    <row r="6" spans="1:18"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c r="R6" s="21"/>
    </row>
    <row r="7" spans="1:18"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c r="R7" s="21"/>
    </row>
    <row r="8" spans="1:18" s="102" customFormat="1" ht="13">
      <c r="A8" s="103"/>
      <c r="B8" s="105"/>
      <c r="C8" s="105"/>
      <c r="D8" s="105"/>
      <c r="E8" s="134"/>
      <c r="F8" s="133"/>
      <c r="G8" s="134"/>
      <c r="H8" s="105"/>
      <c r="I8" s="167"/>
      <c r="J8" s="105"/>
      <c r="K8" s="125"/>
      <c r="M8" s="21"/>
      <c r="N8" s="477"/>
      <c r="O8" s="229"/>
      <c r="P8" s="477"/>
      <c r="Q8" s="21"/>
      <c r="R8" s="21"/>
    </row>
    <row r="9" spans="1:18" s="102" customFormat="1">
      <c r="A9" s="103"/>
      <c r="K9" s="110"/>
      <c r="M9" s="21"/>
      <c r="N9" s="21"/>
      <c r="O9" s="21"/>
      <c r="P9" s="21"/>
      <c r="Q9" s="21"/>
      <c r="R9" s="21"/>
    </row>
    <row r="10" spans="1:18" s="102" customFormat="1">
      <c r="A10" s="103"/>
      <c r="B10" s="105"/>
      <c r="C10" s="105"/>
      <c r="D10" s="105"/>
      <c r="E10" s="105"/>
      <c r="F10" s="145"/>
      <c r="G10" s="105"/>
      <c r="H10" s="105"/>
      <c r="I10" s="21"/>
      <c r="J10" s="21"/>
      <c r="K10" s="110"/>
      <c r="M10" s="21"/>
      <c r="N10" s="21"/>
      <c r="O10" s="173"/>
      <c r="P10" s="21"/>
      <c r="Q10" s="21"/>
      <c r="R10" s="21"/>
    </row>
    <row r="11" spans="1:18" s="102" customFormat="1" ht="18">
      <c r="A11" s="103"/>
      <c r="B11" s="169"/>
      <c r="C11" s="105"/>
      <c r="D11" s="105"/>
      <c r="E11" s="105"/>
      <c r="F11" s="21"/>
      <c r="G11" s="361"/>
      <c r="H11" s="361"/>
      <c r="I11" s="21"/>
      <c r="K11" s="110"/>
      <c r="M11" s="47"/>
      <c r="N11" s="21"/>
      <c r="O11" s="21"/>
      <c r="P11" s="362"/>
      <c r="Q11" s="362"/>
      <c r="R11" s="21"/>
    </row>
    <row r="12" spans="1:18" s="102" customFormat="1" ht="13" thickBot="1">
      <c r="A12" s="103"/>
      <c r="B12" s="105"/>
      <c r="C12" s="105"/>
      <c r="D12" s="105"/>
      <c r="E12" s="105"/>
      <c r="F12" s="21"/>
      <c r="G12" s="361"/>
      <c r="H12" s="361"/>
      <c r="I12" s="21"/>
      <c r="K12" s="110"/>
      <c r="M12" s="21"/>
      <c r="N12" s="21"/>
      <c r="O12" s="21"/>
      <c r="P12" s="362"/>
      <c r="Q12" s="362"/>
      <c r="R12" s="21"/>
    </row>
    <row r="13" spans="1:18" s="102" customFormat="1" ht="45" customHeight="1" thickBot="1">
      <c r="A13" s="103"/>
      <c r="B13" s="494"/>
      <c r="C13" s="21"/>
      <c r="D13" s="674" t="s">
        <v>67</v>
      </c>
      <c r="E13" s="667" t="s">
        <v>68</v>
      </c>
      <c r="F13" s="479" t="s">
        <v>113</v>
      </c>
      <c r="G13" s="667" t="s">
        <v>61</v>
      </c>
      <c r="H13" s="646" t="s">
        <v>114</v>
      </c>
      <c r="I13" s="173"/>
      <c r="K13" s="110"/>
      <c r="M13" s="216"/>
      <c r="N13" s="495"/>
      <c r="O13" s="215"/>
      <c r="P13" s="495"/>
      <c r="Q13" s="495"/>
      <c r="R13" s="21"/>
    </row>
    <row r="14" spans="1:18" s="102" customFormat="1">
      <c r="A14" s="103"/>
      <c r="B14" s="172"/>
      <c r="C14" s="172"/>
      <c r="D14" s="923" t="s">
        <v>842</v>
      </c>
      <c r="E14" s="668">
        <f t="shared" ref="E14:E45" si="0">VLOOKUP(CONCATENATE("OPB_",D14),Assets,3,0)</f>
        <v>1154238.5900000005</v>
      </c>
      <c r="F14" s="669">
        <f>E14/$E$65</f>
        <v>1.3780420884229583E-3</v>
      </c>
      <c r="G14" s="670">
        <f t="shared" ref="G14:G45" si="1">VLOOKUP(CONCATENATE("OPB_",D14),Assets,2,0)</f>
        <v>870</v>
      </c>
      <c r="H14" s="671">
        <f>G14/$G$65</f>
        <v>2.0724648038304868E-2</v>
      </c>
      <c r="I14" s="173"/>
      <c r="K14" s="110"/>
      <c r="M14" s="197"/>
      <c r="N14" s="13"/>
      <c r="O14" s="198"/>
      <c r="P14" s="199"/>
      <c r="Q14" s="198"/>
      <c r="R14" s="21"/>
    </row>
    <row r="15" spans="1:18">
      <c r="A15" s="180"/>
      <c r="B15" s="14"/>
      <c r="C15" s="13"/>
      <c r="D15" s="923" t="s">
        <v>843</v>
      </c>
      <c r="E15" s="668">
        <f t="shared" si="0"/>
        <v>9986688.4399998989</v>
      </c>
      <c r="F15" s="669">
        <f t="shared" ref="F15:F64" si="2">E15/$E$65</f>
        <v>1.1923078221017434E-2</v>
      </c>
      <c r="G15" s="670">
        <f t="shared" si="1"/>
        <v>3481</v>
      </c>
      <c r="H15" s="671">
        <f t="shared" ref="H15:H64" si="3">G15/$G$65</f>
        <v>8.2922413587746255E-2</v>
      </c>
      <c r="I15" s="173"/>
      <c r="K15" s="174"/>
      <c r="M15" s="197"/>
      <c r="N15" s="13"/>
      <c r="O15" s="198"/>
      <c r="P15" s="199"/>
      <c r="Q15" s="198"/>
      <c r="R15" s="21"/>
    </row>
    <row r="16" spans="1:18">
      <c r="A16" s="180"/>
      <c r="B16" s="14"/>
      <c r="C16" s="13"/>
      <c r="D16" s="923" t="s">
        <v>844</v>
      </c>
      <c r="E16" s="668">
        <f t="shared" si="0"/>
        <v>20672600.990000237</v>
      </c>
      <c r="F16" s="669">
        <f t="shared" si="2"/>
        <v>2.4680958068985053E-2</v>
      </c>
      <c r="G16" s="670">
        <f t="shared" si="1"/>
        <v>4224</v>
      </c>
      <c r="H16" s="671">
        <f t="shared" si="3"/>
        <v>0.10062173944114915</v>
      </c>
      <c r="I16" s="173"/>
      <c r="K16" s="174"/>
      <c r="M16" s="197"/>
      <c r="N16" s="13"/>
      <c r="O16" s="198"/>
      <c r="P16" s="199"/>
      <c r="Q16" s="198"/>
      <c r="R16" s="21"/>
    </row>
    <row r="17" spans="1:18">
      <c r="A17" s="180"/>
      <c r="B17" s="14"/>
      <c r="C17" s="13"/>
      <c r="D17" s="923" t="s">
        <v>845</v>
      </c>
      <c r="E17" s="668">
        <f t="shared" si="0"/>
        <v>24941471.139999934</v>
      </c>
      <c r="F17" s="669">
        <f t="shared" si="2"/>
        <v>2.9777549698894089E-2</v>
      </c>
      <c r="G17" s="670">
        <f t="shared" si="1"/>
        <v>3621</v>
      </c>
      <c r="H17" s="671">
        <f t="shared" si="3"/>
        <v>8.6257414421496467E-2</v>
      </c>
      <c r="I17" s="173"/>
      <c r="K17" s="174"/>
      <c r="M17" s="197"/>
      <c r="N17" s="13"/>
      <c r="O17" s="198"/>
      <c r="P17" s="199"/>
      <c r="Q17" s="198"/>
      <c r="R17" s="21"/>
    </row>
    <row r="18" spans="1:18">
      <c r="A18" s="180"/>
      <c r="B18" s="14"/>
      <c r="C18" s="13"/>
      <c r="D18" s="923" t="s">
        <v>846</v>
      </c>
      <c r="E18" s="668">
        <f t="shared" si="0"/>
        <v>23649747.909999952</v>
      </c>
      <c r="F18" s="669">
        <f t="shared" si="2"/>
        <v>2.8235365099491962E-2</v>
      </c>
      <c r="G18" s="670">
        <f t="shared" si="1"/>
        <v>2684</v>
      </c>
      <c r="H18" s="671">
        <f t="shared" si="3"/>
        <v>6.3936730269896852E-2</v>
      </c>
      <c r="I18" s="173"/>
      <c r="K18" s="174"/>
      <c r="M18" s="197"/>
      <c r="N18" s="13"/>
      <c r="O18" s="198"/>
      <c r="P18" s="199"/>
      <c r="Q18" s="198"/>
      <c r="R18" s="21"/>
    </row>
    <row r="19" spans="1:18">
      <c r="A19" s="180"/>
      <c r="B19" s="14"/>
      <c r="C19" s="13"/>
      <c r="D19" s="923" t="s">
        <v>847</v>
      </c>
      <c r="E19" s="668">
        <f t="shared" si="0"/>
        <v>36487579.879999869</v>
      </c>
      <c r="F19" s="669">
        <f t="shared" si="2"/>
        <v>4.3562415270948888E-2</v>
      </c>
      <c r="G19" s="670">
        <f t="shared" si="1"/>
        <v>3437</v>
      </c>
      <c r="H19" s="671">
        <f t="shared" si="3"/>
        <v>8.1874270468567614E-2</v>
      </c>
      <c r="I19" s="173"/>
      <c r="K19" s="174"/>
      <c r="M19" s="197"/>
      <c r="N19" s="13"/>
      <c r="O19" s="198"/>
      <c r="P19" s="199"/>
      <c r="Q19" s="198"/>
      <c r="R19" s="21"/>
    </row>
    <row r="20" spans="1:18">
      <c r="A20" s="180"/>
      <c r="B20" s="14"/>
      <c r="C20" s="13"/>
      <c r="D20" s="923" t="s">
        <v>848</v>
      </c>
      <c r="E20" s="668">
        <f t="shared" si="0"/>
        <v>27266395.930000085</v>
      </c>
      <c r="F20" s="669">
        <f t="shared" si="2"/>
        <v>3.2553270629380494E-2</v>
      </c>
      <c r="G20" s="670">
        <f t="shared" si="1"/>
        <v>2129</v>
      </c>
      <c r="H20" s="671">
        <f t="shared" si="3"/>
        <v>5.0715834107529958E-2</v>
      </c>
      <c r="I20" s="173"/>
      <c r="K20" s="174"/>
      <c r="M20" s="197"/>
      <c r="N20" s="13"/>
      <c r="O20" s="198"/>
      <c r="P20" s="199"/>
      <c r="Q20" s="198"/>
      <c r="R20" s="21"/>
    </row>
    <row r="21" spans="1:18">
      <c r="A21" s="180"/>
      <c r="B21" s="14"/>
      <c r="C21" s="13"/>
      <c r="D21" s="924" t="s">
        <v>849</v>
      </c>
      <c r="E21" s="668">
        <f t="shared" si="0"/>
        <v>34231411.120000109</v>
      </c>
      <c r="F21" s="669">
        <f t="shared" si="2"/>
        <v>4.0868781964281585E-2</v>
      </c>
      <c r="G21" s="670">
        <f t="shared" si="1"/>
        <v>2283</v>
      </c>
      <c r="H21" s="671">
        <f t="shared" si="3"/>
        <v>5.4384335024655187E-2</v>
      </c>
      <c r="I21" s="173"/>
      <c r="K21" s="174"/>
      <c r="M21" s="197"/>
      <c r="N21" s="13"/>
      <c r="O21" s="198"/>
      <c r="P21" s="199"/>
      <c r="Q21" s="198"/>
      <c r="R21" s="21"/>
    </row>
    <row r="22" spans="1:18">
      <c r="A22" s="180"/>
      <c r="B22" s="14"/>
      <c r="C22" s="13"/>
      <c r="D22" s="923" t="s">
        <v>850</v>
      </c>
      <c r="E22" s="668">
        <f t="shared" si="0"/>
        <v>25138186.51000002</v>
      </c>
      <c r="F22" s="669">
        <f t="shared" si="2"/>
        <v>3.0012407605784736E-2</v>
      </c>
      <c r="G22" s="670">
        <f t="shared" si="1"/>
        <v>1488</v>
      </c>
      <c r="H22" s="671">
        <f t="shared" si="3"/>
        <v>3.5446294575859356E-2</v>
      </c>
      <c r="I22" s="173"/>
      <c r="K22" s="174"/>
      <c r="M22" s="197"/>
      <c r="N22" s="13"/>
      <c r="O22" s="198"/>
      <c r="P22" s="199"/>
      <c r="Q22" s="198"/>
      <c r="R22" s="21"/>
    </row>
    <row r="23" spans="1:18">
      <c r="A23" s="180"/>
      <c r="B23" s="14"/>
      <c r="C23" s="13"/>
      <c r="D23" s="923" t="s">
        <v>851</v>
      </c>
      <c r="E23" s="668">
        <f t="shared" si="0"/>
        <v>25081337.710000005</v>
      </c>
      <c r="F23" s="669">
        <f t="shared" si="2"/>
        <v>2.9944535989157917E-2</v>
      </c>
      <c r="G23" s="670">
        <f t="shared" si="1"/>
        <v>1331</v>
      </c>
      <c r="H23" s="671">
        <f t="shared" si="3"/>
        <v>3.1706329355153766E-2</v>
      </c>
      <c r="I23" s="173"/>
      <c r="K23" s="174"/>
      <c r="M23" s="197"/>
      <c r="N23" s="13"/>
      <c r="O23" s="198"/>
      <c r="P23" s="199"/>
      <c r="Q23" s="198"/>
      <c r="R23" s="21"/>
    </row>
    <row r="24" spans="1:18">
      <c r="A24" s="180"/>
      <c r="B24" s="14"/>
      <c r="C24" s="13"/>
      <c r="D24" s="923" t="s">
        <v>852</v>
      </c>
      <c r="E24" s="668">
        <f t="shared" si="0"/>
        <v>43112739.78999979</v>
      </c>
      <c r="F24" s="669">
        <f t="shared" si="2"/>
        <v>5.147217437761014E-2</v>
      </c>
      <c r="G24" s="670">
        <f t="shared" si="1"/>
        <v>2092</v>
      </c>
      <c r="H24" s="671">
        <f t="shared" si="3"/>
        <v>4.9834441030038826E-2</v>
      </c>
      <c r="I24" s="173"/>
      <c r="K24" s="174"/>
      <c r="M24" s="197"/>
      <c r="N24" s="13"/>
      <c r="O24" s="198"/>
      <c r="P24" s="199"/>
      <c r="Q24" s="198"/>
      <c r="R24" s="21"/>
    </row>
    <row r="25" spans="1:18">
      <c r="A25" s="180"/>
      <c r="B25" s="14"/>
      <c r="C25" s="13"/>
      <c r="D25" s="923" t="s">
        <v>853</v>
      </c>
      <c r="E25" s="668">
        <f t="shared" si="0"/>
        <v>27193386.110000037</v>
      </c>
      <c r="F25" s="669">
        <f t="shared" si="2"/>
        <v>3.2466104418079018E-2</v>
      </c>
      <c r="G25" s="670">
        <f t="shared" si="1"/>
        <v>1189</v>
      </c>
      <c r="H25" s="671">
        <f t="shared" si="3"/>
        <v>2.8323685652349984E-2</v>
      </c>
      <c r="I25" s="173"/>
      <c r="K25" s="174"/>
      <c r="M25" s="197"/>
      <c r="N25" s="13"/>
      <c r="O25" s="198"/>
      <c r="P25" s="199"/>
      <c r="Q25" s="198"/>
      <c r="R25" s="21"/>
    </row>
    <row r="26" spans="1:18">
      <c r="A26" s="180"/>
      <c r="B26" s="14"/>
      <c r="C26" s="13"/>
      <c r="D26" s="923" t="s">
        <v>854</v>
      </c>
      <c r="E26" s="668">
        <f t="shared" si="0"/>
        <v>39080984.080000021</v>
      </c>
      <c r="F26" s="669">
        <f t="shared" si="2"/>
        <v>4.6658672986516235E-2</v>
      </c>
      <c r="G26" s="670">
        <f t="shared" si="1"/>
        <v>1568</v>
      </c>
      <c r="H26" s="671">
        <f t="shared" si="3"/>
        <v>3.7352009338002333E-2</v>
      </c>
      <c r="I26" s="173"/>
      <c r="K26" s="174"/>
      <c r="M26" s="197"/>
      <c r="N26" s="13"/>
      <c r="O26" s="198"/>
      <c r="P26" s="199"/>
      <c r="Q26" s="198"/>
      <c r="R26" s="21"/>
    </row>
    <row r="27" spans="1:18">
      <c r="A27" s="180"/>
      <c r="B27" s="14"/>
      <c r="C27" s="13"/>
      <c r="D27" s="923" t="s">
        <v>855</v>
      </c>
      <c r="E27" s="668">
        <f t="shared" si="0"/>
        <v>27818195.140000083</v>
      </c>
      <c r="F27" s="669">
        <f t="shared" si="2"/>
        <v>3.321206209790914E-2</v>
      </c>
      <c r="G27" s="670">
        <f t="shared" si="1"/>
        <v>1037</v>
      </c>
      <c r="H27" s="671">
        <f t="shared" si="3"/>
        <v>2.4702827604278329E-2</v>
      </c>
      <c r="I27" s="173"/>
      <c r="K27" s="174"/>
      <c r="M27" s="197"/>
      <c r="N27" s="13"/>
      <c r="O27" s="198"/>
      <c r="P27" s="199"/>
      <c r="Q27" s="198"/>
      <c r="R27" s="21"/>
    </row>
    <row r="28" spans="1:18">
      <c r="A28" s="180"/>
      <c r="B28" s="14"/>
      <c r="C28" s="13"/>
      <c r="D28" s="923" t="s">
        <v>856</v>
      </c>
      <c r="E28" s="668">
        <f t="shared" si="0"/>
        <v>26311698.429999974</v>
      </c>
      <c r="F28" s="669">
        <f t="shared" si="2"/>
        <v>3.1413460066720016E-2</v>
      </c>
      <c r="G28" s="670">
        <f t="shared" si="1"/>
        <v>910</v>
      </c>
      <c r="H28" s="671">
        <f t="shared" si="3"/>
        <v>2.1677505419376356E-2</v>
      </c>
      <c r="I28" s="173"/>
      <c r="K28" s="174"/>
      <c r="M28" s="197"/>
      <c r="N28" s="13"/>
      <c r="O28" s="198"/>
      <c r="P28" s="199"/>
      <c r="Q28" s="198"/>
      <c r="R28" s="21"/>
    </row>
    <row r="29" spans="1:18">
      <c r="A29" s="180"/>
      <c r="B29" s="14"/>
      <c r="C29" s="13"/>
      <c r="D29" s="923" t="s">
        <v>857</v>
      </c>
      <c r="E29" s="668">
        <f t="shared" si="0"/>
        <v>42194252.980000056</v>
      </c>
      <c r="F29" s="669">
        <f t="shared" si="2"/>
        <v>5.0375595652200365E-2</v>
      </c>
      <c r="G29" s="670">
        <f t="shared" si="1"/>
        <v>1378</v>
      </c>
      <c r="H29" s="671">
        <f t="shared" si="3"/>
        <v>3.2825936777912769E-2</v>
      </c>
      <c r="I29" s="173"/>
      <c r="K29" s="174"/>
      <c r="M29" s="197"/>
      <c r="N29" s="13"/>
      <c r="O29" s="198"/>
      <c r="P29" s="199"/>
      <c r="Q29" s="198"/>
      <c r="R29" s="21"/>
    </row>
    <row r="30" spans="1:18">
      <c r="A30" s="180"/>
      <c r="B30" s="14"/>
      <c r="C30" s="13"/>
      <c r="D30" s="923" t="s">
        <v>858</v>
      </c>
      <c r="E30" s="668">
        <f t="shared" si="0"/>
        <v>22870471.580000009</v>
      </c>
      <c r="F30" s="669">
        <f t="shared" si="2"/>
        <v>2.7304989360406946E-2</v>
      </c>
      <c r="G30" s="670">
        <f t="shared" si="1"/>
        <v>697</v>
      </c>
      <c r="H30" s="671">
        <f t="shared" si="3"/>
        <v>1.6603539865170682E-2</v>
      </c>
      <c r="I30" s="173"/>
      <c r="J30" s="173"/>
      <c r="K30" s="174"/>
      <c r="M30" s="197"/>
      <c r="N30" s="13"/>
      <c r="O30" s="198"/>
      <c r="P30" s="199"/>
      <c r="Q30" s="198"/>
      <c r="R30" s="21"/>
    </row>
    <row r="31" spans="1:18">
      <c r="A31" s="180"/>
      <c r="B31" s="14"/>
      <c r="C31" s="13"/>
      <c r="D31" s="923" t="s">
        <v>859</v>
      </c>
      <c r="E31" s="668">
        <f t="shared" si="0"/>
        <v>27754333.979999971</v>
      </c>
      <c r="F31" s="669">
        <f t="shared" si="2"/>
        <v>3.3135818445116635E-2</v>
      </c>
      <c r="G31" s="670">
        <f t="shared" si="1"/>
        <v>795</v>
      </c>
      <c r="H31" s="671">
        <f t="shared" si="3"/>
        <v>1.8938040448795827E-2</v>
      </c>
      <c r="I31" s="173"/>
      <c r="J31" s="173"/>
      <c r="K31" s="174"/>
      <c r="M31" s="197"/>
      <c r="N31" s="13"/>
      <c r="O31" s="198"/>
      <c r="P31" s="199"/>
      <c r="Q31" s="198"/>
      <c r="R31" s="21"/>
    </row>
    <row r="32" spans="1:18">
      <c r="A32" s="180"/>
      <c r="B32" s="14"/>
      <c r="C32" s="13"/>
      <c r="D32" s="923" t="s">
        <v>860</v>
      </c>
      <c r="E32" s="668">
        <f t="shared" si="0"/>
        <v>22508283.479999971</v>
      </c>
      <c r="F32" s="669">
        <f t="shared" si="2"/>
        <v>2.6872574043461082E-2</v>
      </c>
      <c r="G32" s="670">
        <f t="shared" si="1"/>
        <v>610</v>
      </c>
      <c r="H32" s="671">
        <f t="shared" si="3"/>
        <v>1.4531075061340194E-2</v>
      </c>
      <c r="I32" s="173"/>
      <c r="J32" s="173"/>
      <c r="K32" s="174"/>
      <c r="M32" s="197"/>
      <c r="N32" s="13"/>
      <c r="O32" s="198"/>
      <c r="P32" s="199"/>
      <c r="Q32" s="198"/>
      <c r="R32" s="21"/>
    </row>
    <row r="33" spans="1:18">
      <c r="A33" s="180"/>
      <c r="B33" s="14"/>
      <c r="C33" s="13"/>
      <c r="D33" s="923" t="s">
        <v>861</v>
      </c>
      <c r="E33" s="668">
        <f t="shared" si="0"/>
        <v>18299454.479999997</v>
      </c>
      <c r="F33" s="669">
        <f t="shared" si="2"/>
        <v>2.1847665367538998E-2</v>
      </c>
      <c r="G33" s="670">
        <f t="shared" si="1"/>
        <v>470</v>
      </c>
      <c r="H33" s="671">
        <f t="shared" si="3"/>
        <v>1.1196074227589985E-2</v>
      </c>
      <c r="I33" s="173"/>
      <c r="J33" s="173"/>
      <c r="K33" s="174"/>
      <c r="M33" s="197"/>
      <c r="N33" s="13"/>
      <c r="O33" s="198"/>
      <c r="P33" s="199"/>
      <c r="Q33" s="198"/>
      <c r="R33" s="21"/>
    </row>
    <row r="34" spans="1:18">
      <c r="A34" s="180"/>
      <c r="B34" s="14"/>
      <c r="C34" s="13"/>
      <c r="D34" s="923" t="s">
        <v>862</v>
      </c>
      <c r="E34" s="668">
        <f t="shared" si="0"/>
        <v>29264186.219999883</v>
      </c>
      <c r="F34" s="669">
        <f t="shared" si="2"/>
        <v>3.4938426633792395E-2</v>
      </c>
      <c r="G34" s="670">
        <f t="shared" si="1"/>
        <v>720</v>
      </c>
      <c r="H34" s="671">
        <f t="shared" si="3"/>
        <v>1.7151432859286785E-2</v>
      </c>
      <c r="I34" s="173"/>
      <c r="J34" s="173"/>
      <c r="K34" s="174"/>
      <c r="M34" s="197"/>
      <c r="N34" s="13"/>
      <c r="O34" s="198"/>
      <c r="P34" s="199"/>
      <c r="Q34" s="198"/>
      <c r="R34" s="21"/>
    </row>
    <row r="35" spans="1:18">
      <c r="A35" s="180"/>
      <c r="B35" s="14"/>
      <c r="C35" s="13"/>
      <c r="D35" s="923" t="s">
        <v>863</v>
      </c>
      <c r="E35" s="668">
        <f t="shared" si="0"/>
        <v>17700395.199999988</v>
      </c>
      <c r="F35" s="669">
        <f t="shared" si="2"/>
        <v>2.1132450239182941E-2</v>
      </c>
      <c r="G35" s="670">
        <f t="shared" si="1"/>
        <v>413</v>
      </c>
      <c r="H35" s="671">
        <f t="shared" si="3"/>
        <v>9.8382524595631154E-3</v>
      </c>
      <c r="I35" s="173"/>
      <c r="J35" s="173"/>
      <c r="K35" s="174"/>
      <c r="M35" s="197"/>
      <c r="N35" s="13"/>
      <c r="O35" s="198"/>
      <c r="P35" s="199"/>
      <c r="Q35" s="198"/>
      <c r="R35" s="21"/>
    </row>
    <row r="36" spans="1:18">
      <c r="A36" s="180"/>
      <c r="B36" s="14"/>
      <c r="C36" s="13"/>
      <c r="D36" s="923" t="s">
        <v>864</v>
      </c>
      <c r="E36" s="668">
        <f t="shared" si="0"/>
        <v>22563158.689999986</v>
      </c>
      <c r="F36" s="669">
        <f t="shared" si="2"/>
        <v>2.6938089396739185E-2</v>
      </c>
      <c r="G36" s="670">
        <f t="shared" si="1"/>
        <v>502</v>
      </c>
      <c r="H36" s="671">
        <f t="shared" si="3"/>
        <v>1.1958360132447176E-2</v>
      </c>
      <c r="I36" s="173"/>
      <c r="J36" s="173"/>
      <c r="K36" s="174"/>
      <c r="M36" s="197"/>
      <c r="N36" s="13"/>
      <c r="O36" s="198"/>
      <c r="P36" s="199"/>
      <c r="Q36" s="198"/>
      <c r="R36" s="21"/>
    </row>
    <row r="37" spans="1:18">
      <c r="A37" s="180"/>
      <c r="B37" s="14"/>
      <c r="C37" s="13"/>
      <c r="D37" s="923" t="s">
        <v>865</v>
      </c>
      <c r="E37" s="668">
        <f t="shared" si="0"/>
        <v>17102212.669999994</v>
      </c>
      <c r="F37" s="669">
        <f t="shared" si="2"/>
        <v>2.0418281860096497E-2</v>
      </c>
      <c r="G37" s="670">
        <f t="shared" si="1"/>
        <v>364</v>
      </c>
      <c r="H37" s="671">
        <f t="shared" si="3"/>
        <v>8.6710021677505415E-3</v>
      </c>
      <c r="I37" s="173"/>
      <c r="J37" s="173"/>
      <c r="K37" s="174"/>
      <c r="M37" s="197"/>
      <c r="N37" s="13"/>
      <c r="O37" s="198"/>
      <c r="P37" s="199"/>
      <c r="Q37" s="198"/>
      <c r="R37" s="21"/>
    </row>
    <row r="38" spans="1:18">
      <c r="A38" s="180"/>
      <c r="B38" s="14"/>
      <c r="C38" s="13"/>
      <c r="D38" s="923" t="s">
        <v>866</v>
      </c>
      <c r="E38" s="668">
        <f t="shared" si="0"/>
        <v>16564611.329999993</v>
      </c>
      <c r="F38" s="669">
        <f t="shared" si="2"/>
        <v>1.9776441187179312E-2</v>
      </c>
      <c r="G38" s="670">
        <f t="shared" si="1"/>
        <v>339</v>
      </c>
      <c r="H38" s="671">
        <f t="shared" si="3"/>
        <v>8.0754663045808622E-3</v>
      </c>
      <c r="I38" s="173"/>
      <c r="J38" s="173"/>
      <c r="K38" s="174"/>
      <c r="M38" s="197"/>
      <c r="N38" s="13"/>
      <c r="O38" s="198"/>
      <c r="P38" s="199"/>
      <c r="Q38" s="198"/>
      <c r="R38" s="21"/>
    </row>
    <row r="39" spans="1:18">
      <c r="A39" s="180"/>
      <c r="B39" s="14"/>
      <c r="C39" s="13"/>
      <c r="D39" s="923" t="s">
        <v>867</v>
      </c>
      <c r="E39" s="668">
        <f t="shared" si="0"/>
        <v>30107778.679999985</v>
      </c>
      <c r="F39" s="669">
        <f t="shared" si="2"/>
        <v>3.5945589213026902E-2</v>
      </c>
      <c r="G39" s="670">
        <f t="shared" si="1"/>
        <v>598</v>
      </c>
      <c r="H39" s="671">
        <f t="shared" si="3"/>
        <v>1.4245217847018748E-2</v>
      </c>
      <c r="I39" s="173"/>
      <c r="J39" s="173"/>
      <c r="K39" s="174"/>
      <c r="M39" s="197"/>
      <c r="N39" s="13"/>
      <c r="O39" s="198"/>
      <c r="P39" s="199"/>
      <c r="Q39" s="198"/>
      <c r="R39" s="21"/>
    </row>
    <row r="40" spans="1:18">
      <c r="A40" s="180"/>
      <c r="B40" s="14"/>
      <c r="C40" s="13"/>
      <c r="D40" s="923" t="s">
        <v>868</v>
      </c>
      <c r="E40" s="668">
        <f t="shared" si="0"/>
        <v>16235543.450000012</v>
      </c>
      <c r="F40" s="669">
        <f t="shared" si="2"/>
        <v>1.9383568004358344E-2</v>
      </c>
      <c r="G40" s="670">
        <f t="shared" si="1"/>
        <v>307</v>
      </c>
      <c r="H40" s="671">
        <f t="shared" si="3"/>
        <v>7.3131803997236716E-3</v>
      </c>
      <c r="I40" s="173"/>
      <c r="J40" s="21"/>
      <c r="K40" s="174"/>
      <c r="M40" s="197"/>
      <c r="N40" s="13"/>
      <c r="O40" s="198"/>
      <c r="P40" s="199"/>
      <c r="Q40" s="198"/>
      <c r="R40" s="21"/>
    </row>
    <row r="41" spans="1:18">
      <c r="A41" s="180"/>
      <c r="B41" s="14"/>
      <c r="C41" s="13"/>
      <c r="D41" s="923" t="s">
        <v>869</v>
      </c>
      <c r="E41" s="668">
        <f t="shared" si="0"/>
        <v>15937512.770000009</v>
      </c>
      <c r="F41" s="669">
        <f t="shared" si="2"/>
        <v>1.9027750044155401E-2</v>
      </c>
      <c r="G41" s="670">
        <f t="shared" si="1"/>
        <v>290</v>
      </c>
      <c r="H41" s="671">
        <f t="shared" si="3"/>
        <v>6.908216012768289E-3</v>
      </c>
      <c r="I41" s="173"/>
      <c r="J41" s="21"/>
      <c r="K41" s="174"/>
      <c r="M41" s="197"/>
      <c r="N41" s="13"/>
      <c r="O41" s="198"/>
      <c r="P41" s="199"/>
      <c r="Q41" s="198"/>
      <c r="R41" s="21"/>
    </row>
    <row r="42" spans="1:18">
      <c r="A42" s="180"/>
      <c r="B42" s="14"/>
      <c r="C42" s="13"/>
      <c r="D42" s="923" t="s">
        <v>870</v>
      </c>
      <c r="E42" s="668">
        <f t="shared" si="0"/>
        <v>11284322.539999997</v>
      </c>
      <c r="F42" s="669">
        <f t="shared" si="2"/>
        <v>1.34723197908847E-2</v>
      </c>
      <c r="G42" s="670">
        <f t="shared" si="1"/>
        <v>198</v>
      </c>
      <c r="H42" s="671">
        <f t="shared" si="3"/>
        <v>4.716644036303866E-3</v>
      </c>
      <c r="I42" s="173"/>
      <c r="J42" s="21"/>
      <c r="K42" s="174"/>
      <c r="M42" s="197"/>
      <c r="N42" s="13"/>
      <c r="O42" s="198"/>
      <c r="P42" s="199"/>
      <c r="Q42" s="198"/>
      <c r="R42" s="21"/>
    </row>
    <row r="43" spans="1:18">
      <c r="A43" s="180"/>
      <c r="B43" s="14"/>
      <c r="C43" s="13"/>
      <c r="D43" s="923" t="s">
        <v>871</v>
      </c>
      <c r="E43" s="668">
        <f t="shared" si="0"/>
        <v>11483560.930000005</v>
      </c>
      <c r="F43" s="669">
        <f t="shared" si="2"/>
        <v>1.3710189923999586E-2</v>
      </c>
      <c r="G43" s="670">
        <f t="shared" si="1"/>
        <v>195</v>
      </c>
      <c r="H43" s="671">
        <f t="shared" si="3"/>
        <v>4.6451797327235044E-3</v>
      </c>
      <c r="I43" s="173"/>
      <c r="J43" s="21"/>
      <c r="K43" s="174"/>
      <c r="M43" s="197"/>
      <c r="N43" s="13"/>
      <c r="O43" s="198"/>
      <c r="P43" s="199"/>
      <c r="Q43" s="198"/>
      <c r="R43" s="21"/>
    </row>
    <row r="44" spans="1:18">
      <c r="A44" s="180"/>
      <c r="B44" s="14"/>
      <c r="C44" s="13"/>
      <c r="D44" s="923" t="s">
        <v>872</v>
      </c>
      <c r="E44" s="668">
        <f t="shared" si="0"/>
        <v>21257506.939999986</v>
      </c>
      <c r="F44" s="669">
        <f t="shared" si="2"/>
        <v>2.5379275577905515E-2</v>
      </c>
      <c r="G44" s="670">
        <f t="shared" si="1"/>
        <v>352</v>
      </c>
      <c r="H44" s="671">
        <f t="shared" si="3"/>
        <v>8.385144953429095E-3</v>
      </c>
      <c r="I44" s="173"/>
      <c r="J44" s="21"/>
      <c r="K44" s="174"/>
      <c r="M44" s="197"/>
      <c r="N44" s="13"/>
      <c r="O44" s="198"/>
      <c r="P44" s="199"/>
      <c r="Q44" s="198"/>
      <c r="R44" s="21"/>
    </row>
    <row r="45" spans="1:18" s="102" customFormat="1" ht="12.75" customHeight="1">
      <c r="A45" s="103"/>
      <c r="B45" s="14"/>
      <c r="C45" s="13"/>
      <c r="D45" s="923" t="s">
        <v>873</v>
      </c>
      <c r="E45" s="668">
        <f t="shared" si="0"/>
        <v>10830137.660000004</v>
      </c>
      <c r="F45" s="669">
        <f t="shared" si="2"/>
        <v>1.2930069786433435E-2</v>
      </c>
      <c r="G45" s="670">
        <f t="shared" si="1"/>
        <v>172</v>
      </c>
      <c r="H45" s="671">
        <f t="shared" si="3"/>
        <v>4.0972867386073987E-3</v>
      </c>
      <c r="I45" s="145"/>
      <c r="J45" s="105"/>
      <c r="K45" s="110"/>
      <c r="M45" s="197"/>
      <c r="N45" s="13"/>
      <c r="O45" s="198"/>
      <c r="P45" s="199"/>
      <c r="Q45" s="198"/>
      <c r="R45" s="21"/>
    </row>
    <row r="46" spans="1:18" s="102" customFormat="1">
      <c r="A46" s="103"/>
      <c r="B46" s="14"/>
      <c r="C46" s="13"/>
      <c r="D46" s="923" t="s">
        <v>874</v>
      </c>
      <c r="E46" s="668">
        <f t="shared" ref="E46:E64" si="4">VLOOKUP(CONCATENATE("OPB_",D46),Assets,3,0)</f>
        <v>12071615.290000001</v>
      </c>
      <c r="F46" s="669">
        <f t="shared" si="2"/>
        <v>1.4412266310442895E-2</v>
      </c>
      <c r="G46" s="670">
        <f t="shared" ref="G46:G64" si="5">VLOOKUP(CONCATENATE("OPB_",D46),Assets,2,0)</f>
        <v>186</v>
      </c>
      <c r="H46" s="671">
        <f t="shared" si="3"/>
        <v>4.4307868219824196E-3</v>
      </c>
      <c r="I46" s="145"/>
      <c r="J46" s="105"/>
      <c r="K46" s="110"/>
      <c r="M46" s="197"/>
      <c r="N46" s="13"/>
      <c r="O46" s="198"/>
      <c r="P46" s="199"/>
      <c r="Q46" s="198"/>
      <c r="R46" s="21"/>
    </row>
    <row r="47" spans="1:18">
      <c r="A47" s="180"/>
      <c r="B47" s="14"/>
      <c r="C47" s="13"/>
      <c r="D47" s="923" t="s">
        <v>875</v>
      </c>
      <c r="E47" s="668">
        <f t="shared" si="4"/>
        <v>7697424.9200000046</v>
      </c>
      <c r="F47" s="669">
        <f t="shared" si="2"/>
        <v>9.1899331768449406E-3</v>
      </c>
      <c r="G47" s="670">
        <f t="shared" si="5"/>
        <v>115</v>
      </c>
      <c r="H47" s="671">
        <f t="shared" si="3"/>
        <v>2.7394649705805283E-3</v>
      </c>
      <c r="I47" s="173"/>
      <c r="J47" s="21"/>
      <c r="K47" s="174"/>
      <c r="M47" s="197"/>
      <c r="N47" s="13"/>
      <c r="O47" s="198"/>
      <c r="P47" s="199"/>
      <c r="Q47" s="198"/>
      <c r="R47" s="21"/>
    </row>
    <row r="48" spans="1:18">
      <c r="A48" s="180"/>
      <c r="B48" s="14"/>
      <c r="C48" s="13"/>
      <c r="D48" s="923" t="s">
        <v>876</v>
      </c>
      <c r="E48" s="668">
        <f t="shared" si="4"/>
        <v>7368612.6900000023</v>
      </c>
      <c r="F48" s="669">
        <f t="shared" si="2"/>
        <v>8.7973652138138188E-3</v>
      </c>
      <c r="G48" s="670">
        <f t="shared" si="5"/>
        <v>107</v>
      </c>
      <c r="H48" s="671">
        <f t="shared" si="3"/>
        <v>2.5488934943662307E-3</v>
      </c>
      <c r="I48" s="173"/>
      <c r="J48" s="21"/>
      <c r="K48" s="174"/>
      <c r="M48" s="197"/>
      <c r="N48" s="13"/>
      <c r="O48" s="198"/>
      <c r="P48" s="199"/>
      <c r="Q48" s="198"/>
      <c r="R48" s="21"/>
    </row>
    <row r="49" spans="1:18">
      <c r="A49" s="180"/>
      <c r="B49" s="14"/>
      <c r="C49" s="13"/>
      <c r="D49" s="923" t="s">
        <v>877</v>
      </c>
      <c r="E49" s="668">
        <f t="shared" si="4"/>
        <v>11134358.479999999</v>
      </c>
      <c r="F49" s="669">
        <f t="shared" si="2"/>
        <v>1.3293278136740401E-2</v>
      </c>
      <c r="G49" s="670">
        <f t="shared" si="5"/>
        <v>158</v>
      </c>
      <c r="H49" s="671">
        <f t="shared" si="3"/>
        <v>3.7637866552323782E-3</v>
      </c>
      <c r="I49" s="173"/>
      <c r="J49" s="21"/>
      <c r="K49" s="174"/>
      <c r="M49" s="197"/>
      <c r="N49" s="13"/>
      <c r="O49" s="198"/>
      <c r="P49" s="199"/>
      <c r="Q49" s="198"/>
      <c r="R49" s="21"/>
    </row>
    <row r="50" spans="1:18">
      <c r="A50" s="180"/>
      <c r="B50" s="14"/>
      <c r="C50" s="13"/>
      <c r="D50" s="923" t="s">
        <v>878</v>
      </c>
      <c r="E50" s="668">
        <f t="shared" si="4"/>
        <v>6706021.5299999975</v>
      </c>
      <c r="F50" s="669">
        <f t="shared" si="2"/>
        <v>8.0062995590976689E-3</v>
      </c>
      <c r="G50" s="670">
        <f t="shared" si="5"/>
        <v>92</v>
      </c>
      <c r="H50" s="671">
        <f t="shared" si="3"/>
        <v>2.1915719764644226E-3</v>
      </c>
      <c r="I50" s="173"/>
      <c r="J50" s="21"/>
      <c r="K50" s="174"/>
      <c r="M50" s="197"/>
      <c r="N50" s="13"/>
      <c r="O50" s="198"/>
      <c r="P50" s="199"/>
      <c r="Q50" s="198"/>
      <c r="R50" s="21"/>
    </row>
    <row r="51" spans="1:18">
      <c r="A51" s="180"/>
      <c r="B51" s="14"/>
      <c r="C51" s="13"/>
      <c r="D51" s="923" t="s">
        <v>879</v>
      </c>
      <c r="E51" s="668">
        <f t="shared" si="4"/>
        <v>17461296.07</v>
      </c>
      <c r="F51" s="669">
        <f t="shared" si="2"/>
        <v>2.0846990484761373E-2</v>
      </c>
      <c r="G51" s="670">
        <f t="shared" si="5"/>
        <v>233</v>
      </c>
      <c r="H51" s="671">
        <f t="shared" si="3"/>
        <v>5.5503942447414183E-3</v>
      </c>
      <c r="I51" s="173"/>
      <c r="J51" s="21"/>
      <c r="K51" s="174"/>
      <c r="M51" s="197"/>
      <c r="N51" s="13"/>
      <c r="O51" s="198"/>
      <c r="P51" s="199"/>
      <c r="Q51" s="198"/>
      <c r="R51" s="21"/>
    </row>
    <row r="52" spans="1:18">
      <c r="A52" s="180"/>
      <c r="B52" s="14"/>
      <c r="C52" s="13"/>
      <c r="D52" s="923" t="s">
        <v>880</v>
      </c>
      <c r="E52" s="668">
        <f t="shared" si="4"/>
        <v>3928054.3500000006</v>
      </c>
      <c r="F52" s="669">
        <f t="shared" si="2"/>
        <v>4.6896926396412415E-3</v>
      </c>
      <c r="G52" s="670">
        <f t="shared" si="5"/>
        <v>51</v>
      </c>
      <c r="H52" s="671">
        <f t="shared" si="3"/>
        <v>1.2148931608661473E-3</v>
      </c>
      <c r="I52" s="173"/>
      <c r="J52" s="21"/>
      <c r="K52" s="174"/>
      <c r="M52" s="197"/>
      <c r="N52" s="13"/>
      <c r="O52" s="198"/>
      <c r="P52" s="199"/>
      <c r="Q52" s="198"/>
      <c r="R52" s="21"/>
    </row>
    <row r="53" spans="1:18">
      <c r="A53" s="180"/>
      <c r="B53" s="14"/>
      <c r="C53" s="13"/>
      <c r="D53" s="923" t="s">
        <v>881</v>
      </c>
      <c r="E53" s="668">
        <f t="shared" si="4"/>
        <v>5838825.4899999946</v>
      </c>
      <c r="F53" s="669">
        <f t="shared" si="2"/>
        <v>6.970956734496974E-3</v>
      </c>
      <c r="G53" s="670">
        <f t="shared" si="5"/>
        <v>74</v>
      </c>
      <c r="H53" s="671">
        <f t="shared" si="3"/>
        <v>1.7627861549822531E-3</v>
      </c>
      <c r="I53" s="173"/>
      <c r="J53" s="21"/>
      <c r="K53" s="174"/>
      <c r="M53" s="197"/>
      <c r="N53" s="13"/>
      <c r="O53" s="198"/>
      <c r="P53" s="199"/>
      <c r="Q53" s="198"/>
      <c r="R53" s="21"/>
    </row>
    <row r="54" spans="1:18">
      <c r="A54" s="180"/>
      <c r="B54" s="14"/>
      <c r="C54" s="13"/>
      <c r="D54" s="923" t="s">
        <v>882</v>
      </c>
      <c r="E54" s="668">
        <f t="shared" si="4"/>
        <v>3875772.9500000007</v>
      </c>
      <c r="F54" s="669">
        <f t="shared" si="2"/>
        <v>4.6272740285621611E-3</v>
      </c>
      <c r="G54" s="670">
        <f t="shared" si="5"/>
        <v>48</v>
      </c>
      <c r="H54" s="671">
        <f t="shared" si="3"/>
        <v>1.1434288572857857E-3</v>
      </c>
      <c r="I54" s="173"/>
      <c r="J54" s="21"/>
      <c r="K54" s="174"/>
      <c r="M54" s="197"/>
      <c r="N54" s="13"/>
      <c r="O54" s="198"/>
      <c r="P54" s="199"/>
      <c r="Q54" s="198"/>
      <c r="R54" s="21"/>
    </row>
    <row r="55" spans="1:18">
      <c r="A55" s="180"/>
      <c r="B55" s="14"/>
      <c r="C55" s="13"/>
      <c r="D55" s="923" t="s">
        <v>883</v>
      </c>
      <c r="E55" s="668">
        <f t="shared" si="4"/>
        <v>2489213.0300000003</v>
      </c>
      <c r="F55" s="669">
        <f t="shared" si="2"/>
        <v>2.9718641813828448E-3</v>
      </c>
      <c r="G55" s="670">
        <f t="shared" si="5"/>
        <v>30</v>
      </c>
      <c r="H55" s="671">
        <f t="shared" si="3"/>
        <v>7.1464303580361609E-4</v>
      </c>
      <c r="I55" s="173"/>
      <c r="J55" s="21"/>
      <c r="K55" s="174"/>
      <c r="M55" s="197"/>
      <c r="N55" s="13"/>
      <c r="O55" s="198"/>
      <c r="P55" s="199"/>
      <c r="Q55" s="198"/>
      <c r="R55" s="21"/>
    </row>
    <row r="56" spans="1:18">
      <c r="A56" s="180"/>
      <c r="B56" s="14"/>
      <c r="C56" s="13"/>
      <c r="D56" s="923" t="s">
        <v>884</v>
      </c>
      <c r="E56" s="668">
        <f t="shared" si="4"/>
        <v>4162081.8699999996</v>
      </c>
      <c r="F56" s="669">
        <f t="shared" si="2"/>
        <v>4.9690974136656864E-3</v>
      </c>
      <c r="G56" s="670">
        <f t="shared" si="5"/>
        <v>49</v>
      </c>
      <c r="H56" s="671">
        <f t="shared" si="3"/>
        <v>1.1672502918125729E-3</v>
      </c>
      <c r="I56" s="173"/>
      <c r="J56" s="21"/>
      <c r="K56" s="174"/>
      <c r="M56" s="197"/>
      <c r="N56" s="13"/>
      <c r="O56" s="198"/>
      <c r="P56" s="199"/>
      <c r="Q56" s="198"/>
      <c r="R56" s="21"/>
    </row>
    <row r="57" spans="1:18">
      <c r="A57" s="180"/>
      <c r="B57" s="14"/>
      <c r="C57" s="13"/>
      <c r="D57" s="923" t="s">
        <v>885</v>
      </c>
      <c r="E57" s="668">
        <f t="shared" si="4"/>
        <v>2435971.5200000005</v>
      </c>
      <c r="F57" s="669">
        <f t="shared" si="2"/>
        <v>2.9082992977731295E-3</v>
      </c>
      <c r="G57" s="670">
        <f t="shared" si="5"/>
        <v>28</v>
      </c>
      <c r="H57" s="671">
        <f t="shared" si="3"/>
        <v>6.6700016675004168E-4</v>
      </c>
      <c r="I57" s="173"/>
      <c r="J57" s="21"/>
      <c r="K57" s="174"/>
      <c r="M57" s="197"/>
      <c r="N57" s="13"/>
      <c r="O57" s="198"/>
      <c r="P57" s="199"/>
      <c r="Q57" s="198"/>
      <c r="R57" s="21"/>
    </row>
    <row r="58" spans="1:18">
      <c r="A58" s="180"/>
      <c r="B58" s="14"/>
      <c r="C58" s="13"/>
      <c r="D58" s="923" t="s">
        <v>886</v>
      </c>
      <c r="E58" s="668">
        <f t="shared" si="4"/>
        <v>1780097.41</v>
      </c>
      <c r="F58" s="669">
        <f t="shared" si="2"/>
        <v>2.1252531094742705E-3</v>
      </c>
      <c r="G58" s="670">
        <f t="shared" si="5"/>
        <v>20</v>
      </c>
      <c r="H58" s="671">
        <f t="shared" si="3"/>
        <v>4.7642869053574408E-4</v>
      </c>
      <c r="I58" s="173"/>
      <c r="J58" s="21"/>
      <c r="K58" s="174"/>
      <c r="M58" s="197"/>
      <c r="N58" s="13"/>
      <c r="O58" s="198"/>
      <c r="P58" s="199"/>
      <c r="Q58" s="198"/>
      <c r="R58" s="21"/>
    </row>
    <row r="59" spans="1:18">
      <c r="A59" s="180"/>
      <c r="B59" s="14"/>
      <c r="C59" s="13"/>
      <c r="D59" s="923" t="s">
        <v>887</v>
      </c>
      <c r="E59" s="668">
        <f t="shared" si="4"/>
        <v>815162.87</v>
      </c>
      <c r="F59" s="669">
        <f t="shared" si="2"/>
        <v>9.7322057459511206E-4</v>
      </c>
      <c r="G59" s="670">
        <f t="shared" si="5"/>
        <v>9</v>
      </c>
      <c r="H59" s="671">
        <f t="shared" si="3"/>
        <v>2.1439291074108483E-4</v>
      </c>
      <c r="I59" s="173"/>
      <c r="J59" s="21"/>
      <c r="K59" s="174"/>
      <c r="M59" s="197"/>
      <c r="N59" s="13"/>
      <c r="O59" s="198"/>
      <c r="P59" s="199"/>
      <c r="Q59" s="198"/>
      <c r="R59" s="21"/>
    </row>
    <row r="60" spans="1:18">
      <c r="A60" s="180"/>
      <c r="B60" s="14"/>
      <c r="C60" s="13"/>
      <c r="D60" s="923" t="s">
        <v>888</v>
      </c>
      <c r="E60" s="668">
        <f t="shared" si="4"/>
        <v>650577.41999999993</v>
      </c>
      <c r="F60" s="669">
        <f t="shared" si="2"/>
        <v>7.7672248554574801E-4</v>
      </c>
      <c r="G60" s="670">
        <f t="shared" si="5"/>
        <v>7</v>
      </c>
      <c r="H60" s="671">
        <f t="shared" si="3"/>
        <v>1.6675004168751042E-4</v>
      </c>
      <c r="I60" s="173"/>
      <c r="J60" s="21"/>
      <c r="K60" s="174"/>
      <c r="M60" s="197"/>
      <c r="N60" s="13"/>
      <c r="O60" s="198"/>
      <c r="P60" s="199"/>
      <c r="Q60" s="198"/>
      <c r="R60" s="21"/>
    </row>
    <row r="61" spans="1:18">
      <c r="A61" s="180"/>
      <c r="B61" s="14"/>
      <c r="C61" s="13"/>
      <c r="D61" s="923" t="s">
        <v>889</v>
      </c>
      <c r="E61" s="668">
        <f t="shared" si="4"/>
        <v>472719.93999999994</v>
      </c>
      <c r="F61" s="669">
        <f t="shared" si="2"/>
        <v>5.6437895856243649E-4</v>
      </c>
      <c r="G61" s="670">
        <f t="shared" si="5"/>
        <v>5</v>
      </c>
      <c r="H61" s="671">
        <f t="shared" si="3"/>
        <v>1.1910717263393602E-4</v>
      </c>
      <c r="I61" s="173"/>
      <c r="J61" s="21"/>
      <c r="K61" s="174"/>
      <c r="M61" s="197"/>
      <c r="N61" s="13"/>
      <c r="O61" s="198"/>
      <c r="P61" s="199"/>
      <c r="Q61" s="198"/>
      <c r="R61" s="21"/>
    </row>
    <row r="62" spans="1:18">
      <c r="A62" s="180"/>
      <c r="B62" s="14"/>
      <c r="C62" s="13"/>
      <c r="D62" s="923" t="s">
        <v>890</v>
      </c>
      <c r="E62" s="668">
        <f t="shared" si="4"/>
        <v>484511.36</v>
      </c>
      <c r="F62" s="669">
        <f t="shared" si="2"/>
        <v>5.7845670053281403E-4</v>
      </c>
      <c r="G62" s="670">
        <f t="shared" si="5"/>
        <v>5</v>
      </c>
      <c r="H62" s="671">
        <f t="shared" si="3"/>
        <v>1.1910717263393602E-4</v>
      </c>
      <c r="I62" s="173"/>
      <c r="J62" s="21"/>
      <c r="K62" s="174"/>
      <c r="M62" s="197"/>
      <c r="N62" s="13"/>
      <c r="O62" s="198"/>
      <c r="P62" s="199"/>
      <c r="Q62" s="198"/>
      <c r="R62" s="21"/>
    </row>
    <row r="63" spans="1:18">
      <c r="A63" s="180"/>
      <c r="B63" s="14"/>
      <c r="C63" s="13"/>
      <c r="D63" s="923" t="s">
        <v>891</v>
      </c>
      <c r="E63" s="668">
        <f t="shared" si="4"/>
        <v>295906.86</v>
      </c>
      <c r="F63" s="669">
        <f t="shared" si="2"/>
        <v>3.5328233769508583E-4</v>
      </c>
      <c r="G63" s="670">
        <f t="shared" si="5"/>
        <v>3</v>
      </c>
      <c r="H63" s="671">
        <f t="shared" si="3"/>
        <v>7.1464303580361606E-5</v>
      </c>
      <c r="I63" s="173"/>
      <c r="J63" s="21"/>
      <c r="K63" s="174"/>
      <c r="M63" s="197"/>
      <c r="N63" s="13"/>
      <c r="O63" s="198"/>
      <c r="P63" s="199"/>
      <c r="Q63" s="198"/>
      <c r="R63" s="21"/>
    </row>
    <row r="64" spans="1:18" ht="13" thickBot="1">
      <c r="A64" s="180"/>
      <c r="B64" s="14"/>
      <c r="C64" s="13"/>
      <c r="D64" s="923" t="s">
        <v>892</v>
      </c>
      <c r="E64" s="668">
        <f t="shared" si="4"/>
        <v>1840523.4200000002</v>
      </c>
      <c r="F64" s="669">
        <f t="shared" si="2"/>
        <v>2.1973955466938295E-3</v>
      </c>
      <c r="G64" s="670">
        <f t="shared" si="5"/>
        <v>15</v>
      </c>
      <c r="H64" s="671">
        <f t="shared" si="3"/>
        <v>3.5732151790180804E-4</v>
      </c>
      <c r="I64" s="173"/>
      <c r="J64" s="21"/>
      <c r="K64" s="174"/>
      <c r="M64" s="197"/>
      <c r="N64" s="13"/>
      <c r="O64" s="198"/>
      <c r="P64" s="199"/>
      <c r="Q64" s="198"/>
      <c r="R64" s="21"/>
    </row>
    <row r="65" spans="1:18" ht="14" thickTop="1" thickBot="1">
      <c r="A65" s="180"/>
      <c r="B65" s="204"/>
      <c r="C65" s="233"/>
      <c r="D65" s="675" t="s">
        <v>36</v>
      </c>
      <c r="E65" s="676">
        <f>SUM(E14:E64)</f>
        <v>837593132.81999958</v>
      </c>
      <c r="F65" s="677">
        <f>SUM(F14:F64)</f>
        <v>1.0000000000000004</v>
      </c>
      <c r="G65" s="678">
        <f>SUM(G14:G64)</f>
        <v>41979</v>
      </c>
      <c r="H65" s="679">
        <f>SUM(H14:H64)</f>
        <v>1.0000000000000004</v>
      </c>
      <c r="I65" s="173"/>
      <c r="J65" s="21"/>
      <c r="K65" s="174"/>
      <c r="M65" s="680"/>
      <c r="N65" s="681"/>
      <c r="O65" s="682"/>
      <c r="P65" s="683"/>
      <c r="Q65" s="682"/>
      <c r="R65" s="21"/>
    </row>
    <row r="66" spans="1:18" ht="13">
      <c r="A66" s="180"/>
      <c r="B66" s="204"/>
      <c r="C66" s="233"/>
      <c r="D66" s="680"/>
      <c r="E66" s="681"/>
      <c r="F66" s="682"/>
      <c r="G66" s="683"/>
      <c r="H66" s="682"/>
      <c r="I66" s="173"/>
      <c r="J66" s="21"/>
      <c r="K66" s="174"/>
      <c r="M66" s="680"/>
      <c r="N66" s="681"/>
      <c r="O66" s="682"/>
      <c r="P66" s="683"/>
      <c r="Q66" s="682"/>
      <c r="R66" s="21"/>
    </row>
    <row r="67" spans="1:18" ht="13">
      <c r="A67" s="180"/>
      <c r="B67" s="204"/>
      <c r="C67" s="233"/>
      <c r="D67" s="680"/>
      <c r="E67" s="681"/>
      <c r="F67" s="682"/>
      <c r="G67" s="683"/>
      <c r="H67" s="682"/>
      <c r="I67" s="173"/>
      <c r="J67" s="21"/>
      <c r="K67" s="174"/>
      <c r="M67" s="680"/>
      <c r="N67" s="681"/>
      <c r="O67" s="682"/>
      <c r="P67" s="683"/>
      <c r="Q67" s="682"/>
      <c r="R67" s="21"/>
    </row>
    <row r="68" spans="1:18" ht="13.5" thickBot="1">
      <c r="A68" s="180"/>
      <c r="B68" s="210"/>
      <c r="C68" s="233"/>
      <c r="D68" s="570" t="s">
        <v>69</v>
      </c>
      <c r="E68" s="570" t="s">
        <v>59</v>
      </c>
      <c r="F68" s="102"/>
      <c r="G68" s="102"/>
      <c r="H68" s="102"/>
      <c r="I68" s="173"/>
      <c r="J68" s="21"/>
      <c r="K68" s="174"/>
      <c r="M68" s="508"/>
      <c r="N68" s="508"/>
      <c r="O68" s="21"/>
      <c r="P68" s="21"/>
      <c r="Q68" s="21"/>
      <c r="R68" s="21"/>
    </row>
    <row r="69" spans="1:18" ht="13" thickBot="1">
      <c r="A69" s="180"/>
      <c r="B69" s="210"/>
      <c r="C69" s="233"/>
      <c r="D69" s="515" t="s">
        <v>60</v>
      </c>
      <c r="E69" s="516">
        <f>E65/G65</f>
        <v>19952.669973558197</v>
      </c>
      <c r="F69" s="102"/>
      <c r="G69" s="102"/>
      <c r="H69" s="102"/>
      <c r="I69" s="173"/>
      <c r="J69" s="21"/>
      <c r="K69" s="174"/>
      <c r="M69" s="204"/>
      <c r="N69" s="233"/>
      <c r="O69" s="21"/>
      <c r="P69" s="21"/>
      <c r="Q69" s="21"/>
      <c r="R69" s="21"/>
    </row>
    <row r="70" spans="1:18">
      <c r="A70" s="180"/>
      <c r="B70" s="21"/>
      <c r="I70" s="496"/>
      <c r="J70" s="21"/>
      <c r="K70" s="174"/>
      <c r="M70" s="21"/>
      <c r="N70" s="21"/>
      <c r="O70" s="21"/>
      <c r="P70" s="21"/>
      <c r="Q70" s="21"/>
      <c r="R70" s="21"/>
    </row>
    <row r="71" spans="1:18">
      <c r="A71" s="195"/>
      <c r="B71" s="50"/>
      <c r="C71" s="50"/>
      <c r="D71" s="50"/>
      <c r="E71" s="50"/>
      <c r="F71" s="50"/>
      <c r="G71" s="50"/>
      <c r="H71" s="50"/>
      <c r="I71" s="390"/>
      <c r="J71" s="50"/>
      <c r="K71" s="196"/>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45848</v>
      </c>
      <c r="G2" s="107"/>
      <c r="H2" s="107"/>
      <c r="I2" s="107"/>
      <c r="J2" s="109"/>
      <c r="K2" s="359"/>
    </row>
    <row r="3" spans="1:13" s="102" customFormat="1" ht="18">
      <c r="A3" s="103"/>
      <c r="B3" s="104" t="str">
        <f>'Cover Sheet'!B3</f>
        <v>Monthly Investor Report</v>
      </c>
      <c r="C3" s="104"/>
      <c r="D3" s="112" t="str">
        <f>'Cover Sheet'!D3</f>
        <v>Payment Date</v>
      </c>
      <c r="E3" s="113"/>
      <c r="F3" s="114">
        <f>'Cover Sheet'!F3</f>
        <v>45852</v>
      </c>
      <c r="G3" s="113"/>
      <c r="H3" s="113"/>
      <c r="I3" s="113"/>
      <c r="J3" s="115"/>
      <c r="K3" s="125"/>
    </row>
    <row r="4" spans="1:13" s="102" customFormat="1" ht="13">
      <c r="A4" s="103"/>
      <c r="B4" s="157"/>
      <c r="C4" s="158"/>
      <c r="D4" s="112" t="str">
        <f>'Cover Sheet'!D4</f>
        <v>Period  No</v>
      </c>
      <c r="E4" s="113"/>
      <c r="F4" s="117">
        <f>'Cover Sheet'!F4</f>
        <v>33</v>
      </c>
      <c r="G4" s="113"/>
      <c r="H4" s="118"/>
      <c r="I4" s="113"/>
      <c r="J4" s="119"/>
      <c r="K4" s="359"/>
    </row>
    <row r="5" spans="1:13" s="102" customFormat="1" ht="18">
      <c r="A5" s="103"/>
      <c r="B5" s="160" t="s">
        <v>164</v>
      </c>
      <c r="C5" s="120"/>
      <c r="D5" s="112" t="str">
        <f>'Cover Sheet'!D5</f>
        <v>Monthly Period</v>
      </c>
      <c r="E5" s="113"/>
      <c r="F5" s="121">
        <f>'Cover Sheet'!F5</f>
        <v>45852</v>
      </c>
      <c r="G5" s="113"/>
      <c r="H5" s="118"/>
      <c r="I5" s="113"/>
      <c r="J5" s="119"/>
      <c r="K5" s="125"/>
    </row>
    <row r="6" spans="1:13"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8" width="18.81640625" style="144" customWidth="1"/>
    <col min="9" max="9" width="9.1796875" style="144" customWidth="1"/>
    <col min="10" max="10" width="15.453125" style="144" customWidth="1"/>
    <col min="11" max="11" width="1.1796875" style="144" customWidth="1"/>
    <col min="12" max="12" width="3.1796875" style="144" customWidth="1"/>
    <col min="13" max="17" width="18.81640625"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141</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44" thickBot="1">
      <c r="A13" s="103"/>
      <c r="B13" s="494"/>
      <c r="C13" s="21"/>
      <c r="D13" s="478" t="s">
        <v>70</v>
      </c>
      <c r="E13" s="479" t="s">
        <v>71</v>
      </c>
      <c r="F13" s="479" t="s">
        <v>113</v>
      </c>
      <c r="G13" s="667" t="s">
        <v>61</v>
      </c>
      <c r="H13" s="646" t="s">
        <v>114</v>
      </c>
      <c r="I13" s="173"/>
      <c r="K13" s="110"/>
      <c r="M13" s="654"/>
      <c r="N13" s="215"/>
      <c r="O13" s="215"/>
      <c r="P13" s="495"/>
      <c r="Q13" s="495"/>
    </row>
    <row r="14" spans="1:17">
      <c r="A14" s="180"/>
      <c r="B14" s="14"/>
      <c r="C14" s="13"/>
      <c r="D14" s="923" t="s">
        <v>893</v>
      </c>
      <c r="E14" s="668">
        <f t="shared" ref="E14:E54" si="0">VLOOKUP(CONCATENATE("CPB_",D14),Assets,3,0)</f>
        <v>6616777.5599999931</v>
      </c>
      <c r="F14" s="669">
        <f>E14/$E$55</f>
        <v>1.2900226732424892E-2</v>
      </c>
      <c r="G14" s="670">
        <f t="shared" ref="G14:G54" si="1">VLOOKUP(CONCATENATE("CPB_",D14),Assets,2,0)</f>
        <v>6713</v>
      </c>
      <c r="H14" s="671">
        <f>G14/$G$55</f>
        <v>0.15991328997832249</v>
      </c>
      <c r="I14" s="173"/>
      <c r="K14" s="174"/>
      <c r="M14" s="197"/>
      <c r="N14" s="13"/>
      <c r="O14" s="198"/>
      <c r="P14" s="199"/>
      <c r="Q14" s="198"/>
    </row>
    <row r="15" spans="1:17">
      <c r="A15" s="180"/>
      <c r="B15" s="14"/>
      <c r="C15" s="13"/>
      <c r="D15" s="923" t="s">
        <v>894</v>
      </c>
      <c r="E15" s="668">
        <f t="shared" si="0"/>
        <v>16828090.979999956</v>
      </c>
      <c r="F15" s="669">
        <f t="shared" ref="F15:F54" si="2">E15/$E$55</f>
        <v>3.2808445976514569E-2</v>
      </c>
      <c r="G15" s="670">
        <f t="shared" si="1"/>
        <v>5667</v>
      </c>
      <c r="H15" s="671">
        <f t="shared" ref="H15:H54" si="3">G15/$G$55</f>
        <v>0.13499606946330309</v>
      </c>
      <c r="I15" s="173"/>
      <c r="K15" s="174"/>
      <c r="M15" s="197"/>
      <c r="N15" s="13"/>
      <c r="O15" s="198"/>
      <c r="P15" s="199"/>
      <c r="Q15" s="198"/>
    </row>
    <row r="16" spans="1:17">
      <c r="A16" s="180"/>
      <c r="B16" s="14"/>
      <c r="C16" s="13"/>
      <c r="D16" s="923" t="s">
        <v>895</v>
      </c>
      <c r="E16" s="668">
        <f t="shared" si="0"/>
        <v>22729440.870000023</v>
      </c>
      <c r="F16" s="669">
        <f t="shared" si="2"/>
        <v>4.4313857926371873E-2</v>
      </c>
      <c r="G16" s="670">
        <f t="shared" si="1"/>
        <v>4555</v>
      </c>
      <c r="H16" s="671">
        <f t="shared" si="3"/>
        <v>0.10850663426951571</v>
      </c>
      <c r="I16" s="173"/>
      <c r="K16" s="174"/>
      <c r="M16" s="197"/>
      <c r="N16" s="13"/>
      <c r="O16" s="198"/>
      <c r="P16" s="199"/>
      <c r="Q16" s="198"/>
    </row>
    <row r="17" spans="1:17">
      <c r="A17" s="180"/>
      <c r="B17" s="14"/>
      <c r="C17" s="13"/>
      <c r="D17" s="923" t="s">
        <v>896</v>
      </c>
      <c r="E17" s="668">
        <f t="shared" si="0"/>
        <v>26253293.099999957</v>
      </c>
      <c r="F17" s="669">
        <f t="shared" si="2"/>
        <v>5.1184043953686392E-2</v>
      </c>
      <c r="G17" s="670">
        <f t="shared" si="1"/>
        <v>3788</v>
      </c>
      <c r="H17" s="671">
        <f t="shared" si="3"/>
        <v>9.0235593987469928E-2</v>
      </c>
      <c r="I17" s="173"/>
      <c r="K17" s="174"/>
      <c r="M17" s="197"/>
      <c r="N17" s="13"/>
      <c r="O17" s="198"/>
      <c r="P17" s="199"/>
      <c r="Q17" s="198"/>
    </row>
    <row r="18" spans="1:17">
      <c r="A18" s="180"/>
      <c r="B18" s="14"/>
      <c r="C18" s="13"/>
      <c r="D18" s="923" t="s">
        <v>897</v>
      </c>
      <c r="E18" s="668">
        <f t="shared" si="0"/>
        <v>25188498.910000037</v>
      </c>
      <c r="F18" s="669">
        <f t="shared" si="2"/>
        <v>4.9108095903474515E-2</v>
      </c>
      <c r="G18" s="670">
        <f t="shared" si="1"/>
        <v>2802</v>
      </c>
      <c r="H18" s="671">
        <f t="shared" si="3"/>
        <v>6.6747659544057744E-2</v>
      </c>
      <c r="I18" s="173"/>
      <c r="K18" s="174"/>
      <c r="M18" s="197"/>
      <c r="N18" s="13"/>
      <c r="O18" s="198"/>
      <c r="P18" s="199"/>
      <c r="Q18" s="198"/>
    </row>
    <row r="19" spans="1:17">
      <c r="A19" s="180"/>
      <c r="B19" s="14"/>
      <c r="C19" s="13"/>
      <c r="D19" s="923" t="s">
        <v>898</v>
      </c>
      <c r="E19" s="668">
        <f t="shared" si="0"/>
        <v>26766297.949999996</v>
      </c>
      <c r="F19" s="669">
        <f t="shared" si="2"/>
        <v>5.2184210397219384E-2</v>
      </c>
      <c r="G19" s="670">
        <f t="shared" si="1"/>
        <v>2443</v>
      </c>
      <c r="H19" s="671">
        <f t="shared" si="3"/>
        <v>5.819576454894114E-2</v>
      </c>
      <c r="I19" s="173"/>
      <c r="K19" s="174"/>
      <c r="M19" s="197"/>
      <c r="N19" s="13"/>
      <c r="O19" s="198"/>
      <c r="P19" s="199"/>
      <c r="Q19" s="198"/>
    </row>
    <row r="20" spans="1:17">
      <c r="A20" s="180"/>
      <c r="B20" s="14"/>
      <c r="C20" s="13"/>
      <c r="D20" s="923" t="s">
        <v>899</v>
      </c>
      <c r="E20" s="668">
        <f t="shared" si="0"/>
        <v>29204196.339999985</v>
      </c>
      <c r="F20" s="669">
        <f t="shared" si="2"/>
        <v>5.6937195017970864E-2</v>
      </c>
      <c r="G20" s="670">
        <f t="shared" si="1"/>
        <v>2250</v>
      </c>
      <c r="H20" s="671">
        <f t="shared" si="3"/>
        <v>5.3598227685271206E-2</v>
      </c>
      <c r="I20" s="173"/>
      <c r="K20" s="174"/>
      <c r="M20" s="197"/>
      <c r="N20" s="13"/>
      <c r="O20" s="198"/>
      <c r="P20" s="199"/>
      <c r="Q20" s="198"/>
    </row>
    <row r="21" spans="1:17">
      <c r="A21" s="180"/>
      <c r="B21" s="14"/>
      <c r="C21" s="13"/>
      <c r="D21" s="924" t="s">
        <v>900</v>
      </c>
      <c r="E21" s="668">
        <f t="shared" si="0"/>
        <v>28293024.520000007</v>
      </c>
      <c r="F21" s="669">
        <f t="shared" si="2"/>
        <v>5.5160752790072251E-2</v>
      </c>
      <c r="G21" s="670">
        <f t="shared" si="1"/>
        <v>1886</v>
      </c>
      <c r="H21" s="671">
        <f t="shared" si="3"/>
        <v>4.4927225517520666E-2</v>
      </c>
      <c r="I21" s="173"/>
      <c r="K21" s="174"/>
      <c r="M21" s="197"/>
      <c r="N21" s="13"/>
      <c r="O21" s="198"/>
      <c r="P21" s="199"/>
      <c r="Q21" s="198"/>
    </row>
    <row r="22" spans="1:17">
      <c r="A22" s="180"/>
      <c r="B22" s="14"/>
      <c r="C22" s="13"/>
      <c r="D22" s="923" t="s">
        <v>901</v>
      </c>
      <c r="E22" s="668">
        <f t="shared" si="0"/>
        <v>28748588.440000039</v>
      </c>
      <c r="F22" s="669">
        <f t="shared" si="2"/>
        <v>5.6048931031795202E-2</v>
      </c>
      <c r="G22" s="670">
        <f t="shared" si="1"/>
        <v>1698</v>
      </c>
      <c r="H22" s="671">
        <f t="shared" si="3"/>
        <v>4.0448795826484668E-2</v>
      </c>
      <c r="I22" s="173"/>
      <c r="K22" s="174"/>
      <c r="M22" s="197"/>
      <c r="N22" s="13"/>
      <c r="O22" s="198"/>
      <c r="P22" s="199"/>
      <c r="Q22" s="198"/>
    </row>
    <row r="23" spans="1:17">
      <c r="A23" s="180"/>
      <c r="B23" s="14"/>
      <c r="C23" s="13"/>
      <c r="D23" s="923" t="s">
        <v>902</v>
      </c>
      <c r="E23" s="668">
        <f t="shared" si="0"/>
        <v>28567155.08000005</v>
      </c>
      <c r="F23" s="669">
        <f t="shared" si="2"/>
        <v>5.5695204242644153E-2</v>
      </c>
      <c r="G23" s="670">
        <f t="shared" si="1"/>
        <v>1502</v>
      </c>
      <c r="H23" s="671">
        <f t="shared" si="3"/>
        <v>3.5779794659234379E-2</v>
      </c>
      <c r="I23" s="173"/>
      <c r="K23" s="174"/>
      <c r="M23" s="197"/>
      <c r="N23" s="13"/>
      <c r="O23" s="198"/>
      <c r="P23" s="199"/>
      <c r="Q23" s="198"/>
    </row>
    <row r="24" spans="1:17">
      <c r="A24" s="180"/>
      <c r="B24" s="14"/>
      <c r="C24" s="13"/>
      <c r="D24" s="923" t="s">
        <v>903</v>
      </c>
      <c r="E24" s="668">
        <f t="shared" si="0"/>
        <v>27012363.649999987</v>
      </c>
      <c r="F24" s="669">
        <f t="shared" si="2"/>
        <v>5.266394593197004E-2</v>
      </c>
      <c r="G24" s="670">
        <f t="shared" si="1"/>
        <v>1289</v>
      </c>
      <c r="H24" s="671">
        <f t="shared" si="3"/>
        <v>3.0705829105028705E-2</v>
      </c>
      <c r="I24" s="173"/>
      <c r="K24" s="174"/>
      <c r="M24" s="197"/>
      <c r="N24" s="13"/>
      <c r="O24" s="198"/>
      <c r="P24" s="199"/>
      <c r="Q24" s="198"/>
    </row>
    <row r="25" spans="1:17">
      <c r="A25" s="180"/>
      <c r="B25" s="14"/>
      <c r="C25" s="13"/>
      <c r="D25" s="923" t="s">
        <v>904</v>
      </c>
      <c r="E25" s="668">
        <f t="shared" si="0"/>
        <v>23889330.09000003</v>
      </c>
      <c r="F25" s="669">
        <f t="shared" si="2"/>
        <v>4.6575205506340318E-2</v>
      </c>
      <c r="G25" s="670">
        <f t="shared" si="1"/>
        <v>1040</v>
      </c>
      <c r="H25" s="671">
        <f t="shared" si="3"/>
        <v>2.4774291907858691E-2</v>
      </c>
      <c r="I25" s="173"/>
      <c r="K25" s="174"/>
      <c r="M25" s="197"/>
      <c r="N25" s="13"/>
      <c r="O25" s="198"/>
      <c r="P25" s="199"/>
      <c r="Q25" s="198"/>
    </row>
    <row r="26" spans="1:17">
      <c r="A26" s="180"/>
      <c r="B26" s="14"/>
      <c r="C26" s="13"/>
      <c r="D26" s="923" t="s">
        <v>905</v>
      </c>
      <c r="E26" s="668">
        <f t="shared" si="0"/>
        <v>21512796.680000011</v>
      </c>
      <c r="F26" s="669">
        <f t="shared" si="2"/>
        <v>4.1941859508506422E-2</v>
      </c>
      <c r="G26" s="670">
        <f t="shared" si="1"/>
        <v>860</v>
      </c>
      <c r="H26" s="671">
        <f t="shared" si="3"/>
        <v>2.0486433693036994E-2</v>
      </c>
      <c r="I26" s="173"/>
      <c r="K26" s="174"/>
      <c r="M26" s="197"/>
      <c r="N26" s="13"/>
      <c r="O26" s="198"/>
      <c r="P26" s="199"/>
      <c r="Q26" s="198"/>
    </row>
    <row r="27" spans="1:17">
      <c r="A27" s="180"/>
      <c r="B27" s="14"/>
      <c r="C27" s="13"/>
      <c r="D27" s="923" t="s">
        <v>906</v>
      </c>
      <c r="E27" s="668">
        <f t="shared" si="0"/>
        <v>20285217.369999975</v>
      </c>
      <c r="F27" s="669">
        <f t="shared" si="2"/>
        <v>3.9548541720892269E-2</v>
      </c>
      <c r="G27" s="670">
        <f t="shared" si="1"/>
        <v>751</v>
      </c>
      <c r="H27" s="671">
        <f t="shared" si="3"/>
        <v>1.788989732961719E-2</v>
      </c>
      <c r="I27" s="173"/>
      <c r="K27" s="174"/>
      <c r="M27" s="197"/>
      <c r="N27" s="13"/>
      <c r="O27" s="198"/>
      <c r="P27" s="199"/>
      <c r="Q27" s="198"/>
    </row>
    <row r="28" spans="1:17">
      <c r="A28" s="180"/>
      <c r="B28" s="14"/>
      <c r="C28" s="13"/>
      <c r="D28" s="923" t="s">
        <v>907</v>
      </c>
      <c r="E28" s="668">
        <f t="shared" si="0"/>
        <v>18958891.969999999</v>
      </c>
      <c r="F28" s="669">
        <f t="shared" si="2"/>
        <v>3.6962706210203908E-2</v>
      </c>
      <c r="G28" s="670">
        <f t="shared" si="1"/>
        <v>654</v>
      </c>
      <c r="H28" s="671">
        <f t="shared" si="3"/>
        <v>1.5579218180518831E-2</v>
      </c>
      <c r="I28" s="173"/>
      <c r="K28" s="174"/>
      <c r="M28" s="197"/>
      <c r="N28" s="13"/>
      <c r="O28" s="198"/>
      <c r="P28" s="199"/>
      <c r="Q28" s="198"/>
    </row>
    <row r="29" spans="1:17">
      <c r="A29" s="180"/>
      <c r="B29" s="14"/>
      <c r="C29" s="13"/>
      <c r="D29" s="923" t="s">
        <v>908</v>
      </c>
      <c r="E29" s="668">
        <f t="shared" si="0"/>
        <v>19467118.580000017</v>
      </c>
      <c r="F29" s="669">
        <f t="shared" si="2"/>
        <v>3.7953556883511402E-2</v>
      </c>
      <c r="G29" s="670">
        <f t="shared" si="1"/>
        <v>628</v>
      </c>
      <c r="H29" s="671">
        <f t="shared" si="3"/>
        <v>1.4959860882822364E-2</v>
      </c>
      <c r="I29" s="173"/>
      <c r="K29" s="174"/>
      <c r="M29" s="197"/>
      <c r="N29" s="13"/>
      <c r="O29" s="198"/>
      <c r="P29" s="199"/>
      <c r="Q29" s="198"/>
    </row>
    <row r="30" spans="1:17">
      <c r="A30" s="180"/>
      <c r="B30" s="14"/>
      <c r="C30" s="13"/>
      <c r="D30" s="923" t="s">
        <v>909</v>
      </c>
      <c r="E30" s="668">
        <f t="shared" si="0"/>
        <v>19856547.850000001</v>
      </c>
      <c r="F30" s="669">
        <f t="shared" si="2"/>
        <v>3.8712797440366778E-2</v>
      </c>
      <c r="G30" s="670">
        <f t="shared" si="1"/>
        <v>603</v>
      </c>
      <c r="H30" s="671">
        <f t="shared" si="3"/>
        <v>1.4364325019652683E-2</v>
      </c>
      <c r="I30" s="173"/>
      <c r="K30" s="174"/>
      <c r="M30" s="197"/>
      <c r="N30" s="13"/>
      <c r="O30" s="198"/>
      <c r="P30" s="199"/>
      <c r="Q30" s="198"/>
    </row>
    <row r="31" spans="1:17">
      <c r="A31" s="180"/>
      <c r="B31" s="14"/>
      <c r="C31" s="13"/>
      <c r="D31" s="923" t="s">
        <v>910</v>
      </c>
      <c r="E31" s="668">
        <f t="shared" si="0"/>
        <v>17454399.189999998</v>
      </c>
      <c r="F31" s="669">
        <f t="shared" si="2"/>
        <v>3.4029511342565613E-2</v>
      </c>
      <c r="G31" s="670">
        <f t="shared" si="1"/>
        <v>499</v>
      </c>
      <c r="H31" s="671">
        <f t="shared" si="3"/>
        <v>1.1886895828866815E-2</v>
      </c>
      <c r="I31" s="173"/>
      <c r="K31" s="174"/>
      <c r="M31" s="197"/>
      <c r="N31" s="13"/>
      <c r="O31" s="198"/>
      <c r="P31" s="199"/>
      <c r="Q31" s="198"/>
    </row>
    <row r="32" spans="1:17">
      <c r="A32" s="180"/>
      <c r="B32" s="14"/>
      <c r="C32" s="13"/>
      <c r="D32" s="923" t="s">
        <v>911</v>
      </c>
      <c r="E32" s="668">
        <f t="shared" si="0"/>
        <v>15142667.830000008</v>
      </c>
      <c r="F32" s="669">
        <f t="shared" si="2"/>
        <v>2.9522504960979336E-2</v>
      </c>
      <c r="G32" s="670">
        <f t="shared" si="1"/>
        <v>409</v>
      </c>
      <c r="H32" s="671">
        <f t="shared" si="3"/>
        <v>9.7429667214559666E-3</v>
      </c>
      <c r="I32" s="173"/>
      <c r="K32" s="174"/>
      <c r="M32" s="197"/>
      <c r="N32" s="13"/>
      <c r="O32" s="198"/>
      <c r="P32" s="199"/>
      <c r="Q32" s="198"/>
    </row>
    <row r="33" spans="1:17">
      <c r="A33" s="180"/>
      <c r="B33" s="14"/>
      <c r="C33" s="13"/>
      <c r="D33" s="923" t="s">
        <v>912</v>
      </c>
      <c r="E33" s="668">
        <f t="shared" si="0"/>
        <v>14252932.600000009</v>
      </c>
      <c r="F33" s="669">
        <f t="shared" si="2"/>
        <v>2.778785601823534E-2</v>
      </c>
      <c r="G33" s="670">
        <f t="shared" si="1"/>
        <v>366</v>
      </c>
      <c r="H33" s="671">
        <f t="shared" si="3"/>
        <v>8.7186450368041159E-3</v>
      </c>
      <c r="I33" s="173"/>
      <c r="K33" s="174"/>
      <c r="M33" s="197"/>
      <c r="N33" s="13"/>
      <c r="O33" s="198"/>
      <c r="P33" s="199"/>
      <c r="Q33" s="198"/>
    </row>
    <row r="34" spans="1:17">
      <c r="A34" s="180"/>
      <c r="B34" s="14"/>
      <c r="C34" s="13"/>
      <c r="D34" s="923" t="s">
        <v>913</v>
      </c>
      <c r="E34" s="668">
        <f t="shared" si="0"/>
        <v>11351469.470000001</v>
      </c>
      <c r="F34" s="669">
        <f t="shared" si="2"/>
        <v>2.2131094567005391E-2</v>
      </c>
      <c r="G34" s="670">
        <f t="shared" si="1"/>
        <v>277</v>
      </c>
      <c r="H34" s="671">
        <f t="shared" si="3"/>
        <v>6.5985373639200554E-3</v>
      </c>
      <c r="I34" s="173"/>
      <c r="K34" s="174"/>
      <c r="M34" s="197"/>
      <c r="N34" s="13"/>
      <c r="O34" s="198"/>
      <c r="P34" s="199"/>
      <c r="Q34" s="198"/>
    </row>
    <row r="35" spans="1:17">
      <c r="A35" s="180"/>
      <c r="B35" s="14"/>
      <c r="C35" s="13"/>
      <c r="D35" s="923" t="s">
        <v>914</v>
      </c>
      <c r="E35" s="668">
        <f t="shared" si="0"/>
        <v>10907555.019999988</v>
      </c>
      <c r="F35" s="669">
        <f t="shared" si="2"/>
        <v>2.1265628408762668E-2</v>
      </c>
      <c r="G35" s="670">
        <f t="shared" si="1"/>
        <v>254</v>
      </c>
      <c r="H35" s="671">
        <f t="shared" si="3"/>
        <v>6.0506443698039496E-3</v>
      </c>
      <c r="I35" s="173"/>
      <c r="K35" s="174"/>
      <c r="M35" s="197"/>
      <c r="N35" s="13"/>
      <c r="O35" s="198"/>
      <c r="P35" s="199"/>
      <c r="Q35" s="198"/>
    </row>
    <row r="36" spans="1:17">
      <c r="A36" s="180"/>
      <c r="B36" s="14"/>
      <c r="C36" s="13"/>
      <c r="D36" s="923" t="s">
        <v>915</v>
      </c>
      <c r="E36" s="668">
        <f t="shared" si="0"/>
        <v>9768966.2800000012</v>
      </c>
      <c r="F36" s="669">
        <f t="shared" si="2"/>
        <v>1.9045808750659213E-2</v>
      </c>
      <c r="G36" s="670">
        <f t="shared" si="1"/>
        <v>217</v>
      </c>
      <c r="H36" s="671">
        <f t="shared" si="3"/>
        <v>5.169251292312823E-3</v>
      </c>
      <c r="I36" s="173"/>
      <c r="K36" s="174"/>
      <c r="M36" s="197"/>
      <c r="N36" s="13"/>
      <c r="O36" s="198"/>
      <c r="P36" s="199"/>
      <c r="Q36" s="198"/>
    </row>
    <row r="37" spans="1:17">
      <c r="A37" s="180"/>
      <c r="B37" s="14"/>
      <c r="C37" s="13"/>
      <c r="D37" s="923" t="s">
        <v>916</v>
      </c>
      <c r="E37" s="668">
        <f t="shared" si="0"/>
        <v>8700144.2599999961</v>
      </c>
      <c r="F37" s="669">
        <f t="shared" si="2"/>
        <v>1.6962007947385956E-2</v>
      </c>
      <c r="G37" s="670">
        <f t="shared" si="1"/>
        <v>185</v>
      </c>
      <c r="H37" s="671">
        <f t="shared" si="3"/>
        <v>4.4069653874556323E-3</v>
      </c>
      <c r="I37" s="173"/>
      <c r="K37" s="174"/>
      <c r="M37" s="197"/>
      <c r="N37" s="13"/>
      <c r="O37" s="198"/>
      <c r="P37" s="199"/>
      <c r="Q37" s="198"/>
    </row>
    <row r="38" spans="1:17">
      <c r="A38" s="180"/>
      <c r="B38" s="14"/>
      <c r="C38" s="13"/>
      <c r="D38" s="923" t="s">
        <v>917</v>
      </c>
      <c r="E38" s="668">
        <f t="shared" si="0"/>
        <v>7783913.629999999</v>
      </c>
      <c r="F38" s="669">
        <f t="shared" si="2"/>
        <v>1.5175702943324059E-2</v>
      </c>
      <c r="G38" s="670">
        <f t="shared" si="1"/>
        <v>159</v>
      </c>
      <c r="H38" s="671">
        <f t="shared" si="3"/>
        <v>3.7876080897591654E-3</v>
      </c>
      <c r="I38" s="173"/>
      <c r="K38" s="174"/>
      <c r="M38" s="197"/>
      <c r="N38" s="13"/>
      <c r="O38" s="198"/>
      <c r="P38" s="199"/>
      <c r="Q38" s="198"/>
    </row>
    <row r="39" spans="1:17">
      <c r="A39" s="180"/>
      <c r="B39" s="14"/>
      <c r="C39" s="13"/>
      <c r="D39" s="923" t="s">
        <v>918</v>
      </c>
      <c r="E39" s="668">
        <f t="shared" si="0"/>
        <v>6147358.2299999977</v>
      </c>
      <c r="F39" s="669">
        <f t="shared" si="2"/>
        <v>1.1985035654189079E-2</v>
      </c>
      <c r="G39" s="670">
        <f t="shared" si="1"/>
        <v>121</v>
      </c>
      <c r="H39" s="671">
        <f t="shared" si="3"/>
        <v>2.8823935777412516E-3</v>
      </c>
      <c r="I39" s="173"/>
      <c r="K39" s="174"/>
      <c r="M39" s="197"/>
      <c r="N39" s="13"/>
      <c r="O39" s="198"/>
      <c r="P39" s="199"/>
      <c r="Q39" s="198"/>
    </row>
    <row r="40" spans="1:17">
      <c r="A40" s="180"/>
      <c r="B40" s="14"/>
      <c r="C40" s="13"/>
      <c r="D40" s="923" t="s">
        <v>919</v>
      </c>
      <c r="E40" s="668">
        <f t="shared" si="0"/>
        <v>5241783.540000001</v>
      </c>
      <c r="F40" s="669">
        <f t="shared" si="2"/>
        <v>1.0219505723915083E-2</v>
      </c>
      <c r="G40" s="670">
        <f t="shared" si="1"/>
        <v>99</v>
      </c>
      <c r="H40" s="671">
        <f t="shared" si="3"/>
        <v>2.358322018151933E-3</v>
      </c>
      <c r="I40" s="173"/>
      <c r="K40" s="174"/>
      <c r="M40" s="197"/>
      <c r="N40" s="13"/>
      <c r="O40" s="198"/>
      <c r="P40" s="199"/>
      <c r="Q40" s="198"/>
    </row>
    <row r="41" spans="1:17">
      <c r="A41" s="180"/>
      <c r="B41" s="14"/>
      <c r="C41" s="13"/>
      <c r="D41" s="923" t="s">
        <v>920</v>
      </c>
      <c r="E41" s="668">
        <f t="shared" si="0"/>
        <v>3794952.2800000003</v>
      </c>
      <c r="F41" s="669">
        <f t="shared" si="2"/>
        <v>7.3987291255915898E-3</v>
      </c>
      <c r="G41" s="670">
        <f t="shared" si="1"/>
        <v>69</v>
      </c>
      <c r="H41" s="671">
        <f t="shared" si="3"/>
        <v>1.643678982348317E-3</v>
      </c>
      <c r="I41" s="173"/>
      <c r="K41" s="174"/>
      <c r="M41" s="197"/>
      <c r="N41" s="13"/>
      <c r="O41" s="198"/>
      <c r="P41" s="199"/>
      <c r="Q41" s="198"/>
    </row>
    <row r="42" spans="1:17">
      <c r="A42" s="180"/>
      <c r="B42" s="14"/>
      <c r="C42" s="13"/>
      <c r="D42" s="923" t="s">
        <v>921</v>
      </c>
      <c r="E42" s="668">
        <f t="shared" si="0"/>
        <v>3189071.7500000009</v>
      </c>
      <c r="F42" s="669">
        <f t="shared" si="2"/>
        <v>6.2174900497895969E-3</v>
      </c>
      <c r="G42" s="670">
        <f t="shared" si="1"/>
        <v>56</v>
      </c>
      <c r="H42" s="671">
        <f t="shared" si="3"/>
        <v>1.3340003335000834E-3</v>
      </c>
      <c r="I42" s="173"/>
      <c r="K42" s="174"/>
      <c r="M42" s="197"/>
      <c r="N42" s="13"/>
      <c r="O42" s="198"/>
      <c r="P42" s="199"/>
      <c r="Q42" s="198"/>
    </row>
    <row r="43" spans="1:17">
      <c r="A43" s="180"/>
      <c r="B43" s="14"/>
      <c r="C43" s="13"/>
      <c r="D43" s="923" t="s">
        <v>922</v>
      </c>
      <c r="E43" s="668">
        <f t="shared" si="0"/>
        <v>1762669.4700000004</v>
      </c>
      <c r="F43" s="669">
        <f t="shared" si="2"/>
        <v>3.4365422762259591E-3</v>
      </c>
      <c r="G43" s="670">
        <f t="shared" si="1"/>
        <v>30</v>
      </c>
      <c r="H43" s="671">
        <f t="shared" si="3"/>
        <v>7.1464303580361609E-4</v>
      </c>
      <c r="I43" s="173"/>
      <c r="K43" s="174"/>
      <c r="M43" s="197"/>
      <c r="N43" s="13"/>
      <c r="O43" s="198"/>
      <c r="P43" s="199"/>
      <c r="Q43" s="198"/>
    </row>
    <row r="44" spans="1:17">
      <c r="A44" s="180"/>
      <c r="B44" s="14"/>
      <c r="C44" s="13"/>
      <c r="D44" s="923" t="s">
        <v>923</v>
      </c>
      <c r="E44" s="668">
        <f t="shared" si="0"/>
        <v>1953877.6400000001</v>
      </c>
      <c r="F44" s="669">
        <f t="shared" si="2"/>
        <v>3.8093262671830379E-3</v>
      </c>
      <c r="G44" s="670">
        <f t="shared" si="1"/>
        <v>32</v>
      </c>
      <c r="H44" s="671">
        <f t="shared" si="3"/>
        <v>7.622859048571905E-4</v>
      </c>
      <c r="I44" s="173"/>
      <c r="K44" s="174"/>
      <c r="M44" s="197"/>
      <c r="N44" s="13"/>
      <c r="O44" s="198"/>
      <c r="P44" s="199"/>
      <c r="Q44" s="198"/>
    </row>
    <row r="45" spans="1:17">
      <c r="A45" s="180"/>
      <c r="B45" s="14"/>
      <c r="C45" s="13"/>
      <c r="D45" s="923" t="s">
        <v>924</v>
      </c>
      <c r="E45" s="668">
        <f t="shared" si="0"/>
        <v>1134655.8499999999</v>
      </c>
      <c r="F45" s="669">
        <f t="shared" si="2"/>
        <v>2.2121520023218526E-3</v>
      </c>
      <c r="G45" s="670">
        <f t="shared" si="1"/>
        <v>18</v>
      </c>
      <c r="H45" s="671">
        <f t="shared" si="3"/>
        <v>4.2878582148216966E-4</v>
      </c>
      <c r="I45" s="173"/>
      <c r="K45" s="174"/>
      <c r="M45" s="197"/>
      <c r="N45" s="13"/>
      <c r="O45" s="198"/>
      <c r="P45" s="199"/>
      <c r="Q45" s="198"/>
    </row>
    <row r="46" spans="1:17">
      <c r="A46" s="180"/>
      <c r="B46" s="14"/>
      <c r="C46" s="13"/>
      <c r="D46" s="923" t="s">
        <v>925</v>
      </c>
      <c r="E46" s="668">
        <f t="shared" si="0"/>
        <v>1296064.45</v>
      </c>
      <c r="F46" s="669">
        <f t="shared" si="2"/>
        <v>2.5268380436285335E-3</v>
      </c>
      <c r="G46" s="670">
        <f t="shared" si="1"/>
        <v>20</v>
      </c>
      <c r="H46" s="671">
        <f t="shared" si="3"/>
        <v>4.7642869053574408E-4</v>
      </c>
      <c r="I46" s="173"/>
      <c r="K46" s="174"/>
      <c r="M46" s="197"/>
      <c r="N46" s="13"/>
      <c r="O46" s="198"/>
      <c r="P46" s="199"/>
      <c r="Q46" s="198"/>
    </row>
    <row r="47" spans="1:17">
      <c r="A47" s="180"/>
      <c r="B47" s="14"/>
      <c r="C47" s="13"/>
      <c r="D47" s="923" t="s">
        <v>926</v>
      </c>
      <c r="E47" s="668">
        <f t="shared" si="0"/>
        <v>1004096.0299999999</v>
      </c>
      <c r="F47" s="669">
        <f t="shared" si="2"/>
        <v>1.9576094754087093E-3</v>
      </c>
      <c r="G47" s="670">
        <f t="shared" si="1"/>
        <v>15</v>
      </c>
      <c r="H47" s="671">
        <f t="shared" si="3"/>
        <v>3.5732151790180804E-4</v>
      </c>
      <c r="I47" s="173"/>
      <c r="K47" s="174"/>
      <c r="M47" s="197"/>
      <c r="N47" s="13"/>
      <c r="O47" s="198"/>
      <c r="P47" s="199"/>
      <c r="Q47" s="198"/>
    </row>
    <row r="48" spans="1:17">
      <c r="A48" s="180"/>
      <c r="B48" s="14"/>
      <c r="C48" s="13"/>
      <c r="D48" s="923" t="s">
        <v>927</v>
      </c>
      <c r="E48" s="668">
        <f t="shared" si="0"/>
        <v>552590.40999999992</v>
      </c>
      <c r="F48" s="669">
        <f t="shared" si="2"/>
        <v>1.0773433917829389E-3</v>
      </c>
      <c r="G48" s="670">
        <f t="shared" si="1"/>
        <v>8</v>
      </c>
      <c r="H48" s="671">
        <f t="shared" si="3"/>
        <v>1.9057147621429763E-4</v>
      </c>
      <c r="I48" s="173"/>
      <c r="K48" s="174"/>
      <c r="M48" s="197"/>
      <c r="N48" s="13"/>
      <c r="O48" s="198"/>
      <c r="P48" s="199"/>
      <c r="Q48" s="198"/>
    </row>
    <row r="49" spans="1:17">
      <c r="A49" s="180"/>
      <c r="B49" s="14"/>
      <c r="C49" s="13"/>
      <c r="D49" s="923" t="s">
        <v>928</v>
      </c>
      <c r="E49" s="668">
        <f t="shared" si="0"/>
        <v>211574.99</v>
      </c>
      <c r="F49" s="669">
        <f t="shared" si="2"/>
        <v>4.1249162710413557E-4</v>
      </c>
      <c r="G49" s="670">
        <f t="shared" si="1"/>
        <v>3</v>
      </c>
      <c r="H49" s="671">
        <f t="shared" si="3"/>
        <v>7.1464303580361606E-5</v>
      </c>
      <c r="I49" s="173"/>
      <c r="K49" s="174"/>
      <c r="M49" s="197"/>
      <c r="N49" s="13"/>
      <c r="O49" s="198"/>
      <c r="P49" s="199"/>
      <c r="Q49" s="198"/>
    </row>
    <row r="50" spans="1:17">
      <c r="A50" s="180"/>
      <c r="B50" s="14"/>
      <c r="C50" s="13"/>
      <c r="D50" s="923" t="s">
        <v>929</v>
      </c>
      <c r="E50" s="668">
        <f t="shared" si="0"/>
        <v>147421.62</v>
      </c>
      <c r="F50" s="669">
        <f t="shared" si="2"/>
        <v>2.8741669279590926E-4</v>
      </c>
      <c r="G50" s="670">
        <f t="shared" si="1"/>
        <v>2</v>
      </c>
      <c r="H50" s="671">
        <f t="shared" si="3"/>
        <v>4.7642869053574406E-5</v>
      </c>
      <c r="I50" s="173"/>
      <c r="K50" s="174"/>
      <c r="M50" s="197"/>
      <c r="N50" s="13"/>
      <c r="O50" s="198"/>
      <c r="P50" s="199"/>
      <c r="Q50" s="198"/>
    </row>
    <row r="51" spans="1:17">
      <c r="A51" s="180"/>
      <c r="B51" s="14"/>
      <c r="C51" s="13"/>
      <c r="D51" s="923" t="s">
        <v>930</v>
      </c>
      <c r="E51" s="668">
        <f t="shared" si="0"/>
        <v>151647.16</v>
      </c>
      <c r="F51" s="669">
        <f t="shared" si="2"/>
        <v>2.9565490597031901E-4</v>
      </c>
      <c r="G51" s="670">
        <f t="shared" si="1"/>
        <v>2</v>
      </c>
      <c r="H51" s="671">
        <f t="shared" si="3"/>
        <v>4.7642869053574406E-5</v>
      </c>
      <c r="I51" s="173"/>
      <c r="K51" s="174"/>
      <c r="M51" s="197"/>
      <c r="N51" s="13"/>
      <c r="O51" s="198"/>
      <c r="P51" s="199"/>
      <c r="Q51" s="198"/>
    </row>
    <row r="52" spans="1:17">
      <c r="A52" s="180"/>
      <c r="B52" s="14"/>
      <c r="C52" s="13"/>
      <c r="D52" s="923" t="s">
        <v>931</v>
      </c>
      <c r="E52" s="668">
        <f t="shared" si="0"/>
        <v>0</v>
      </c>
      <c r="F52" s="669">
        <f t="shared" si="2"/>
        <v>0</v>
      </c>
      <c r="G52" s="670">
        <f t="shared" si="1"/>
        <v>0</v>
      </c>
      <c r="H52" s="671">
        <f t="shared" si="3"/>
        <v>0</v>
      </c>
      <c r="I52" s="173"/>
      <c r="K52" s="174"/>
      <c r="M52" s="197"/>
      <c r="N52" s="13"/>
      <c r="O52" s="198"/>
      <c r="P52" s="199"/>
      <c r="Q52" s="198"/>
    </row>
    <row r="53" spans="1:17">
      <c r="A53" s="180"/>
      <c r="B53" s="14"/>
      <c r="C53" s="13"/>
      <c r="D53" s="923" t="s">
        <v>932</v>
      </c>
      <c r="E53" s="668">
        <f t="shared" si="0"/>
        <v>79381.03</v>
      </c>
      <c r="F53" s="669">
        <f t="shared" si="2"/>
        <v>1.5476314202308221E-4</v>
      </c>
      <c r="G53" s="670">
        <f t="shared" si="1"/>
        <v>1</v>
      </c>
      <c r="H53" s="671">
        <f t="shared" si="3"/>
        <v>2.3821434526787203E-5</v>
      </c>
      <c r="I53" s="173"/>
      <c r="K53" s="174"/>
      <c r="M53" s="197"/>
      <c r="N53" s="13"/>
      <c r="O53" s="198"/>
      <c r="P53" s="199"/>
      <c r="Q53" s="198"/>
    </row>
    <row r="54" spans="1:17" ht="13" thickBot="1">
      <c r="A54" s="180"/>
      <c r="B54" s="14"/>
      <c r="C54" s="13"/>
      <c r="D54" s="923" t="s">
        <v>933</v>
      </c>
      <c r="E54" s="668">
        <f t="shared" si="0"/>
        <v>712655.2</v>
      </c>
      <c r="F54" s="669">
        <f t="shared" si="2"/>
        <v>1.389409509187372E-3</v>
      </c>
      <c r="G54" s="670">
        <f t="shared" si="1"/>
        <v>8</v>
      </c>
      <c r="H54" s="671">
        <f t="shared" si="3"/>
        <v>1.9057147621429763E-4</v>
      </c>
      <c r="I54" s="173"/>
      <c r="K54" s="174"/>
      <c r="M54" s="197"/>
      <c r="N54" s="13"/>
      <c r="O54" s="198"/>
      <c r="P54" s="199"/>
      <c r="Q54" s="198"/>
    </row>
    <row r="55" spans="1:17" ht="14" thickTop="1" thickBot="1">
      <c r="A55" s="180"/>
      <c r="B55" s="200"/>
      <c r="C55" s="201"/>
      <c r="D55" s="591" t="s">
        <v>36</v>
      </c>
      <c r="E55" s="592">
        <f>SUM(E14:E54)</f>
        <v>512919477.87000006</v>
      </c>
      <c r="F55" s="593">
        <f>SUM(F14:F54)</f>
        <v>0.99999999999999956</v>
      </c>
      <c r="G55" s="672">
        <f>SUM(G14:G54)</f>
        <v>41979</v>
      </c>
      <c r="H55" s="673">
        <f>SUM(H14:H54)</f>
        <v>1.0000000000000002</v>
      </c>
      <c r="I55" s="173"/>
      <c r="J55" s="21"/>
      <c r="K55" s="174"/>
      <c r="M55" s="596"/>
      <c r="N55" s="597"/>
      <c r="O55" s="598"/>
      <c r="P55" s="599"/>
      <c r="Q55" s="598"/>
    </row>
    <row r="56" spans="1:17" ht="13">
      <c r="A56" s="180"/>
      <c r="B56" s="200"/>
      <c r="C56" s="201"/>
      <c r="D56" s="605"/>
      <c r="E56" s="606"/>
      <c r="F56" s="607"/>
      <c r="G56" s="599"/>
      <c r="H56" s="598"/>
      <c r="I56" s="173"/>
      <c r="J56" s="21"/>
      <c r="K56" s="174"/>
      <c r="M56" s="596"/>
      <c r="N56" s="597"/>
      <c r="O56" s="598"/>
      <c r="P56" s="599"/>
      <c r="Q56" s="598"/>
    </row>
    <row r="57" spans="1:17" ht="13">
      <c r="A57" s="180"/>
      <c r="B57" s="200"/>
      <c r="C57" s="201"/>
      <c r="D57" s="605"/>
      <c r="E57" s="606"/>
      <c r="F57" s="607"/>
      <c r="G57" s="599"/>
      <c r="H57" s="598"/>
      <c r="I57" s="173"/>
      <c r="J57" s="21"/>
      <c r="K57" s="174"/>
      <c r="M57" s="596"/>
      <c r="N57" s="597"/>
      <c r="O57" s="598"/>
      <c r="P57" s="599"/>
      <c r="Q57" s="598"/>
    </row>
    <row r="58" spans="1:17" ht="13.5" thickBot="1">
      <c r="A58" s="180"/>
      <c r="B58" s="200"/>
      <c r="C58" s="201"/>
      <c r="D58" s="570" t="s">
        <v>69</v>
      </c>
      <c r="E58" s="570" t="s">
        <v>59</v>
      </c>
      <c r="F58" s="600"/>
      <c r="G58" s="600"/>
      <c r="H58" s="600"/>
      <c r="I58" s="173"/>
      <c r="J58" s="21"/>
      <c r="K58" s="174"/>
      <c r="M58" s="508"/>
      <c r="N58" s="508"/>
      <c r="O58" s="200"/>
      <c r="P58" s="200"/>
      <c r="Q58" s="200"/>
    </row>
    <row r="59" spans="1:17" ht="13" thickBot="1">
      <c r="A59" s="180"/>
      <c r="B59" s="200"/>
      <c r="C59" s="201"/>
      <c r="D59" s="515" t="s">
        <v>60</v>
      </c>
      <c r="E59" s="516">
        <f>E55/G55</f>
        <v>12218.477759594085</v>
      </c>
      <c r="F59" s="600"/>
      <c r="G59" s="600"/>
      <c r="H59" s="600"/>
      <c r="I59" s="173"/>
      <c r="J59" s="21"/>
      <c r="K59" s="174"/>
      <c r="M59" s="204"/>
      <c r="N59" s="233"/>
      <c r="O59" s="200"/>
      <c r="P59" s="200"/>
      <c r="Q59" s="200"/>
    </row>
    <row r="60" spans="1:17">
      <c r="A60" s="180"/>
      <c r="B60" s="21"/>
      <c r="I60" s="496"/>
      <c r="J60" s="21"/>
      <c r="K60" s="174"/>
    </row>
    <row r="61" spans="1:17">
      <c r="A61" s="195"/>
      <c r="B61" s="50"/>
      <c r="C61" s="50"/>
      <c r="D61" s="50"/>
      <c r="E61" s="50"/>
      <c r="F61" s="50"/>
      <c r="G61" s="50"/>
      <c r="H61" s="50"/>
      <c r="I61" s="390"/>
      <c r="J61" s="50"/>
      <c r="K61" s="196"/>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8164062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45848</v>
      </c>
      <c r="G2" s="107"/>
      <c r="H2" s="107"/>
      <c r="I2" s="107"/>
      <c r="J2" s="109"/>
      <c r="K2" s="359"/>
    </row>
    <row r="3" spans="1:13" s="102" customFormat="1" ht="18">
      <c r="A3" s="103"/>
      <c r="B3" s="104" t="str">
        <f>'Cover Sheet'!B3</f>
        <v>Monthly Investor Report</v>
      </c>
      <c r="C3" s="104"/>
      <c r="D3" s="112" t="str">
        <f>'Cover Sheet'!D3</f>
        <v>Payment Date</v>
      </c>
      <c r="E3" s="113"/>
      <c r="F3" s="114">
        <f>'Cover Sheet'!F3</f>
        <v>45852</v>
      </c>
      <c r="G3" s="113"/>
      <c r="H3" s="113"/>
      <c r="I3" s="113"/>
      <c r="J3" s="115"/>
      <c r="K3" s="125"/>
    </row>
    <row r="4" spans="1:13" s="102" customFormat="1" ht="13">
      <c r="A4" s="103"/>
      <c r="B4" s="157"/>
      <c r="C4" s="158"/>
      <c r="D4" s="112" t="str">
        <f>'Cover Sheet'!D4</f>
        <v>Period  No</v>
      </c>
      <c r="E4" s="113"/>
      <c r="F4" s="117">
        <f>'Cover Sheet'!F4</f>
        <v>33</v>
      </c>
      <c r="G4" s="113"/>
      <c r="H4" s="118"/>
      <c r="I4" s="113"/>
      <c r="J4" s="119"/>
      <c r="K4" s="359"/>
    </row>
    <row r="5" spans="1:13" s="102" customFormat="1" ht="18">
      <c r="A5" s="103"/>
      <c r="B5" s="160" t="s">
        <v>165</v>
      </c>
      <c r="C5" s="120"/>
      <c r="D5" s="112" t="str">
        <f>'Cover Sheet'!D5</f>
        <v>Monthly Period</v>
      </c>
      <c r="E5" s="113"/>
      <c r="F5" s="121">
        <f>'Cover Sheet'!F5</f>
        <v>45852</v>
      </c>
      <c r="G5" s="113"/>
      <c r="H5" s="118"/>
      <c r="I5" s="113"/>
      <c r="J5" s="119"/>
      <c r="K5" s="125"/>
    </row>
    <row r="6" spans="1:13"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453125" style="144" customWidth="1"/>
    <col min="4" max="4" width="18.81640625" style="144" customWidth="1"/>
    <col min="5" max="5" width="18" style="144" customWidth="1"/>
    <col min="6" max="6" width="18.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7.17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166</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29.25" customHeight="1" thickBot="1">
      <c r="A13" s="103"/>
      <c r="B13" s="494"/>
      <c r="C13" s="21"/>
      <c r="E13" s="478" t="s">
        <v>62</v>
      </c>
      <c r="F13" s="653" t="s">
        <v>71</v>
      </c>
      <c r="G13" s="479" t="s">
        <v>113</v>
      </c>
      <c r="H13" s="480" t="s">
        <v>61</v>
      </c>
      <c r="I13" s="173"/>
      <c r="K13" s="110"/>
      <c r="M13" s="654"/>
      <c r="N13" s="215"/>
      <c r="O13" s="215"/>
      <c r="P13" s="215"/>
      <c r="Q13" s="215"/>
    </row>
    <row r="14" spans="1:17" s="102" customFormat="1">
      <c r="A14" s="103"/>
      <c r="B14" s="172"/>
      <c r="C14" s="172"/>
      <c r="E14" s="655">
        <v>1</v>
      </c>
      <c r="F14" s="647">
        <f t="shared" ref="F14:F38" si="0">VLOOKUP(CONCATENATE("Borrower_",E14),Assets,3,0)</f>
        <v>99997.23</v>
      </c>
      <c r="G14" s="656">
        <f t="shared" ref="G14:G38" si="1">F14/VLOOKUP("Outstanding_eop_current",calcdata_22,2,0)</f>
        <v>1.9495697534291026E-4</v>
      </c>
      <c r="H14" s="657">
        <f t="shared" ref="H14:H38" si="2">VLOOKUP(CONCATENATE("Borrower_",E14),Assets,2,0)</f>
        <v>1</v>
      </c>
      <c r="I14" s="173"/>
      <c r="K14" s="110"/>
      <c r="M14" s="21"/>
      <c r="N14" s="484"/>
      <c r="O14" s="485"/>
      <c r="P14" s="369"/>
      <c r="Q14" s="21"/>
    </row>
    <row r="15" spans="1:17">
      <c r="A15" s="180"/>
      <c r="B15" s="14"/>
      <c r="C15" s="13"/>
      <c r="E15" s="655">
        <f>+E14+1</f>
        <v>2</v>
      </c>
      <c r="F15" s="647">
        <f t="shared" si="0"/>
        <v>94394.7</v>
      </c>
      <c r="G15" s="656">
        <f t="shared" si="1"/>
        <v>1.8403414974996218E-4</v>
      </c>
      <c r="H15" s="657">
        <f t="shared" si="2"/>
        <v>1</v>
      </c>
      <c r="I15" s="173"/>
      <c r="K15" s="174"/>
      <c r="N15" s="484"/>
      <c r="O15" s="485"/>
      <c r="P15" s="369"/>
    </row>
    <row r="16" spans="1:17">
      <c r="A16" s="180"/>
      <c r="B16" s="14"/>
      <c r="C16" s="13"/>
      <c r="E16" s="655">
        <f t="shared" ref="E16:E38" si="3">+E15+1</f>
        <v>3</v>
      </c>
      <c r="F16" s="647">
        <f t="shared" si="0"/>
        <v>93540.61</v>
      </c>
      <c r="G16" s="656">
        <f t="shared" si="1"/>
        <v>1.8236899559448581E-4</v>
      </c>
      <c r="H16" s="657">
        <f t="shared" si="2"/>
        <v>1</v>
      </c>
      <c r="I16" s="173"/>
      <c r="K16" s="174"/>
      <c r="N16" s="484"/>
      <c r="O16" s="485"/>
      <c r="P16" s="369"/>
    </row>
    <row r="17" spans="1:16">
      <c r="A17" s="180"/>
      <c r="B17" s="14"/>
      <c r="C17" s="13"/>
      <c r="E17" s="655">
        <f t="shared" si="3"/>
        <v>4</v>
      </c>
      <c r="F17" s="647">
        <f t="shared" si="0"/>
        <v>92978.55</v>
      </c>
      <c r="G17" s="656">
        <f t="shared" si="1"/>
        <v>1.8127319006506031E-4</v>
      </c>
      <c r="H17" s="657">
        <f t="shared" si="2"/>
        <v>1</v>
      </c>
      <c r="I17" s="173"/>
      <c r="K17" s="174"/>
      <c r="N17" s="484"/>
      <c r="O17" s="485"/>
      <c r="P17" s="369"/>
    </row>
    <row r="18" spans="1:16">
      <c r="A18" s="180"/>
      <c r="B18" s="14"/>
      <c r="C18" s="13"/>
      <c r="E18" s="655">
        <f t="shared" si="3"/>
        <v>5</v>
      </c>
      <c r="F18" s="647">
        <f t="shared" si="0"/>
        <v>88040.67</v>
      </c>
      <c r="G18" s="656">
        <f t="shared" si="1"/>
        <v>1.7164618190287172E-4</v>
      </c>
      <c r="H18" s="657">
        <f t="shared" si="2"/>
        <v>1</v>
      </c>
      <c r="I18" s="173"/>
      <c r="K18" s="174"/>
      <c r="N18" s="484"/>
      <c r="O18" s="485"/>
      <c r="P18" s="369"/>
    </row>
    <row r="19" spans="1:16">
      <c r="A19" s="180"/>
      <c r="B19" s="14"/>
      <c r="C19" s="13"/>
      <c r="E19" s="655">
        <f t="shared" si="3"/>
        <v>6</v>
      </c>
      <c r="F19" s="647">
        <f t="shared" si="0"/>
        <v>81705.27</v>
      </c>
      <c r="G19" s="656">
        <f t="shared" si="1"/>
        <v>1.5929453554639291E-4</v>
      </c>
      <c r="H19" s="657">
        <f t="shared" si="2"/>
        <v>1</v>
      </c>
      <c r="I19" s="173"/>
      <c r="K19" s="174"/>
      <c r="N19" s="484"/>
      <c r="O19" s="485"/>
      <c r="P19" s="369"/>
    </row>
    <row r="20" spans="1:16">
      <c r="A20" s="180"/>
      <c r="B20" s="14"/>
      <c r="C20" s="13"/>
      <c r="E20" s="655">
        <f t="shared" si="3"/>
        <v>7</v>
      </c>
      <c r="F20" s="647">
        <f t="shared" si="0"/>
        <v>81211.83</v>
      </c>
      <c r="G20" s="656">
        <f t="shared" si="1"/>
        <v>1.5833251319924183E-4</v>
      </c>
      <c r="H20" s="657">
        <f t="shared" si="2"/>
        <v>1</v>
      </c>
      <c r="I20" s="173"/>
      <c r="K20" s="174"/>
      <c r="N20" s="484"/>
      <c r="O20" s="485"/>
      <c r="P20" s="369"/>
    </row>
    <row r="21" spans="1:16">
      <c r="A21" s="180"/>
      <c r="B21" s="14"/>
      <c r="C21" s="13"/>
      <c r="E21" s="655">
        <f t="shared" si="3"/>
        <v>8</v>
      </c>
      <c r="F21" s="647">
        <f t="shared" si="0"/>
        <v>80786.34</v>
      </c>
      <c r="G21" s="656">
        <f t="shared" si="1"/>
        <v>1.5750296778644735E-4</v>
      </c>
      <c r="H21" s="657">
        <f t="shared" si="2"/>
        <v>1</v>
      </c>
      <c r="I21" s="173"/>
      <c r="K21" s="174"/>
      <c r="N21" s="484"/>
      <c r="O21" s="485"/>
      <c r="P21" s="369"/>
    </row>
    <row r="22" spans="1:16">
      <c r="A22" s="180"/>
      <c r="B22" s="14"/>
      <c r="C22" s="13"/>
      <c r="E22" s="655">
        <f t="shared" si="3"/>
        <v>9</v>
      </c>
      <c r="F22" s="647">
        <f t="shared" si="0"/>
        <v>79381.03</v>
      </c>
      <c r="G22" s="656">
        <f t="shared" si="1"/>
        <v>1.5476314202308224E-4</v>
      </c>
      <c r="H22" s="657">
        <f t="shared" si="2"/>
        <v>1</v>
      </c>
      <c r="I22" s="173"/>
      <c r="K22" s="174"/>
      <c r="N22" s="484"/>
      <c r="O22" s="485"/>
      <c r="P22" s="369"/>
    </row>
    <row r="23" spans="1:16">
      <c r="A23" s="180"/>
      <c r="B23" s="14"/>
      <c r="C23" s="13"/>
      <c r="E23" s="655">
        <f t="shared" si="3"/>
        <v>10</v>
      </c>
      <c r="F23" s="647">
        <f t="shared" si="0"/>
        <v>75833.990000000005</v>
      </c>
      <c r="G23" s="656">
        <f t="shared" si="1"/>
        <v>1.4784774856848039E-4</v>
      </c>
      <c r="H23" s="657">
        <f t="shared" si="2"/>
        <v>1</v>
      </c>
      <c r="I23" s="173"/>
      <c r="K23" s="174"/>
      <c r="N23" s="484"/>
      <c r="O23" s="485"/>
      <c r="P23" s="369"/>
    </row>
    <row r="24" spans="1:16">
      <c r="A24" s="180"/>
      <c r="B24" s="14"/>
      <c r="C24" s="13"/>
      <c r="E24" s="655">
        <f t="shared" si="3"/>
        <v>11</v>
      </c>
      <c r="F24" s="647">
        <f t="shared" si="0"/>
        <v>75813.17</v>
      </c>
      <c r="G24" s="656">
        <f t="shared" si="1"/>
        <v>1.4780715740183868E-4</v>
      </c>
      <c r="H24" s="657">
        <f t="shared" si="2"/>
        <v>1</v>
      </c>
      <c r="I24" s="173"/>
      <c r="K24" s="174"/>
      <c r="N24" s="484"/>
      <c r="O24" s="485"/>
      <c r="P24" s="369"/>
    </row>
    <row r="25" spans="1:16">
      <c r="A25" s="180"/>
      <c r="B25" s="14"/>
      <c r="C25" s="13"/>
      <c r="E25" s="655">
        <f t="shared" si="3"/>
        <v>12</v>
      </c>
      <c r="F25" s="647">
        <f t="shared" si="0"/>
        <v>73939.789999999994</v>
      </c>
      <c r="G25" s="656">
        <f t="shared" si="1"/>
        <v>1.4415477124606312E-4</v>
      </c>
      <c r="H25" s="657">
        <f t="shared" si="2"/>
        <v>1</v>
      </c>
      <c r="I25" s="173"/>
      <c r="K25" s="174"/>
      <c r="N25" s="484"/>
      <c r="O25" s="485"/>
      <c r="P25" s="369"/>
    </row>
    <row r="26" spans="1:16">
      <c r="A26" s="180"/>
      <c r="B26" s="14"/>
      <c r="C26" s="13"/>
      <c r="E26" s="655">
        <f t="shared" si="3"/>
        <v>13</v>
      </c>
      <c r="F26" s="647">
        <f t="shared" si="0"/>
        <v>73481.83</v>
      </c>
      <c r="G26" s="656">
        <f t="shared" si="1"/>
        <v>1.4326192154984617E-4</v>
      </c>
      <c r="H26" s="657">
        <f t="shared" si="2"/>
        <v>1</v>
      </c>
      <c r="I26" s="173"/>
      <c r="K26" s="174"/>
      <c r="N26" s="484"/>
      <c r="O26" s="485"/>
      <c r="P26" s="369"/>
    </row>
    <row r="27" spans="1:16">
      <c r="A27" s="180"/>
      <c r="B27" s="14"/>
      <c r="C27" s="13"/>
      <c r="E27" s="655">
        <f t="shared" si="3"/>
        <v>14</v>
      </c>
      <c r="F27" s="647">
        <f t="shared" si="0"/>
        <v>70727.070000000007</v>
      </c>
      <c r="G27" s="656">
        <f t="shared" si="1"/>
        <v>1.3789117600623827E-4</v>
      </c>
      <c r="H27" s="657">
        <f t="shared" si="2"/>
        <v>1</v>
      </c>
      <c r="I27" s="173"/>
      <c r="K27" s="174"/>
      <c r="N27" s="484"/>
      <c r="O27" s="485"/>
      <c r="P27" s="369"/>
    </row>
    <row r="28" spans="1:16">
      <c r="A28" s="180"/>
      <c r="B28" s="14"/>
      <c r="C28" s="13"/>
      <c r="E28" s="655">
        <f t="shared" si="3"/>
        <v>15</v>
      </c>
      <c r="F28" s="647">
        <f t="shared" si="0"/>
        <v>70429.440000000002</v>
      </c>
      <c r="G28" s="656">
        <f t="shared" si="1"/>
        <v>1.3731090948714258E-4</v>
      </c>
      <c r="H28" s="657">
        <f t="shared" si="2"/>
        <v>1</v>
      </c>
      <c r="I28" s="173"/>
      <c r="K28" s="174"/>
      <c r="N28" s="484"/>
      <c r="O28" s="485"/>
      <c r="P28" s="369"/>
    </row>
    <row r="29" spans="1:16">
      <c r="A29" s="180"/>
      <c r="B29" s="14"/>
      <c r="C29" s="13"/>
      <c r="E29" s="655">
        <f t="shared" si="3"/>
        <v>16</v>
      </c>
      <c r="F29" s="647">
        <f t="shared" si="0"/>
        <v>70418.48</v>
      </c>
      <c r="G29" s="656">
        <f t="shared" si="1"/>
        <v>1.372895416107548E-4</v>
      </c>
      <c r="H29" s="657">
        <f t="shared" si="2"/>
        <v>1</v>
      </c>
      <c r="I29" s="173"/>
      <c r="K29" s="174"/>
      <c r="N29" s="484"/>
      <c r="O29" s="485"/>
      <c r="P29" s="369"/>
    </row>
    <row r="30" spans="1:16">
      <c r="A30" s="180"/>
      <c r="B30" s="14"/>
      <c r="C30" s="13"/>
      <c r="E30" s="655">
        <f t="shared" si="3"/>
        <v>17</v>
      </c>
      <c r="F30" s="647">
        <f t="shared" si="0"/>
        <v>69849.5</v>
      </c>
      <c r="G30" s="656">
        <f t="shared" si="1"/>
        <v>1.3618024468492389E-4</v>
      </c>
      <c r="H30" s="657">
        <f t="shared" si="2"/>
        <v>1</v>
      </c>
      <c r="I30" s="173"/>
      <c r="J30" s="173"/>
      <c r="K30" s="174"/>
      <c r="N30" s="484"/>
      <c r="O30" s="485"/>
      <c r="P30" s="369"/>
    </row>
    <row r="31" spans="1:16">
      <c r="A31" s="180"/>
      <c r="B31" s="14"/>
      <c r="C31" s="13"/>
      <c r="E31" s="655">
        <f t="shared" si="3"/>
        <v>18</v>
      </c>
      <c r="F31" s="647">
        <f t="shared" si="0"/>
        <v>69678.080000000002</v>
      </c>
      <c r="G31" s="656">
        <f t="shared" si="1"/>
        <v>1.3584604018032628E-4</v>
      </c>
      <c r="H31" s="657">
        <f t="shared" si="2"/>
        <v>1</v>
      </c>
      <c r="I31" s="173"/>
      <c r="J31" s="173"/>
      <c r="K31" s="174"/>
      <c r="N31" s="484"/>
      <c r="O31" s="485"/>
      <c r="P31" s="369"/>
    </row>
    <row r="32" spans="1:16">
      <c r="A32" s="180"/>
      <c r="B32" s="14"/>
      <c r="C32" s="13"/>
      <c r="E32" s="655">
        <f t="shared" si="3"/>
        <v>19</v>
      </c>
      <c r="F32" s="647">
        <f t="shared" si="0"/>
        <v>69562.02</v>
      </c>
      <c r="G32" s="656">
        <f t="shared" si="1"/>
        <v>1.3561976684697198E-4</v>
      </c>
      <c r="H32" s="657">
        <f t="shared" si="2"/>
        <v>1</v>
      </c>
      <c r="I32" s="173"/>
      <c r="J32" s="173"/>
      <c r="K32" s="174"/>
      <c r="N32" s="484"/>
      <c r="O32" s="485"/>
      <c r="P32" s="369"/>
    </row>
    <row r="33" spans="1:17">
      <c r="A33" s="180"/>
      <c r="B33" s="14"/>
      <c r="C33" s="13"/>
      <c r="E33" s="655">
        <f t="shared" si="3"/>
        <v>20</v>
      </c>
      <c r="F33" s="647">
        <f t="shared" si="0"/>
        <v>69110.8</v>
      </c>
      <c r="G33" s="656">
        <f t="shared" si="1"/>
        <v>1.3474005761488397E-4</v>
      </c>
      <c r="H33" s="657">
        <f t="shared" si="2"/>
        <v>1</v>
      </c>
      <c r="I33" s="173"/>
      <c r="J33" s="173"/>
      <c r="K33" s="174"/>
      <c r="N33" s="484"/>
      <c r="O33" s="485"/>
      <c r="P33" s="369"/>
    </row>
    <row r="34" spans="1:17">
      <c r="A34" s="180"/>
      <c r="B34" s="14"/>
      <c r="C34" s="13"/>
      <c r="E34" s="655">
        <f t="shared" si="3"/>
        <v>21</v>
      </c>
      <c r="F34" s="647">
        <f t="shared" si="0"/>
        <v>68939.8</v>
      </c>
      <c r="G34" s="656">
        <f t="shared" si="1"/>
        <v>1.3440667195226475E-4</v>
      </c>
      <c r="H34" s="657">
        <f t="shared" si="2"/>
        <v>1</v>
      </c>
      <c r="I34" s="173"/>
      <c r="J34" s="173"/>
      <c r="K34" s="174"/>
      <c r="N34" s="484"/>
      <c r="O34" s="485"/>
      <c r="P34" s="369"/>
    </row>
    <row r="35" spans="1:17">
      <c r="A35" s="180"/>
      <c r="B35" s="14"/>
      <c r="C35" s="13"/>
      <c r="E35" s="655">
        <f t="shared" si="3"/>
        <v>22</v>
      </c>
      <c r="F35" s="647">
        <f t="shared" si="0"/>
        <v>68904.67</v>
      </c>
      <c r="G35" s="656">
        <f t="shared" si="1"/>
        <v>1.3433818166964595E-4</v>
      </c>
      <c r="H35" s="657">
        <f t="shared" si="2"/>
        <v>1</v>
      </c>
      <c r="I35" s="173"/>
      <c r="J35" s="173"/>
      <c r="K35" s="174"/>
      <c r="N35" s="484"/>
      <c r="O35" s="485"/>
      <c r="P35" s="369"/>
    </row>
    <row r="36" spans="1:17">
      <c r="A36" s="180"/>
      <c r="B36" s="14"/>
      <c r="C36" s="13"/>
      <c r="E36" s="655">
        <f t="shared" si="3"/>
        <v>23</v>
      </c>
      <c r="F36" s="647">
        <f t="shared" si="0"/>
        <v>68512.62</v>
      </c>
      <c r="G36" s="656">
        <f t="shared" si="1"/>
        <v>1.3357383167531922E-4</v>
      </c>
      <c r="H36" s="657">
        <f t="shared" si="2"/>
        <v>1</v>
      </c>
      <c r="I36" s="173"/>
      <c r="J36" s="173"/>
      <c r="K36" s="174"/>
      <c r="N36" s="484"/>
      <c r="O36" s="485"/>
      <c r="P36" s="369"/>
    </row>
    <row r="37" spans="1:17">
      <c r="A37" s="180"/>
      <c r="B37" s="14"/>
      <c r="C37" s="13"/>
      <c r="E37" s="655">
        <f t="shared" si="3"/>
        <v>24</v>
      </c>
      <c r="F37" s="647">
        <f t="shared" si="0"/>
        <v>68032.92</v>
      </c>
      <c r="G37" s="656">
        <f t="shared" si="1"/>
        <v>1.3263859715860316E-4</v>
      </c>
      <c r="H37" s="657">
        <f t="shared" si="2"/>
        <v>1</v>
      </c>
      <c r="I37" s="173"/>
      <c r="J37" s="173"/>
      <c r="K37" s="174"/>
      <c r="N37" s="484"/>
      <c r="O37" s="485"/>
      <c r="P37" s="369"/>
    </row>
    <row r="38" spans="1:17" ht="13" thickBot="1">
      <c r="A38" s="180"/>
      <c r="B38" s="14"/>
      <c r="C38" s="13"/>
      <c r="E38" s="658">
        <f t="shared" si="3"/>
        <v>25</v>
      </c>
      <c r="F38" s="659">
        <f t="shared" si="0"/>
        <v>67900.75</v>
      </c>
      <c r="G38" s="660">
        <f t="shared" si="1"/>
        <v>1.3238091538650735E-4</v>
      </c>
      <c r="H38" s="661">
        <f t="shared" si="2"/>
        <v>1</v>
      </c>
      <c r="I38" s="173"/>
      <c r="J38" s="173"/>
      <c r="K38" s="174"/>
      <c r="N38" s="484"/>
      <c r="O38" s="485"/>
      <c r="P38" s="369"/>
    </row>
    <row r="39" spans="1:17" ht="14" thickTop="1" thickBot="1">
      <c r="A39" s="180"/>
      <c r="B39" s="14"/>
      <c r="C39" s="13"/>
      <c r="E39" s="662"/>
      <c r="F39" s="663">
        <f>SUM(F14:F38)</f>
        <v>1923171.1600000001</v>
      </c>
      <c r="G39" s="664">
        <f>SUM(G14:G38)</f>
        <v>3.7494601842502648E-3</v>
      </c>
      <c r="H39" s="665">
        <f>SUM(H14:H38)</f>
        <v>25</v>
      </c>
      <c r="I39" s="173"/>
      <c r="J39" s="173"/>
      <c r="K39" s="174"/>
      <c r="O39" s="509"/>
      <c r="P39" s="666"/>
      <c r="Q39" s="60"/>
    </row>
    <row r="40" spans="1:17">
      <c r="A40" s="180"/>
      <c r="B40" s="14"/>
      <c r="C40" s="13"/>
      <c r="D40" s="197"/>
      <c r="E40" s="13"/>
      <c r="F40" s="198"/>
      <c r="G40" s="199"/>
      <c r="H40" s="198"/>
      <c r="I40" s="173"/>
      <c r="J40" s="21"/>
      <c r="K40" s="174"/>
      <c r="M40" s="197"/>
      <c r="N40" s="13"/>
      <c r="O40" s="198"/>
      <c r="P40" s="199"/>
      <c r="Q40" s="198"/>
    </row>
    <row r="41" spans="1:17">
      <c r="A41" s="180"/>
      <c r="B41" s="14"/>
      <c r="C41" s="13"/>
      <c r="D41" s="197"/>
      <c r="E41" s="13"/>
      <c r="F41" s="198"/>
      <c r="G41" s="199"/>
      <c r="H41" s="198"/>
      <c r="I41" s="173"/>
      <c r="J41" s="21"/>
      <c r="K41" s="174"/>
      <c r="M41" s="197"/>
      <c r="N41" s="13"/>
      <c r="O41" s="198"/>
      <c r="P41" s="199"/>
      <c r="Q41" s="198"/>
    </row>
    <row r="42" spans="1:17">
      <c r="A42" s="180"/>
      <c r="B42" s="14"/>
      <c r="C42" s="13"/>
      <c r="D42" s="197"/>
      <c r="E42" s="13"/>
      <c r="F42" s="198"/>
      <c r="G42" s="199"/>
      <c r="H42" s="198"/>
      <c r="I42" s="173"/>
      <c r="J42" s="21"/>
      <c r="K42" s="174"/>
      <c r="M42" s="197"/>
      <c r="N42" s="13"/>
      <c r="O42" s="198"/>
      <c r="P42" s="199"/>
      <c r="Q42" s="198"/>
    </row>
    <row r="43" spans="1:17">
      <c r="A43" s="180"/>
      <c r="B43" s="14"/>
      <c r="C43" s="13"/>
      <c r="D43" s="197"/>
      <c r="E43" s="13"/>
      <c r="F43" s="198"/>
      <c r="G43" s="199"/>
      <c r="H43" s="198"/>
      <c r="I43" s="173"/>
      <c r="J43" s="21"/>
      <c r="K43" s="174"/>
      <c r="M43" s="197"/>
      <c r="N43" s="13"/>
      <c r="O43" s="198"/>
      <c r="P43" s="199"/>
      <c r="Q43" s="198"/>
    </row>
    <row r="44" spans="1:17">
      <c r="A44" s="180"/>
      <c r="B44" s="14"/>
      <c r="C44" s="13"/>
      <c r="D44" s="197"/>
      <c r="E44" s="13"/>
      <c r="F44" s="198"/>
      <c r="G44" s="199"/>
      <c r="H44" s="198"/>
      <c r="I44" s="173"/>
      <c r="J44" s="21"/>
      <c r="K44" s="174"/>
      <c r="M44" s="197"/>
      <c r="N44" s="13"/>
      <c r="O44" s="198"/>
      <c r="P44" s="199"/>
      <c r="Q44" s="198"/>
    </row>
    <row r="45" spans="1:17">
      <c r="A45" s="180"/>
      <c r="B45" s="14"/>
      <c r="C45" s="13"/>
      <c r="D45" s="197"/>
      <c r="E45" s="13"/>
      <c r="F45" s="198"/>
      <c r="G45" s="199"/>
      <c r="H45" s="198"/>
      <c r="I45" s="173"/>
      <c r="J45" s="21"/>
      <c r="K45" s="174"/>
      <c r="M45" s="197"/>
      <c r="N45" s="13"/>
      <c r="O45" s="198"/>
      <c r="P45" s="199"/>
      <c r="Q45" s="198"/>
    </row>
    <row r="46" spans="1:17">
      <c r="A46" s="180"/>
      <c r="B46" s="14"/>
      <c r="C46" s="13"/>
      <c r="D46" s="197"/>
      <c r="E46" s="13"/>
      <c r="F46" s="198"/>
      <c r="G46" s="199"/>
      <c r="H46" s="198"/>
      <c r="I46" s="173"/>
      <c r="J46" s="21"/>
      <c r="K46" s="174"/>
      <c r="M46" s="197"/>
      <c r="N46" s="13"/>
      <c r="O46" s="198"/>
      <c r="P46" s="199"/>
      <c r="Q46" s="19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54296875" style="144" customWidth="1"/>
    <col min="4" max="4" width="30.1796875" style="144" bestFit="1"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142</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row>
    <row r="13" spans="1:17" s="102" customFormat="1" ht="29.5" thickBot="1">
      <c r="A13" s="103"/>
      <c r="B13" s="172"/>
      <c r="C13" s="172"/>
      <c r="D13" s="644" t="s">
        <v>63</v>
      </c>
      <c r="E13" s="645" t="s">
        <v>71</v>
      </c>
      <c r="F13" s="479" t="s">
        <v>113</v>
      </c>
      <c r="G13" s="479" t="s">
        <v>61</v>
      </c>
      <c r="H13" s="646" t="s">
        <v>114</v>
      </c>
      <c r="I13" s="173"/>
      <c r="K13" s="110"/>
    </row>
    <row r="14" spans="1:17">
      <c r="A14" s="180"/>
      <c r="B14" s="14"/>
      <c r="C14" s="13"/>
      <c r="D14" s="925" t="s">
        <v>934</v>
      </c>
      <c r="E14" s="647">
        <f t="shared" ref="E14:E30" si="0">VLOOKUP(CONCATENATE("geo_",D14),Assets,3,0)</f>
        <v>69385945.230000094</v>
      </c>
      <c r="F14" s="648">
        <f>E14/$E$31</f>
        <v>0.13527648729219457</v>
      </c>
      <c r="G14" s="649">
        <f t="shared" ref="G14:G30" si="1">VLOOKUP(CONCATENATE("geo_",D14),Assets,2,0)</f>
        <v>5265</v>
      </c>
      <c r="H14" s="650">
        <f>G14/$G$31</f>
        <v>0.12541985278353462</v>
      </c>
      <c r="I14" s="173"/>
      <c r="K14" s="174"/>
      <c r="M14" s="144"/>
      <c r="N14" s="144"/>
      <c r="O14" s="144"/>
      <c r="P14" s="144"/>
      <c r="Q14" s="144"/>
    </row>
    <row r="15" spans="1:17">
      <c r="A15" s="180"/>
      <c r="B15" s="14"/>
      <c r="C15" s="13"/>
      <c r="D15" s="925" t="s">
        <v>935</v>
      </c>
      <c r="E15" s="647">
        <f t="shared" si="0"/>
        <v>71702426.210000202</v>
      </c>
      <c r="F15" s="648">
        <f t="shared" ref="F15:F30" si="2">E15/$E$31</f>
        <v>0.13979275364577459</v>
      </c>
      <c r="G15" s="649">
        <f t="shared" si="1"/>
        <v>5746</v>
      </c>
      <c r="H15" s="650">
        <f t="shared" ref="H15:H30" si="3">G15/$G$31</f>
        <v>0.13687796279091927</v>
      </c>
      <c r="I15" s="173"/>
      <c r="K15" s="174"/>
      <c r="M15" s="144"/>
      <c r="N15" s="144"/>
      <c r="O15" s="144"/>
      <c r="P15" s="144"/>
      <c r="Q15" s="144"/>
    </row>
    <row r="16" spans="1:17">
      <c r="A16" s="180"/>
      <c r="B16" s="14"/>
      <c r="C16" s="13"/>
      <c r="D16" s="925" t="s">
        <v>936</v>
      </c>
      <c r="E16" s="647">
        <f t="shared" si="0"/>
        <v>20159317.20999999</v>
      </c>
      <c r="F16" s="648">
        <f t="shared" si="2"/>
        <v>3.9303083777819416E-2</v>
      </c>
      <c r="G16" s="649">
        <f t="shared" si="1"/>
        <v>1638</v>
      </c>
      <c r="H16" s="650">
        <f t="shared" si="3"/>
        <v>3.9019509754877439E-2</v>
      </c>
      <c r="I16" s="173"/>
      <c r="K16" s="174"/>
      <c r="M16" s="144"/>
      <c r="N16" s="144"/>
      <c r="O16" s="144"/>
      <c r="P16" s="144"/>
      <c r="Q16" s="144"/>
    </row>
    <row r="17" spans="1:17">
      <c r="A17" s="180"/>
      <c r="B17" s="14"/>
      <c r="C17" s="13"/>
      <c r="D17" s="925" t="s">
        <v>937</v>
      </c>
      <c r="E17" s="647">
        <f t="shared" si="0"/>
        <v>19258242.259999983</v>
      </c>
      <c r="F17" s="648">
        <f t="shared" si="2"/>
        <v>3.7546326647554251E-2</v>
      </c>
      <c r="G17" s="649">
        <f t="shared" si="1"/>
        <v>1652</v>
      </c>
      <c r="H17" s="650">
        <f t="shared" si="3"/>
        <v>3.9353009838252462E-2</v>
      </c>
      <c r="I17" s="173"/>
      <c r="K17" s="174"/>
      <c r="M17" s="144"/>
      <c r="N17" s="144"/>
      <c r="O17" s="144"/>
      <c r="P17" s="144"/>
      <c r="Q17" s="144"/>
    </row>
    <row r="18" spans="1:17">
      <c r="A18" s="180"/>
      <c r="B18" s="14"/>
      <c r="C18" s="13"/>
      <c r="D18" s="925" t="s">
        <v>938</v>
      </c>
      <c r="E18" s="647">
        <f t="shared" si="0"/>
        <v>4326219.9400000004</v>
      </c>
      <c r="F18" s="648">
        <f t="shared" si="2"/>
        <v>8.4345011773884863E-3</v>
      </c>
      <c r="G18" s="649">
        <f t="shared" si="1"/>
        <v>343</v>
      </c>
      <c r="H18" s="650">
        <f t="shared" si="3"/>
        <v>8.170752042688011E-3</v>
      </c>
      <c r="I18" s="173"/>
      <c r="K18" s="174"/>
      <c r="M18" s="144"/>
      <c r="N18" s="144"/>
      <c r="O18" s="144"/>
      <c r="P18" s="144"/>
      <c r="Q18" s="144"/>
    </row>
    <row r="19" spans="1:17">
      <c r="A19" s="180"/>
      <c r="B19" s="14"/>
      <c r="C19" s="13"/>
      <c r="D19" s="925" t="s">
        <v>939</v>
      </c>
      <c r="E19" s="647">
        <f t="shared" si="0"/>
        <v>10078486.570000004</v>
      </c>
      <c r="F19" s="648">
        <f t="shared" si="2"/>
        <v>1.9649256861628508E-2</v>
      </c>
      <c r="G19" s="649">
        <f t="shared" si="1"/>
        <v>808</v>
      </c>
      <c r="H19" s="650">
        <f t="shared" si="3"/>
        <v>1.9247719097644059E-2</v>
      </c>
      <c r="I19" s="173"/>
      <c r="K19" s="174"/>
      <c r="M19" s="144"/>
      <c r="N19" s="144"/>
      <c r="O19" s="144"/>
      <c r="P19" s="144"/>
      <c r="Q19" s="144"/>
    </row>
    <row r="20" spans="1:17">
      <c r="A20" s="180"/>
      <c r="B20" s="14"/>
      <c r="C20" s="13"/>
      <c r="D20" s="925" t="s">
        <v>940</v>
      </c>
      <c r="E20" s="647">
        <f t="shared" si="0"/>
        <v>38377751.759999938</v>
      </c>
      <c r="F20" s="648">
        <f t="shared" si="2"/>
        <v>7.4822176610198535E-2</v>
      </c>
      <c r="G20" s="649">
        <f t="shared" si="1"/>
        <v>3025</v>
      </c>
      <c r="H20" s="650">
        <f t="shared" si="3"/>
        <v>7.2059839443531296E-2</v>
      </c>
      <c r="I20" s="173"/>
      <c r="K20" s="174"/>
      <c r="M20" s="144"/>
      <c r="N20" s="144"/>
      <c r="O20" s="144"/>
      <c r="P20" s="144"/>
      <c r="Q20" s="144"/>
    </row>
    <row r="21" spans="1:17">
      <c r="A21" s="180"/>
      <c r="B21" s="14"/>
      <c r="C21" s="13"/>
      <c r="D21" s="925" t="s">
        <v>941</v>
      </c>
      <c r="E21" s="647">
        <f t="shared" si="0"/>
        <v>50522966.389999881</v>
      </c>
      <c r="F21" s="648">
        <f t="shared" si="2"/>
        <v>9.8500775598943061E-2</v>
      </c>
      <c r="G21" s="649">
        <f t="shared" si="1"/>
        <v>4194</v>
      </c>
      <c r="H21" s="650">
        <f t="shared" si="3"/>
        <v>9.9907096405345536E-2</v>
      </c>
      <c r="I21" s="173"/>
      <c r="K21" s="174"/>
      <c r="M21" s="144"/>
      <c r="N21" s="144"/>
      <c r="O21" s="144"/>
      <c r="P21" s="144"/>
      <c r="Q21" s="144"/>
    </row>
    <row r="22" spans="1:17">
      <c r="A22" s="180"/>
      <c r="B22" s="14"/>
      <c r="C22" s="13"/>
      <c r="D22" s="925" t="s">
        <v>942</v>
      </c>
      <c r="E22" s="647">
        <f t="shared" si="0"/>
        <v>15450363.869999988</v>
      </c>
      <c r="F22" s="648">
        <f t="shared" si="2"/>
        <v>3.0122396470808051E-2</v>
      </c>
      <c r="G22" s="649">
        <f t="shared" si="1"/>
        <v>1294</v>
      </c>
      <c r="H22" s="650">
        <f t="shared" si="3"/>
        <v>3.082493627766264E-2</v>
      </c>
      <c r="I22" s="173"/>
      <c r="K22" s="174"/>
      <c r="M22" s="144"/>
      <c r="N22" s="144"/>
      <c r="O22" s="144"/>
      <c r="P22" s="144"/>
      <c r="Q22" s="144"/>
    </row>
    <row r="23" spans="1:17">
      <c r="A23" s="180"/>
      <c r="B23" s="14"/>
      <c r="C23" s="13"/>
      <c r="D23" s="925" t="s">
        <v>943</v>
      </c>
      <c r="E23" s="647">
        <f t="shared" si="0"/>
        <v>110728731.31999962</v>
      </c>
      <c r="F23" s="648">
        <f t="shared" si="2"/>
        <v>0.21587936527546728</v>
      </c>
      <c r="G23" s="649">
        <f t="shared" si="1"/>
        <v>9049</v>
      </c>
      <c r="H23" s="650">
        <f t="shared" si="3"/>
        <v>0.21556016103289741</v>
      </c>
      <c r="I23" s="173"/>
      <c r="K23" s="174"/>
      <c r="M23" s="144"/>
      <c r="N23" s="144"/>
      <c r="O23" s="144"/>
      <c r="P23" s="144"/>
      <c r="Q23" s="144"/>
    </row>
    <row r="24" spans="1:17" ht="12.75" customHeight="1">
      <c r="A24" s="180"/>
      <c r="B24" s="14"/>
      <c r="C24" s="13"/>
      <c r="D24" s="925" t="s">
        <v>944</v>
      </c>
      <c r="E24" s="647">
        <f t="shared" si="0"/>
        <v>25435522.969999958</v>
      </c>
      <c r="F24" s="648">
        <f t="shared" si="2"/>
        <v>4.9589699879649791E-2</v>
      </c>
      <c r="G24" s="649">
        <f t="shared" si="1"/>
        <v>2103</v>
      </c>
      <c r="H24" s="650">
        <f t="shared" si="3"/>
        <v>5.0096476809833486E-2</v>
      </c>
      <c r="I24" s="173"/>
      <c r="K24" s="174"/>
      <c r="M24" s="144"/>
      <c r="N24" s="144"/>
      <c r="O24" s="144"/>
      <c r="P24" s="144"/>
      <c r="Q24" s="144"/>
    </row>
    <row r="25" spans="1:17">
      <c r="A25" s="180"/>
      <c r="B25" s="14"/>
      <c r="C25" s="13"/>
      <c r="D25" s="925" t="s">
        <v>945</v>
      </c>
      <c r="E25" s="647">
        <f t="shared" si="0"/>
        <v>8622140.3400000054</v>
      </c>
      <c r="F25" s="648">
        <f t="shared" si="2"/>
        <v>1.6809929651736295E-2</v>
      </c>
      <c r="G25" s="649">
        <f t="shared" si="1"/>
        <v>666</v>
      </c>
      <c r="H25" s="650">
        <f t="shared" si="3"/>
        <v>1.5865075394840278E-2</v>
      </c>
      <c r="I25" s="173"/>
      <c r="K25" s="174"/>
      <c r="M25" s="144"/>
      <c r="N25" s="144"/>
      <c r="O25" s="144"/>
      <c r="P25" s="144"/>
      <c r="Q25" s="144"/>
    </row>
    <row r="26" spans="1:17">
      <c r="A26" s="180"/>
      <c r="B26" s="14"/>
      <c r="C26" s="13"/>
      <c r="D26" s="925" t="s">
        <v>1040</v>
      </c>
      <c r="E26" s="647">
        <f t="shared" si="0"/>
        <v>19827928.729999989</v>
      </c>
      <c r="F26" s="648">
        <f t="shared" si="2"/>
        <v>3.8657000924081517E-2</v>
      </c>
      <c r="G26" s="649">
        <f t="shared" si="1"/>
        <v>1857</v>
      </c>
      <c r="H26" s="650">
        <f t="shared" si="3"/>
        <v>4.4236403916243838E-2</v>
      </c>
      <c r="I26" s="173"/>
      <c r="K26" s="174"/>
      <c r="M26" s="144"/>
      <c r="N26" s="144"/>
      <c r="O26" s="144"/>
      <c r="P26" s="144"/>
      <c r="Q26" s="144"/>
    </row>
    <row r="27" spans="1:17">
      <c r="A27" s="180"/>
      <c r="B27" s="14"/>
      <c r="C27" s="13"/>
      <c r="D27" s="925" t="s">
        <v>946</v>
      </c>
      <c r="E27" s="647">
        <f t="shared" si="0"/>
        <v>16918614.439999983</v>
      </c>
      <c r="F27" s="648">
        <f t="shared" si="2"/>
        <v>3.2984932664787657E-2</v>
      </c>
      <c r="G27" s="649">
        <f t="shared" si="1"/>
        <v>1486</v>
      </c>
      <c r="H27" s="650">
        <f t="shared" si="3"/>
        <v>3.5398651706805784E-2</v>
      </c>
      <c r="I27" s="173"/>
      <c r="K27" s="174"/>
      <c r="M27" s="144"/>
      <c r="N27" s="144"/>
      <c r="O27" s="144"/>
      <c r="P27" s="144"/>
      <c r="Q27" s="144"/>
    </row>
    <row r="28" spans="1:17">
      <c r="A28" s="180"/>
      <c r="B28" s="14"/>
      <c r="C28" s="13"/>
      <c r="D28" s="925" t="s">
        <v>947</v>
      </c>
      <c r="E28" s="647">
        <f t="shared" si="0"/>
        <v>16886789.31000001</v>
      </c>
      <c r="F28" s="648">
        <f t="shared" si="2"/>
        <v>3.2922885635238042E-2</v>
      </c>
      <c r="G28" s="649">
        <f t="shared" si="1"/>
        <v>1493</v>
      </c>
      <c r="H28" s="650">
        <f t="shared" si="3"/>
        <v>3.5565401748493292E-2</v>
      </c>
      <c r="I28" s="173"/>
      <c r="K28" s="174"/>
      <c r="M28" s="144"/>
      <c r="N28" s="144"/>
      <c r="O28" s="144"/>
      <c r="P28" s="144"/>
      <c r="Q28" s="144"/>
    </row>
    <row r="29" spans="1:17">
      <c r="A29" s="180"/>
      <c r="B29" s="14"/>
      <c r="C29" s="13"/>
      <c r="D29" s="925" t="s">
        <v>948</v>
      </c>
      <c r="E29" s="647">
        <f t="shared" si="0"/>
        <v>13673558.989999993</v>
      </c>
      <c r="F29" s="648">
        <f t="shared" si="2"/>
        <v>2.6658295463416928E-2</v>
      </c>
      <c r="G29" s="649">
        <f t="shared" si="1"/>
        <v>1255</v>
      </c>
      <c r="H29" s="650">
        <f t="shared" si="3"/>
        <v>2.9895900331117942E-2</v>
      </c>
      <c r="I29" s="173"/>
      <c r="K29" s="174"/>
      <c r="M29" s="144"/>
      <c r="N29" s="144"/>
      <c r="O29" s="144"/>
      <c r="P29" s="144"/>
      <c r="Q29" s="144"/>
    </row>
    <row r="30" spans="1:17" ht="13" thickBot="1">
      <c r="A30" s="180"/>
      <c r="B30" s="14"/>
      <c r="C30" s="13"/>
      <c r="D30" s="925" t="s">
        <v>231</v>
      </c>
      <c r="E30" s="647">
        <f t="shared" si="0"/>
        <v>1564472.3299999998</v>
      </c>
      <c r="F30" s="648">
        <f t="shared" si="2"/>
        <v>3.0501324233128809E-3</v>
      </c>
      <c r="G30" s="649">
        <f t="shared" si="1"/>
        <v>105</v>
      </c>
      <c r="H30" s="650">
        <f t="shared" si="3"/>
        <v>2.5012506253126563E-3</v>
      </c>
      <c r="I30" s="173"/>
      <c r="K30" s="174"/>
      <c r="M30" s="144"/>
      <c r="N30" s="144"/>
      <c r="O30" s="144"/>
      <c r="P30" s="144"/>
      <c r="Q30" s="144"/>
    </row>
    <row r="31" spans="1:17" ht="14" thickTop="1" thickBot="1">
      <c r="A31" s="180"/>
      <c r="B31" s="14"/>
      <c r="C31" s="13"/>
      <c r="D31" s="591" t="s">
        <v>36</v>
      </c>
      <c r="E31" s="592">
        <f>SUM(E14:E30)</f>
        <v>512919477.86999971</v>
      </c>
      <c r="F31" s="651">
        <f>SUM(F14:F30)</f>
        <v>0.99999999999999978</v>
      </c>
      <c r="G31" s="594">
        <f>SUM(G14:G30)</f>
        <v>41979</v>
      </c>
      <c r="H31" s="652">
        <f>SUM(H14:H30)</f>
        <v>1</v>
      </c>
      <c r="I31" s="173"/>
      <c r="J31" s="173"/>
      <c r="K31" s="174"/>
      <c r="M31" s="144"/>
      <c r="N31" s="144"/>
      <c r="O31" s="144"/>
      <c r="P31" s="144"/>
      <c r="Q31" s="144"/>
    </row>
    <row r="32" spans="1:17">
      <c r="A32" s="180"/>
      <c r="B32" s="14"/>
      <c r="C32" s="13"/>
      <c r="D32" s="21"/>
      <c r="E32" s="484"/>
      <c r="F32" s="485"/>
      <c r="G32" s="369"/>
      <c r="H32" s="21"/>
      <c r="I32" s="173"/>
      <c r="J32" s="173"/>
      <c r="K32" s="174"/>
      <c r="N32" s="484"/>
      <c r="O32" s="485"/>
      <c r="P32" s="369"/>
    </row>
    <row r="33" spans="1:17">
      <c r="A33" s="180"/>
      <c r="B33" s="14"/>
      <c r="C33" s="13"/>
      <c r="D33" s="21"/>
      <c r="E33" s="484"/>
      <c r="F33" s="485"/>
      <c r="G33" s="369"/>
      <c r="H33" s="21"/>
      <c r="I33" s="173"/>
      <c r="J33" s="173"/>
      <c r="K33" s="174"/>
      <c r="N33" s="484"/>
      <c r="O33" s="485"/>
      <c r="P33" s="369"/>
    </row>
    <row r="34" spans="1:17">
      <c r="A34" s="180"/>
      <c r="B34" s="14"/>
      <c r="C34" s="13"/>
      <c r="D34" s="21"/>
      <c r="E34" s="484"/>
      <c r="F34" s="485"/>
      <c r="G34" s="369"/>
      <c r="H34" s="21"/>
      <c r="I34" s="173"/>
      <c r="J34" s="173"/>
      <c r="K34" s="174"/>
      <c r="N34" s="484"/>
      <c r="O34" s="485"/>
      <c r="P34" s="369"/>
    </row>
    <row r="35" spans="1:17">
      <c r="A35" s="180"/>
      <c r="B35" s="14"/>
      <c r="C35" s="13"/>
      <c r="D35" s="21"/>
      <c r="E35" s="484"/>
      <c r="F35" s="485"/>
      <c r="G35" s="369"/>
      <c r="H35" s="21"/>
      <c r="I35" s="173"/>
      <c r="J35" s="173"/>
      <c r="K35" s="174"/>
      <c r="N35" s="484"/>
      <c r="O35" s="485"/>
      <c r="P35" s="369"/>
    </row>
    <row r="36" spans="1:17">
      <c r="A36" s="180"/>
      <c r="B36" s="14"/>
      <c r="C36" s="13"/>
      <c r="D36" s="21"/>
      <c r="E36" s="484"/>
      <c r="F36" s="485"/>
      <c r="G36" s="369"/>
      <c r="H36" s="21"/>
      <c r="I36" s="173"/>
      <c r="J36" s="173"/>
      <c r="K36" s="174"/>
      <c r="N36" s="484"/>
      <c r="O36" s="485"/>
      <c r="P36" s="369"/>
    </row>
    <row r="37" spans="1:17">
      <c r="A37" s="180"/>
      <c r="B37" s="14"/>
      <c r="C37" s="13"/>
      <c r="D37" s="21"/>
      <c r="E37" s="484"/>
      <c r="F37" s="485"/>
      <c r="G37" s="369"/>
      <c r="H37" s="21"/>
      <c r="I37" s="173"/>
      <c r="J37" s="173"/>
      <c r="K37" s="174"/>
      <c r="N37" s="484"/>
      <c r="O37" s="485"/>
      <c r="P37" s="369"/>
    </row>
    <row r="38" spans="1:17">
      <c r="A38" s="180"/>
      <c r="B38" s="14"/>
      <c r="C38" s="13"/>
      <c r="D38" s="21"/>
      <c r="E38" s="484"/>
      <c r="F38" s="485"/>
      <c r="G38" s="369"/>
      <c r="H38" s="21"/>
      <c r="I38" s="173"/>
      <c r="J38" s="173"/>
      <c r="K38" s="174"/>
      <c r="N38" s="484"/>
      <c r="O38" s="485"/>
      <c r="P38" s="369"/>
    </row>
    <row r="39" spans="1:17">
      <c r="A39" s="180"/>
      <c r="B39" s="14"/>
      <c r="C39" s="13"/>
      <c r="D39" s="21"/>
      <c r="E39" s="484"/>
      <c r="F39" s="485"/>
      <c r="G39" s="369"/>
      <c r="H39" s="21"/>
      <c r="I39" s="173"/>
      <c r="J39" s="173"/>
      <c r="K39" s="174"/>
      <c r="N39" s="484"/>
      <c r="O39" s="485"/>
      <c r="P39" s="369"/>
    </row>
    <row r="40" spans="1:17">
      <c r="A40" s="180"/>
      <c r="B40" s="14"/>
      <c r="C40" s="13"/>
      <c r="D40" s="21"/>
      <c r="E40" s="484"/>
      <c r="F40" s="485"/>
      <c r="G40" s="369"/>
      <c r="H40" s="21"/>
      <c r="I40" s="173"/>
      <c r="J40" s="173"/>
      <c r="K40" s="174"/>
      <c r="N40" s="484"/>
      <c r="O40" s="485"/>
      <c r="P40" s="369"/>
    </row>
    <row r="41" spans="1:17">
      <c r="A41" s="180"/>
      <c r="B41" s="14"/>
      <c r="C41" s="13"/>
      <c r="D41" s="21"/>
      <c r="E41" s="484"/>
      <c r="F41" s="485"/>
      <c r="G41" s="369"/>
      <c r="H41" s="21"/>
      <c r="I41" s="173"/>
      <c r="J41" s="173"/>
      <c r="K41" s="174"/>
      <c r="N41" s="484"/>
      <c r="O41" s="485"/>
      <c r="P41" s="369"/>
    </row>
    <row r="42" spans="1:17">
      <c r="A42" s="180"/>
      <c r="B42" s="14"/>
      <c r="C42" s="13"/>
      <c r="D42" s="21"/>
      <c r="E42" s="484"/>
      <c r="F42" s="485"/>
      <c r="G42" s="369"/>
      <c r="H42" s="21"/>
      <c r="I42" s="173"/>
      <c r="J42" s="173"/>
      <c r="K42" s="174"/>
      <c r="N42" s="484"/>
      <c r="O42" s="485"/>
      <c r="P42" s="369"/>
    </row>
    <row r="43" spans="1:17">
      <c r="A43" s="180"/>
      <c r="B43" s="14"/>
      <c r="C43" s="13"/>
      <c r="D43" s="21"/>
      <c r="E43" s="484"/>
      <c r="F43" s="485"/>
      <c r="G43" s="369"/>
      <c r="H43" s="21"/>
      <c r="I43" s="173"/>
      <c r="J43" s="173"/>
      <c r="K43" s="174"/>
      <c r="N43" s="484"/>
      <c r="O43" s="485"/>
      <c r="P43" s="369"/>
    </row>
    <row r="44" spans="1:17">
      <c r="A44" s="180"/>
      <c r="B44" s="14"/>
      <c r="C44" s="13"/>
      <c r="D44" s="21"/>
      <c r="E44" s="484"/>
      <c r="F44" s="485"/>
      <c r="G44" s="369"/>
      <c r="H44" s="21"/>
      <c r="I44" s="173"/>
      <c r="J44" s="173"/>
      <c r="K44" s="174"/>
      <c r="N44" s="484"/>
      <c r="O44" s="485"/>
      <c r="P44" s="369"/>
    </row>
    <row r="45" spans="1:17">
      <c r="A45" s="180"/>
      <c r="B45" s="14"/>
      <c r="C45" s="13"/>
      <c r="D45" s="21"/>
      <c r="E45" s="484"/>
      <c r="F45" s="485"/>
      <c r="G45" s="369"/>
      <c r="H45" s="21"/>
      <c r="I45" s="173"/>
      <c r="J45" s="173"/>
      <c r="K45" s="174"/>
      <c r="N45" s="484"/>
      <c r="O45" s="485"/>
      <c r="P45" s="369"/>
    </row>
    <row r="46" spans="1:17">
      <c r="A46" s="180"/>
      <c r="B46" s="14"/>
      <c r="C46" s="13"/>
      <c r="D46" s="21"/>
      <c r="E46" s="484"/>
      <c r="F46" s="485"/>
      <c r="G46" s="369"/>
      <c r="H46" s="21"/>
      <c r="I46" s="173"/>
      <c r="J46" s="173"/>
      <c r="K46" s="174"/>
      <c r="N46" s="484"/>
      <c r="O46" s="485"/>
      <c r="P46" s="369"/>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45848</v>
      </c>
      <c r="G2" s="107"/>
      <c r="H2" s="107"/>
      <c r="I2" s="107"/>
      <c r="J2" s="109"/>
      <c r="K2" s="359"/>
    </row>
    <row r="3" spans="1:13" s="102" customFormat="1" ht="18">
      <c r="A3" s="103"/>
      <c r="B3" s="104" t="str">
        <f>'Cover Sheet'!B3</f>
        <v>Monthly Investor Report</v>
      </c>
      <c r="C3" s="104"/>
      <c r="D3" s="112" t="str">
        <f>'Cover Sheet'!D3</f>
        <v>Payment Date</v>
      </c>
      <c r="E3" s="113"/>
      <c r="F3" s="114">
        <f>'Cover Sheet'!F3</f>
        <v>45852</v>
      </c>
      <c r="G3" s="113"/>
      <c r="H3" s="113"/>
      <c r="I3" s="113"/>
      <c r="J3" s="115"/>
      <c r="K3" s="125"/>
    </row>
    <row r="4" spans="1:13" s="102" customFormat="1" ht="13">
      <c r="A4" s="103"/>
      <c r="B4" s="157"/>
      <c r="C4" s="158"/>
      <c r="D4" s="112" t="str">
        <f>'Cover Sheet'!D4</f>
        <v>Period  No</v>
      </c>
      <c r="E4" s="113"/>
      <c r="F4" s="117">
        <f>'Cover Sheet'!F4</f>
        <v>33</v>
      </c>
      <c r="G4" s="113"/>
      <c r="H4" s="118"/>
      <c r="I4" s="113"/>
      <c r="J4" s="119"/>
      <c r="K4" s="359"/>
    </row>
    <row r="5" spans="1:13" s="102" customFormat="1" ht="18">
      <c r="A5" s="103"/>
      <c r="B5" s="160" t="s">
        <v>143</v>
      </c>
      <c r="C5" s="120"/>
      <c r="D5" s="112" t="str">
        <f>'Cover Sheet'!D5</f>
        <v>Monthly Period</v>
      </c>
      <c r="E5" s="113"/>
      <c r="F5" s="121">
        <f>'Cover Sheet'!F5</f>
        <v>45852</v>
      </c>
      <c r="G5" s="113"/>
      <c r="H5" s="118"/>
      <c r="I5" s="113"/>
      <c r="J5" s="119"/>
      <c r="K5" s="125"/>
    </row>
    <row r="6" spans="1:13"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144</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8" t="s">
        <v>99</v>
      </c>
      <c r="E13" s="532" t="s">
        <v>71</v>
      </c>
      <c r="F13" s="499" t="s">
        <v>113</v>
      </c>
      <c r="G13" s="500" t="s">
        <v>61</v>
      </c>
      <c r="H13" s="533" t="s">
        <v>114</v>
      </c>
      <c r="I13" s="173"/>
      <c r="K13" s="110"/>
      <c r="M13" s="214"/>
      <c r="N13" s="217"/>
      <c r="O13" s="215"/>
      <c r="P13" s="495"/>
      <c r="Q13" s="495"/>
    </row>
    <row r="14" spans="1:17" ht="13.5" customHeight="1">
      <c r="A14" s="180"/>
      <c r="B14" s="14"/>
      <c r="C14" s="13"/>
      <c r="D14" s="926" t="s">
        <v>949</v>
      </c>
      <c r="E14" s="629">
        <f>VLOOKUP(CONCATENATE("Collateral_",D14),Assets,3,0)</f>
        <v>11595688.01</v>
      </c>
      <c r="F14" s="630">
        <f>E14/$E$16</f>
        <v>2.2607228834735139E-2</v>
      </c>
      <c r="G14" s="631">
        <f>VLOOKUP(CONCATENATE("Collateral_",D14),Assets,2,0)</f>
        <v>479</v>
      </c>
      <c r="H14" s="632">
        <f>G14/$G$16</f>
        <v>1.1410467138331071E-2</v>
      </c>
      <c r="I14" s="173"/>
      <c r="K14" s="174"/>
      <c r="M14" s="625"/>
      <c r="N14" s="626"/>
      <c r="O14" s="633"/>
      <c r="P14" s="634"/>
      <c r="Q14" s="627"/>
    </row>
    <row r="15" spans="1:17" ht="13" thickBot="1">
      <c r="A15" s="180"/>
      <c r="B15" s="14"/>
      <c r="C15" s="13"/>
      <c r="D15" s="927" t="s">
        <v>950</v>
      </c>
      <c r="E15" s="635">
        <f>VLOOKUP(CONCATENATE("Collateral_",D15),Assets,3,0)</f>
        <v>501323789.86000198</v>
      </c>
      <c r="F15" s="636">
        <f>E15/$E$16</f>
        <v>0.97739277116526491</v>
      </c>
      <c r="G15" s="637">
        <f>VLOOKUP(CONCATENATE("Collateral_",D15),Assets,2,0)</f>
        <v>41500</v>
      </c>
      <c r="H15" s="638">
        <f>G15/$G$16</f>
        <v>0.98858953286166895</v>
      </c>
      <c r="I15" s="173"/>
      <c r="K15" s="174"/>
      <c r="M15" s="625"/>
      <c r="N15" s="626"/>
      <c r="O15" s="633"/>
      <c r="P15" s="634"/>
      <c r="Q15" s="627"/>
    </row>
    <row r="16" spans="1:17" ht="14" thickTop="1" thickBot="1">
      <c r="A16" s="180"/>
      <c r="B16" s="14"/>
      <c r="C16" s="13"/>
      <c r="D16" s="527" t="s">
        <v>36</v>
      </c>
      <c r="E16" s="488">
        <f>SUM(E14:E15)</f>
        <v>512919477.87000197</v>
      </c>
      <c r="F16" s="562">
        <f>SUM(F14:F15)</f>
        <v>1</v>
      </c>
      <c r="G16" s="490">
        <f>SUM(G14:G15)</f>
        <v>41979</v>
      </c>
      <c r="H16" s="564">
        <f>SUM(H14:H15)</f>
        <v>1</v>
      </c>
      <c r="I16" s="173"/>
      <c r="K16" s="174"/>
      <c r="M16" s="37"/>
      <c r="N16" s="509"/>
      <c r="O16" s="639"/>
      <c r="P16" s="511"/>
      <c r="Q16" s="565"/>
    </row>
    <row r="17" spans="1:17">
      <c r="A17" s="180"/>
      <c r="B17" s="14"/>
      <c r="C17" s="13"/>
      <c r="D17" s="102"/>
      <c r="E17" s="102"/>
      <c r="F17" s="102"/>
      <c r="G17" s="102"/>
      <c r="H17" s="102"/>
      <c r="I17" s="173"/>
      <c r="K17" s="174"/>
    </row>
    <row r="18" spans="1:17">
      <c r="A18" s="180"/>
      <c r="B18" s="14"/>
      <c r="C18" s="13"/>
      <c r="D18" s="102"/>
      <c r="E18" s="233"/>
      <c r="F18" s="102"/>
      <c r="G18" s="568"/>
      <c r="H18" s="102"/>
      <c r="I18" s="173"/>
      <c r="K18" s="174"/>
      <c r="N18" s="233"/>
      <c r="P18" s="569"/>
    </row>
    <row r="19" spans="1:17">
      <c r="A19" s="180"/>
      <c r="B19" s="14"/>
      <c r="C19" s="13"/>
      <c r="D19" s="102"/>
      <c r="E19" s="102"/>
      <c r="F19" s="102"/>
      <c r="G19" s="102"/>
      <c r="H19" s="102"/>
      <c r="I19" s="173"/>
      <c r="K19" s="174"/>
    </row>
    <row r="20" spans="1:17">
      <c r="A20" s="180"/>
      <c r="B20" s="14"/>
      <c r="C20" s="13"/>
      <c r="D20" s="102"/>
      <c r="E20" s="102"/>
      <c r="F20" s="102"/>
      <c r="G20" s="102"/>
      <c r="H20" s="102"/>
      <c r="I20" s="173"/>
      <c r="K20" s="174"/>
    </row>
    <row r="21" spans="1:17">
      <c r="A21" s="180"/>
      <c r="B21" s="14"/>
      <c r="C21" s="13"/>
      <c r="D21" s="102"/>
      <c r="E21" s="102"/>
      <c r="F21" s="102"/>
      <c r="G21" s="102"/>
      <c r="H21" s="102"/>
      <c r="I21" s="173"/>
      <c r="K21" s="174"/>
    </row>
    <row r="22" spans="1:17">
      <c r="A22" s="180"/>
      <c r="B22" s="14"/>
      <c r="C22" s="13"/>
      <c r="D22" s="102"/>
      <c r="E22" s="102"/>
      <c r="F22" s="102"/>
      <c r="G22" s="102"/>
      <c r="H22" s="102"/>
      <c r="I22" s="173"/>
      <c r="K22" s="174"/>
    </row>
    <row r="23" spans="1:17">
      <c r="A23" s="180"/>
      <c r="B23" s="14"/>
      <c r="C23" s="13"/>
      <c r="D23" s="102"/>
      <c r="E23" s="102"/>
      <c r="F23" s="102"/>
      <c r="G23" s="102"/>
      <c r="H23" s="102"/>
      <c r="I23" s="173"/>
      <c r="K23" s="174"/>
    </row>
    <row r="24" spans="1:17">
      <c r="A24" s="180"/>
      <c r="B24" s="14"/>
      <c r="C24" s="13"/>
      <c r="D24" s="102"/>
      <c r="E24" s="102"/>
      <c r="F24" s="102"/>
      <c r="G24" s="102"/>
      <c r="H24" s="102"/>
      <c r="I24" s="173"/>
      <c r="K24" s="174"/>
    </row>
    <row r="25" spans="1:17">
      <c r="A25" s="180"/>
      <c r="B25" s="14"/>
      <c r="C25" s="13"/>
      <c r="D25" s="102"/>
      <c r="E25" s="102"/>
      <c r="F25" s="102"/>
      <c r="G25" s="102"/>
      <c r="H25" s="102"/>
      <c r="I25" s="173"/>
      <c r="K25" s="174"/>
    </row>
    <row r="26" spans="1:17">
      <c r="A26" s="180"/>
      <c r="B26" s="14"/>
      <c r="C26" s="13"/>
      <c r="D26" s="102"/>
      <c r="E26" s="102"/>
      <c r="F26" s="102"/>
      <c r="G26" s="102"/>
      <c r="H26" s="102"/>
      <c r="I26" s="173"/>
      <c r="K26" s="174"/>
    </row>
    <row r="27" spans="1:17">
      <c r="A27" s="180"/>
      <c r="B27" s="14"/>
      <c r="C27" s="13"/>
      <c r="D27" s="102"/>
      <c r="E27" s="102"/>
      <c r="F27" s="102"/>
      <c r="G27" s="102"/>
      <c r="H27" s="102"/>
      <c r="I27" s="173"/>
      <c r="K27" s="174"/>
    </row>
    <row r="28" spans="1:17">
      <c r="A28" s="180"/>
      <c r="B28" s="14"/>
      <c r="C28" s="13"/>
      <c r="D28" s="640"/>
      <c r="E28" s="641"/>
      <c r="F28" s="642"/>
      <c r="G28" s="643"/>
      <c r="H28" s="642"/>
      <c r="I28" s="173"/>
      <c r="K28" s="174"/>
      <c r="M28" s="640"/>
      <c r="N28" s="641"/>
      <c r="O28" s="642"/>
      <c r="P28" s="643"/>
      <c r="Q28" s="642"/>
    </row>
    <row r="29" spans="1:17">
      <c r="A29" s="180"/>
      <c r="B29" s="14"/>
      <c r="C29" s="13"/>
      <c r="D29" s="640"/>
      <c r="E29" s="641"/>
      <c r="F29" s="642"/>
      <c r="G29" s="643"/>
      <c r="H29" s="642"/>
      <c r="I29" s="173"/>
      <c r="K29" s="174"/>
      <c r="M29" s="640"/>
      <c r="N29" s="641"/>
      <c r="O29" s="642"/>
      <c r="P29" s="643"/>
      <c r="Q29" s="642"/>
    </row>
    <row r="30" spans="1:17">
      <c r="A30" s="180"/>
      <c r="B30" s="14"/>
      <c r="C30" s="13"/>
      <c r="D30" s="640"/>
      <c r="E30" s="641"/>
      <c r="F30" s="642"/>
      <c r="G30" s="643"/>
      <c r="H30" s="642"/>
      <c r="I30" s="173"/>
      <c r="K30" s="174"/>
      <c r="M30" s="640"/>
      <c r="N30" s="641"/>
      <c r="O30" s="642"/>
      <c r="P30" s="643"/>
      <c r="Q30" s="642"/>
    </row>
    <row r="31" spans="1:17">
      <c r="A31" s="180"/>
      <c r="B31" s="14"/>
      <c r="C31" s="13"/>
      <c r="D31" s="640"/>
      <c r="E31" s="641"/>
      <c r="F31" s="642"/>
      <c r="G31" s="643"/>
      <c r="H31" s="642"/>
      <c r="I31" s="173"/>
      <c r="K31" s="174"/>
      <c r="M31" s="640"/>
      <c r="N31" s="641"/>
      <c r="O31" s="642"/>
      <c r="P31" s="643"/>
      <c r="Q31" s="642"/>
    </row>
    <row r="32" spans="1:17">
      <c r="A32" s="180"/>
      <c r="B32" s="14"/>
      <c r="C32" s="13"/>
      <c r="D32" s="640"/>
      <c r="E32" s="641"/>
      <c r="F32" s="642"/>
      <c r="G32" s="643"/>
      <c r="H32" s="642"/>
      <c r="I32" s="173"/>
      <c r="K32" s="174"/>
      <c r="M32" s="640"/>
      <c r="N32" s="641"/>
      <c r="O32" s="642"/>
      <c r="P32" s="643"/>
      <c r="Q32" s="642"/>
    </row>
    <row r="33" spans="1:17">
      <c r="A33" s="180"/>
      <c r="B33" s="14"/>
      <c r="C33" s="13"/>
      <c r="D33" s="640"/>
      <c r="E33" s="641"/>
      <c r="F33" s="642"/>
      <c r="G33" s="643"/>
      <c r="H33" s="642"/>
      <c r="I33" s="173"/>
      <c r="K33" s="174"/>
      <c r="M33" s="640"/>
      <c r="N33" s="641"/>
      <c r="O33" s="642"/>
      <c r="P33" s="643"/>
      <c r="Q33" s="642"/>
    </row>
    <row r="34" spans="1:17">
      <c r="A34" s="180"/>
      <c r="B34" s="14"/>
      <c r="C34" s="13"/>
      <c r="D34" s="640"/>
      <c r="E34" s="641"/>
      <c r="F34" s="642"/>
      <c r="G34" s="643"/>
      <c r="H34" s="642"/>
      <c r="I34" s="173"/>
      <c r="K34" s="174"/>
      <c r="M34" s="640"/>
      <c r="N34" s="641"/>
      <c r="O34" s="642"/>
      <c r="P34" s="643"/>
      <c r="Q34" s="642"/>
    </row>
    <row r="35" spans="1:17">
      <c r="A35" s="180"/>
      <c r="B35" s="14"/>
      <c r="C35" s="13"/>
      <c r="D35" s="640"/>
      <c r="E35" s="641"/>
      <c r="F35" s="642"/>
      <c r="G35" s="643"/>
      <c r="H35" s="642"/>
      <c r="I35" s="173"/>
      <c r="K35" s="174"/>
      <c r="M35" s="640"/>
      <c r="N35" s="641"/>
      <c r="O35" s="642"/>
      <c r="P35" s="643"/>
      <c r="Q35" s="642"/>
    </row>
    <row r="36" spans="1:17">
      <c r="A36" s="180"/>
      <c r="B36" s="14"/>
      <c r="C36" s="13"/>
      <c r="D36" s="640"/>
      <c r="E36" s="641"/>
      <c r="F36" s="642"/>
      <c r="G36" s="643"/>
      <c r="H36" s="642"/>
      <c r="I36" s="173"/>
      <c r="K36" s="174"/>
      <c r="M36" s="640"/>
      <c r="N36" s="641"/>
      <c r="O36" s="642"/>
      <c r="P36" s="643"/>
      <c r="Q36" s="642"/>
    </row>
    <row r="37" spans="1:17">
      <c r="A37" s="180"/>
      <c r="B37" s="14"/>
      <c r="C37" s="13"/>
      <c r="D37" s="640"/>
      <c r="E37" s="641"/>
      <c r="F37" s="642"/>
      <c r="G37" s="643"/>
      <c r="H37" s="642"/>
      <c r="I37" s="173"/>
      <c r="K37" s="174"/>
      <c r="M37" s="640"/>
      <c r="N37" s="641"/>
      <c r="O37" s="642"/>
      <c r="P37" s="643"/>
      <c r="Q37" s="642"/>
    </row>
    <row r="38" spans="1:17">
      <c r="A38" s="180"/>
      <c r="B38" s="14"/>
      <c r="C38" s="13"/>
      <c r="D38" s="640"/>
      <c r="E38" s="641"/>
      <c r="F38" s="642"/>
      <c r="G38" s="643"/>
      <c r="H38" s="642"/>
      <c r="I38" s="173"/>
      <c r="K38" s="174"/>
      <c r="M38" s="640"/>
      <c r="N38" s="641"/>
      <c r="O38" s="642"/>
      <c r="P38" s="643"/>
      <c r="Q38" s="642"/>
    </row>
    <row r="39" spans="1:17">
      <c r="A39" s="180"/>
      <c r="B39" s="14"/>
      <c r="C39" s="13"/>
      <c r="D39" s="640"/>
      <c r="E39" s="641"/>
      <c r="F39" s="642"/>
      <c r="G39" s="643"/>
      <c r="H39" s="642"/>
      <c r="I39" s="173"/>
      <c r="K39" s="174"/>
      <c r="M39" s="640"/>
      <c r="N39" s="641"/>
      <c r="O39" s="642"/>
      <c r="P39" s="643"/>
      <c r="Q39" s="642"/>
    </row>
    <row r="40" spans="1:17">
      <c r="A40" s="180"/>
      <c r="B40" s="14"/>
      <c r="C40" s="13"/>
      <c r="D40" s="640"/>
      <c r="E40" s="641"/>
      <c r="F40" s="642"/>
      <c r="G40" s="643"/>
      <c r="H40" s="642"/>
      <c r="I40" s="173"/>
      <c r="K40" s="174"/>
      <c r="M40" s="640"/>
      <c r="N40" s="641"/>
      <c r="O40" s="642"/>
      <c r="P40" s="643"/>
      <c r="Q40" s="642"/>
    </row>
    <row r="41" spans="1:17">
      <c r="A41" s="180"/>
      <c r="B41" s="14"/>
      <c r="C41" s="13"/>
      <c r="D41" s="640"/>
      <c r="E41" s="641"/>
      <c r="F41" s="642"/>
      <c r="G41" s="643"/>
      <c r="H41" s="642"/>
      <c r="I41" s="173"/>
      <c r="K41" s="174"/>
      <c r="M41" s="640"/>
      <c r="N41" s="641"/>
      <c r="O41" s="642"/>
      <c r="P41" s="643"/>
      <c r="Q41" s="642"/>
    </row>
    <row r="42" spans="1:17">
      <c r="A42" s="180"/>
      <c r="B42" s="14"/>
      <c r="C42" s="13"/>
      <c r="D42" s="640"/>
      <c r="E42" s="641"/>
      <c r="F42" s="642"/>
      <c r="G42" s="643"/>
      <c r="H42" s="642"/>
      <c r="I42" s="173"/>
      <c r="K42" s="174"/>
      <c r="M42" s="640"/>
      <c r="N42" s="641"/>
      <c r="O42" s="642"/>
      <c r="P42" s="643"/>
      <c r="Q42" s="642"/>
    </row>
    <row r="43" spans="1:17">
      <c r="A43" s="180"/>
      <c r="B43" s="14"/>
      <c r="C43" s="13"/>
      <c r="D43" s="640"/>
      <c r="E43" s="641"/>
      <c r="F43" s="642"/>
      <c r="G43" s="643"/>
      <c r="H43" s="642"/>
      <c r="I43" s="173"/>
      <c r="K43" s="174"/>
      <c r="M43" s="640"/>
      <c r="N43" s="641"/>
      <c r="O43" s="642"/>
      <c r="P43" s="643"/>
      <c r="Q43" s="642"/>
    </row>
    <row r="44" spans="1:17">
      <c r="A44" s="180"/>
      <c r="B44" s="14"/>
      <c r="C44" s="13"/>
      <c r="D44" s="640"/>
      <c r="E44" s="641"/>
      <c r="F44" s="642"/>
      <c r="G44" s="643"/>
      <c r="H44" s="642"/>
      <c r="I44" s="173"/>
      <c r="K44" s="174"/>
      <c r="M44" s="640"/>
      <c r="N44" s="641"/>
      <c r="O44" s="642"/>
      <c r="P44" s="643"/>
      <c r="Q44" s="642"/>
    </row>
    <row r="45" spans="1:17">
      <c r="A45" s="180"/>
      <c r="B45" s="14"/>
      <c r="C45" s="13"/>
      <c r="D45" s="640"/>
      <c r="E45" s="641"/>
      <c r="F45" s="642"/>
      <c r="G45" s="643"/>
      <c r="H45" s="642"/>
      <c r="I45" s="173"/>
      <c r="K45" s="174"/>
      <c r="M45" s="640"/>
      <c r="N45" s="641"/>
      <c r="O45" s="642"/>
      <c r="P45" s="643"/>
      <c r="Q45" s="642"/>
    </row>
    <row r="46" spans="1:17">
      <c r="A46" s="180"/>
      <c r="B46" s="14"/>
      <c r="C46" s="13"/>
      <c r="D46" s="640"/>
      <c r="E46" s="641"/>
      <c r="F46" s="642"/>
      <c r="G46" s="643"/>
      <c r="H46" s="642"/>
      <c r="I46" s="173"/>
      <c r="K46" s="174"/>
      <c r="M46" s="640"/>
      <c r="N46" s="641"/>
      <c r="O46" s="642"/>
      <c r="P46" s="643"/>
      <c r="Q46" s="642"/>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453125" style="144" customWidth="1"/>
    <col min="4" max="4" width="22.4531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145</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8" t="s">
        <v>111</v>
      </c>
      <c r="E13" s="532" t="s">
        <v>94</v>
      </c>
      <c r="F13" s="499" t="s">
        <v>113</v>
      </c>
      <c r="G13" s="500" t="s">
        <v>61</v>
      </c>
      <c r="H13" s="533" t="s">
        <v>114</v>
      </c>
      <c r="I13" s="173"/>
      <c r="K13" s="110"/>
      <c r="M13" s="214"/>
      <c r="N13" s="217"/>
      <c r="O13" s="215"/>
      <c r="P13" s="495"/>
      <c r="Q13" s="495"/>
    </row>
    <row r="14" spans="1:17" ht="13.5" customHeight="1">
      <c r="A14" s="180"/>
      <c r="B14" s="14"/>
      <c r="C14" s="13"/>
      <c r="D14" s="928" t="s">
        <v>62</v>
      </c>
      <c r="E14" s="610">
        <f>VLOOKUP(CONCATENATE("Insurance_",D14),Assets,3,0)</f>
        <v>223555691.99000001</v>
      </c>
      <c r="F14" s="611">
        <f>E14/$E$16</f>
        <v>0.43584948834144305</v>
      </c>
      <c r="G14" s="612">
        <f>VLOOKUP(CONCATENATE("Insurance_",D14),Assets,2,0)</f>
        <v>20107</v>
      </c>
      <c r="H14" s="613">
        <f>G14/$G$16</f>
        <v>0.47897758403011031</v>
      </c>
      <c r="I14" s="173"/>
      <c r="K14" s="174"/>
      <c r="M14" s="614"/>
      <c r="N14" s="615"/>
      <c r="O14" s="616"/>
      <c r="P14" s="617"/>
      <c r="Q14" s="616"/>
    </row>
    <row r="15" spans="1:17" ht="13" thickBot="1">
      <c r="A15" s="180"/>
      <c r="B15" s="14"/>
      <c r="C15" s="13"/>
      <c r="D15" s="929" t="s">
        <v>951</v>
      </c>
      <c r="E15" s="618">
        <f>VLOOKUP(CONCATENATE("Insurance_",D15),Assets,3,0)</f>
        <v>289363785.88000089</v>
      </c>
      <c r="F15" s="611">
        <f>E15/$E$16</f>
        <v>0.56415051165855701</v>
      </c>
      <c r="G15" s="619">
        <f>VLOOKUP(CONCATENATE("Insurance_",D15),Assets,2,0)</f>
        <v>21872</v>
      </c>
      <c r="H15" s="613">
        <f>G15/$G$16</f>
        <v>0.52102241596988974</v>
      </c>
      <c r="I15" s="173"/>
      <c r="K15" s="174"/>
      <c r="M15" s="614"/>
      <c r="N15" s="615"/>
      <c r="O15" s="616"/>
      <c r="P15" s="617"/>
      <c r="Q15" s="616"/>
    </row>
    <row r="16" spans="1:17" ht="14" thickTop="1" thickBot="1">
      <c r="A16" s="180"/>
      <c r="B16" s="14"/>
      <c r="C16" s="13"/>
      <c r="D16" s="591" t="s">
        <v>36</v>
      </c>
      <c r="E16" s="592">
        <f>SUM(E14:E15)</f>
        <v>512919477.8700009</v>
      </c>
      <c r="F16" s="593">
        <f>SUM(F14:F15)</f>
        <v>1</v>
      </c>
      <c r="G16" s="594">
        <f>SUM(G14:G15)</f>
        <v>41979</v>
      </c>
      <c r="H16" s="595">
        <f>SUM(H14:H15)</f>
        <v>1</v>
      </c>
      <c r="I16" s="173"/>
      <c r="K16" s="174"/>
      <c r="M16" s="596"/>
      <c r="N16" s="597"/>
      <c r="O16" s="598"/>
      <c r="P16" s="599"/>
      <c r="Q16" s="598"/>
    </row>
    <row r="17" spans="1:17">
      <c r="A17" s="180"/>
      <c r="B17" s="14"/>
      <c r="C17" s="13"/>
      <c r="D17" s="620"/>
      <c r="E17" s="621"/>
      <c r="F17" s="622"/>
      <c r="G17" s="623"/>
      <c r="H17" s="622"/>
      <c r="I17" s="173"/>
      <c r="K17" s="174"/>
      <c r="M17" s="200"/>
      <c r="N17" s="201"/>
      <c r="O17" s="624"/>
      <c r="P17" s="203"/>
      <c r="Q17" s="624"/>
    </row>
    <row r="18" spans="1:17">
      <c r="A18" s="180"/>
      <c r="B18" s="14"/>
      <c r="C18" s="13"/>
      <c r="D18" s="620"/>
      <c r="E18" s="621"/>
      <c r="F18" s="622"/>
      <c r="G18" s="623"/>
      <c r="H18" s="622"/>
      <c r="I18" s="173"/>
      <c r="K18" s="174"/>
      <c r="M18" s="200"/>
      <c r="N18" s="201"/>
      <c r="O18" s="624"/>
      <c r="P18" s="203"/>
      <c r="Q18" s="624"/>
    </row>
    <row r="19" spans="1:17">
      <c r="A19" s="180"/>
      <c r="B19" s="14"/>
      <c r="C19" s="13"/>
      <c r="D19" s="620"/>
      <c r="E19" s="621"/>
      <c r="F19" s="622"/>
      <c r="G19" s="623"/>
      <c r="H19" s="622"/>
      <c r="I19" s="173"/>
      <c r="K19" s="174"/>
      <c r="M19" s="200"/>
      <c r="N19" s="201"/>
      <c r="O19" s="624"/>
      <c r="P19" s="203"/>
      <c r="Q19" s="624"/>
    </row>
    <row r="20" spans="1:17">
      <c r="A20" s="180"/>
      <c r="B20" s="14"/>
      <c r="C20" s="13"/>
      <c r="D20" s="620"/>
      <c r="E20" s="621"/>
      <c r="F20" s="622"/>
      <c r="G20" s="623"/>
      <c r="H20" s="622"/>
      <c r="I20" s="173"/>
      <c r="K20" s="174"/>
      <c r="M20" s="200"/>
      <c r="N20" s="201"/>
      <c r="O20" s="624"/>
      <c r="P20" s="203"/>
      <c r="Q20" s="624"/>
    </row>
    <row r="21" spans="1:17">
      <c r="A21" s="180"/>
      <c r="B21" s="14"/>
      <c r="C21" s="13"/>
      <c r="D21" s="620"/>
      <c r="E21" s="621"/>
      <c r="F21" s="622"/>
      <c r="G21" s="623"/>
      <c r="H21" s="622"/>
      <c r="I21" s="173"/>
      <c r="K21" s="174"/>
      <c r="M21" s="200"/>
      <c r="N21" s="201"/>
      <c r="O21" s="624"/>
      <c r="P21" s="203"/>
      <c r="Q21" s="624"/>
    </row>
    <row r="22" spans="1:17">
      <c r="A22" s="180"/>
      <c r="B22" s="14"/>
      <c r="C22" s="13"/>
      <c r="D22" s="620"/>
      <c r="E22" s="621"/>
      <c r="F22" s="622"/>
      <c r="G22" s="623"/>
      <c r="H22" s="622"/>
      <c r="I22" s="173"/>
      <c r="K22" s="174"/>
      <c r="M22" s="200"/>
      <c r="N22" s="201"/>
      <c r="O22" s="624"/>
      <c r="P22" s="203"/>
      <c r="Q22" s="624"/>
    </row>
    <row r="23" spans="1:17">
      <c r="A23" s="180"/>
      <c r="B23" s="14"/>
      <c r="C23" s="13"/>
      <c r="D23" s="620"/>
      <c r="E23" s="621"/>
      <c r="F23" s="622"/>
      <c r="G23" s="623"/>
      <c r="H23" s="622"/>
      <c r="I23" s="173"/>
      <c r="K23" s="174"/>
      <c r="M23" s="200"/>
      <c r="N23" s="201"/>
      <c r="O23" s="624"/>
      <c r="P23" s="203"/>
      <c r="Q23" s="624"/>
    </row>
    <row r="24" spans="1:17">
      <c r="A24" s="180"/>
      <c r="B24" s="14"/>
      <c r="C24" s="13"/>
      <c r="D24" s="620"/>
      <c r="E24" s="621"/>
      <c r="F24" s="622"/>
      <c r="G24" s="623"/>
      <c r="H24" s="622"/>
      <c r="I24" s="173"/>
      <c r="K24" s="174"/>
      <c r="M24" s="200"/>
      <c r="N24" s="201"/>
      <c r="O24" s="624"/>
      <c r="P24" s="203"/>
      <c r="Q24" s="624"/>
    </row>
    <row r="25" spans="1:17">
      <c r="A25" s="180"/>
      <c r="B25" s="14"/>
      <c r="C25" s="13"/>
      <c r="D25" s="625"/>
      <c r="E25" s="626"/>
      <c r="F25" s="627"/>
      <c r="G25" s="628"/>
      <c r="H25" s="627"/>
      <c r="I25" s="173"/>
      <c r="K25" s="174"/>
      <c r="M25" s="625"/>
      <c r="N25" s="626"/>
      <c r="O25" s="627"/>
      <c r="P25" s="628"/>
      <c r="Q25" s="627"/>
    </row>
    <row r="26" spans="1:17">
      <c r="A26" s="180"/>
      <c r="B26" s="14"/>
      <c r="C26" s="13"/>
      <c r="D26" s="625"/>
      <c r="E26" s="626"/>
      <c r="F26" s="627"/>
      <c r="G26" s="628"/>
      <c r="H26" s="627"/>
      <c r="I26" s="173"/>
      <c r="K26" s="174"/>
      <c r="M26" s="625"/>
      <c r="N26" s="626"/>
      <c r="O26" s="627"/>
      <c r="P26" s="628"/>
      <c r="Q26" s="627"/>
    </row>
    <row r="27" spans="1:17">
      <c r="A27" s="180"/>
      <c r="B27" s="14"/>
      <c r="C27" s="13"/>
      <c r="D27" s="625"/>
      <c r="E27" s="626"/>
      <c r="F27" s="627"/>
      <c r="G27" s="628"/>
      <c r="H27" s="627"/>
      <c r="I27" s="173"/>
      <c r="K27" s="174"/>
      <c r="M27" s="625"/>
      <c r="N27" s="626"/>
      <c r="O27" s="627"/>
      <c r="P27" s="628"/>
      <c r="Q27" s="627"/>
    </row>
    <row r="28" spans="1:17">
      <c r="A28" s="180"/>
      <c r="B28" s="14"/>
      <c r="C28" s="13"/>
      <c r="D28" s="625"/>
      <c r="E28" s="626"/>
      <c r="F28" s="627"/>
      <c r="G28" s="628"/>
      <c r="H28" s="627"/>
      <c r="I28" s="173"/>
      <c r="K28" s="174"/>
      <c r="M28" s="625"/>
      <c r="N28" s="626"/>
      <c r="O28" s="627"/>
      <c r="P28" s="628"/>
      <c r="Q28" s="627"/>
    </row>
    <row r="29" spans="1:17">
      <c r="A29" s="180"/>
      <c r="B29" s="14"/>
      <c r="C29" s="13"/>
      <c r="D29" s="625"/>
      <c r="E29" s="626"/>
      <c r="F29" s="627"/>
      <c r="G29" s="628"/>
      <c r="H29" s="627"/>
      <c r="I29" s="173"/>
      <c r="K29" s="174"/>
      <c r="M29" s="625"/>
      <c r="N29" s="626"/>
      <c r="O29" s="627"/>
      <c r="P29" s="628"/>
      <c r="Q29" s="627"/>
    </row>
    <row r="30" spans="1:17">
      <c r="A30" s="180"/>
      <c r="B30" s="14"/>
      <c r="C30" s="13"/>
      <c r="D30" s="625"/>
      <c r="E30" s="626"/>
      <c r="F30" s="627"/>
      <c r="G30" s="628"/>
      <c r="H30" s="627"/>
      <c r="I30" s="173"/>
      <c r="K30" s="174"/>
      <c r="M30" s="625"/>
      <c r="N30" s="626"/>
      <c r="O30" s="627"/>
      <c r="P30" s="628"/>
      <c r="Q30" s="627"/>
    </row>
    <row r="31" spans="1:17">
      <c r="A31" s="180"/>
      <c r="B31" s="14"/>
      <c r="C31" s="13"/>
      <c r="D31" s="625"/>
      <c r="E31" s="626"/>
      <c r="F31" s="627"/>
      <c r="G31" s="628"/>
      <c r="H31" s="627"/>
      <c r="I31" s="173"/>
      <c r="K31" s="174"/>
      <c r="M31" s="625"/>
      <c r="N31" s="626"/>
      <c r="O31" s="627"/>
      <c r="P31" s="628"/>
      <c r="Q31" s="627"/>
    </row>
    <row r="32" spans="1:17">
      <c r="A32" s="180"/>
      <c r="B32" s="14"/>
      <c r="C32" s="13"/>
      <c r="D32" s="625"/>
      <c r="E32" s="626"/>
      <c r="F32" s="627"/>
      <c r="G32" s="628"/>
      <c r="H32" s="627"/>
      <c r="I32" s="173"/>
      <c r="K32" s="174"/>
      <c r="M32" s="625"/>
      <c r="N32" s="626"/>
      <c r="O32" s="627"/>
      <c r="P32" s="628"/>
      <c r="Q32" s="627"/>
    </row>
    <row r="33" spans="1:17">
      <c r="A33" s="180"/>
      <c r="B33" s="14"/>
      <c r="C33" s="13"/>
      <c r="D33" s="625"/>
      <c r="E33" s="626"/>
      <c r="F33" s="627"/>
      <c r="G33" s="628"/>
      <c r="H33" s="627"/>
      <c r="I33" s="173"/>
      <c r="K33" s="174"/>
      <c r="M33" s="625"/>
      <c r="N33" s="626"/>
      <c r="O33" s="627"/>
      <c r="P33" s="628"/>
      <c r="Q33" s="627"/>
    </row>
    <row r="34" spans="1:17">
      <c r="A34" s="180"/>
      <c r="B34" s="14"/>
      <c r="C34" s="13"/>
      <c r="D34" s="625"/>
      <c r="E34" s="626"/>
      <c r="F34" s="627"/>
      <c r="G34" s="628"/>
      <c r="H34" s="627"/>
      <c r="I34" s="173"/>
      <c r="K34" s="174"/>
      <c r="M34" s="625"/>
      <c r="N34" s="626"/>
      <c r="O34" s="627"/>
      <c r="P34" s="628"/>
      <c r="Q34" s="627"/>
    </row>
    <row r="35" spans="1:17">
      <c r="A35" s="180"/>
      <c r="B35" s="14"/>
      <c r="C35" s="13"/>
      <c r="D35" s="625"/>
      <c r="E35" s="626"/>
      <c r="F35" s="627"/>
      <c r="G35" s="628"/>
      <c r="H35" s="627"/>
      <c r="I35" s="173"/>
      <c r="K35" s="174"/>
      <c r="M35" s="625"/>
      <c r="N35" s="626"/>
      <c r="O35" s="627"/>
      <c r="P35" s="628"/>
      <c r="Q35" s="627"/>
    </row>
    <row r="36" spans="1:17">
      <c r="A36" s="180"/>
      <c r="B36" s="14"/>
      <c r="C36" s="13"/>
      <c r="D36" s="625"/>
      <c r="E36" s="626"/>
      <c r="F36" s="627"/>
      <c r="G36" s="628"/>
      <c r="H36" s="627"/>
      <c r="I36" s="173"/>
      <c r="K36" s="174"/>
      <c r="M36" s="625"/>
      <c r="N36" s="626"/>
      <c r="O36" s="627"/>
      <c r="P36" s="628"/>
      <c r="Q36" s="627"/>
    </row>
    <row r="37" spans="1:17">
      <c r="A37" s="180"/>
      <c r="B37" s="14"/>
      <c r="C37" s="13"/>
      <c r="D37" s="625"/>
      <c r="E37" s="626"/>
      <c r="F37" s="627"/>
      <c r="G37" s="628"/>
      <c r="H37" s="627"/>
      <c r="I37" s="173"/>
      <c r="K37" s="174"/>
      <c r="M37" s="625"/>
      <c r="N37" s="626"/>
      <c r="O37" s="627"/>
      <c r="P37" s="628"/>
      <c r="Q37" s="627"/>
    </row>
    <row r="38" spans="1:17">
      <c r="A38" s="180"/>
      <c r="B38" s="14"/>
      <c r="C38" s="13"/>
      <c r="D38" s="625"/>
      <c r="E38" s="626"/>
      <c r="F38" s="627"/>
      <c r="G38" s="628"/>
      <c r="H38" s="627"/>
      <c r="I38" s="173"/>
      <c r="K38" s="174"/>
      <c r="M38" s="625"/>
      <c r="N38" s="626"/>
      <c r="O38" s="627"/>
      <c r="P38" s="628"/>
      <c r="Q38" s="627"/>
    </row>
    <row r="39" spans="1:17">
      <c r="A39" s="180"/>
      <c r="B39" s="14"/>
      <c r="C39" s="13"/>
      <c r="D39" s="625"/>
      <c r="E39" s="626"/>
      <c r="F39" s="627"/>
      <c r="G39" s="628"/>
      <c r="H39" s="627"/>
      <c r="I39" s="173"/>
      <c r="K39" s="174"/>
      <c r="M39" s="625"/>
      <c r="N39" s="626"/>
      <c r="O39" s="627"/>
      <c r="P39" s="628"/>
      <c r="Q39" s="627"/>
    </row>
    <row r="40" spans="1:17">
      <c r="A40" s="180"/>
      <c r="B40" s="14"/>
      <c r="C40" s="13"/>
      <c r="D40" s="625"/>
      <c r="E40" s="626"/>
      <c r="F40" s="627"/>
      <c r="G40" s="628"/>
      <c r="H40" s="627"/>
      <c r="I40" s="173"/>
      <c r="K40" s="174"/>
      <c r="M40" s="625"/>
      <c r="N40" s="626"/>
      <c r="O40" s="627"/>
      <c r="P40" s="628"/>
      <c r="Q40" s="627"/>
    </row>
    <row r="41" spans="1:17">
      <c r="A41" s="180"/>
      <c r="B41" s="14"/>
      <c r="C41" s="13"/>
      <c r="D41" s="625"/>
      <c r="E41" s="626"/>
      <c r="F41" s="627"/>
      <c r="G41" s="628"/>
      <c r="H41" s="627"/>
      <c r="I41" s="173"/>
      <c r="K41" s="174"/>
      <c r="M41" s="625"/>
      <c r="N41" s="626"/>
      <c r="O41" s="627"/>
      <c r="P41" s="628"/>
      <c r="Q41" s="627"/>
    </row>
    <row r="42" spans="1:17">
      <c r="A42" s="180"/>
      <c r="B42" s="14"/>
      <c r="C42" s="13"/>
      <c r="D42" s="625"/>
      <c r="E42" s="626"/>
      <c r="F42" s="627"/>
      <c r="G42" s="628"/>
      <c r="H42" s="627"/>
      <c r="I42" s="173"/>
      <c r="K42" s="174"/>
      <c r="M42" s="625"/>
      <c r="N42" s="626"/>
      <c r="O42" s="627"/>
      <c r="P42" s="628"/>
      <c r="Q42" s="627"/>
    </row>
    <row r="43" spans="1:17">
      <c r="A43" s="180"/>
      <c r="B43" s="14"/>
      <c r="C43" s="13"/>
      <c r="D43" s="625"/>
      <c r="E43" s="626"/>
      <c r="F43" s="627"/>
      <c r="G43" s="628"/>
      <c r="H43" s="627"/>
      <c r="I43" s="173"/>
      <c r="K43" s="174"/>
      <c r="M43" s="625"/>
      <c r="N43" s="626"/>
      <c r="O43" s="627"/>
      <c r="P43" s="628"/>
      <c r="Q43" s="627"/>
    </row>
    <row r="44" spans="1:17">
      <c r="A44" s="180"/>
      <c r="B44" s="14"/>
      <c r="C44" s="13"/>
      <c r="D44" s="625"/>
      <c r="E44" s="626"/>
      <c r="F44" s="627"/>
      <c r="G44" s="628"/>
      <c r="H44" s="627"/>
      <c r="I44" s="173"/>
      <c r="K44" s="174"/>
      <c r="M44" s="625"/>
      <c r="N44" s="626"/>
      <c r="O44" s="627"/>
      <c r="P44" s="628"/>
      <c r="Q44" s="627"/>
    </row>
    <row r="45" spans="1:17">
      <c r="A45" s="180"/>
      <c r="B45" s="14"/>
      <c r="C45" s="13"/>
      <c r="D45" s="625"/>
      <c r="E45" s="626"/>
      <c r="F45" s="627"/>
      <c r="G45" s="628"/>
      <c r="H45" s="627"/>
      <c r="I45" s="173"/>
      <c r="K45" s="174"/>
      <c r="M45" s="625"/>
      <c r="N45" s="626"/>
      <c r="O45" s="627"/>
      <c r="P45" s="628"/>
      <c r="Q45" s="627"/>
    </row>
    <row r="46" spans="1:17">
      <c r="A46" s="180"/>
      <c r="B46" s="14"/>
      <c r="C46" s="13"/>
      <c r="D46" s="625"/>
      <c r="E46" s="626"/>
      <c r="F46" s="627"/>
      <c r="G46" s="628"/>
      <c r="H46" s="627"/>
      <c r="I46" s="173"/>
      <c r="K46" s="174"/>
      <c r="M46" s="625"/>
      <c r="N46" s="626"/>
      <c r="O46" s="627"/>
      <c r="P46" s="628"/>
      <c r="Q46" s="62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44" bestFit="1" customWidth="1"/>
    <col min="4" max="4" width="18.81640625" style="102" customWidth="1"/>
    <col min="5" max="5" width="4.81640625" style="102" customWidth="1"/>
    <col min="6" max="6" width="18.81640625" style="102" customWidth="1"/>
    <col min="7" max="7" width="4.81640625" style="102" customWidth="1"/>
    <col min="8" max="8" width="18.81640625" style="102" customWidth="1"/>
    <col min="9" max="9" width="4.81640625" style="102" customWidth="1"/>
    <col min="10" max="10" width="18.81640625" style="102" customWidth="1"/>
    <col min="11" max="11" width="1.1796875" style="102" customWidth="1"/>
    <col min="12" max="16384" width="9.1796875" style="102"/>
  </cols>
  <sheetData>
    <row r="1" spans="1:13" ht="6" customHeight="1">
      <c r="A1" s="99"/>
      <c r="B1" s="100"/>
      <c r="C1" s="49"/>
      <c r="D1" s="100"/>
      <c r="E1" s="100"/>
      <c r="F1" s="100"/>
      <c r="G1" s="100"/>
      <c r="H1" s="100"/>
      <c r="I1" s="100"/>
      <c r="J1" s="100"/>
      <c r="K1" s="101"/>
    </row>
    <row r="2" spans="1:13" ht="18" customHeight="1">
      <c r="A2" s="103"/>
      <c r="B2" s="104" t="s">
        <v>572</v>
      </c>
      <c r="C2" s="105"/>
      <c r="D2" s="106" t="s">
        <v>416</v>
      </c>
      <c r="E2" s="107"/>
      <c r="F2" s="108">
        <f>VLOOKUP("Calculation_Date",calcdata_22,3,FALSE)</f>
        <v>45848</v>
      </c>
      <c r="G2" s="107"/>
      <c r="H2" s="107"/>
      <c r="I2" s="107"/>
      <c r="J2" s="109"/>
      <c r="K2" s="110"/>
    </row>
    <row r="3" spans="1:13" ht="18" customHeight="1">
      <c r="A3" s="103"/>
      <c r="B3" s="104" t="s">
        <v>0</v>
      </c>
      <c r="C3" s="111"/>
      <c r="D3" s="112" t="s">
        <v>2</v>
      </c>
      <c r="E3" s="113"/>
      <c r="F3" s="114">
        <f>VLOOKUP("Payment_Date",calcdata_22,3,FALSE)</f>
        <v>45852</v>
      </c>
      <c r="G3" s="113"/>
      <c r="H3" s="113"/>
      <c r="I3" s="113"/>
      <c r="J3" s="115"/>
      <c r="K3" s="110"/>
    </row>
    <row r="4" spans="1:13" ht="12.75" customHeight="1">
      <c r="A4" s="103"/>
      <c r="B4" s="116"/>
      <c r="C4" s="111"/>
      <c r="D4" s="112" t="s">
        <v>3</v>
      </c>
      <c r="E4" s="113"/>
      <c r="F4" s="117">
        <f>VLOOKUP("Period",calcdata_22,2,FALSE)</f>
        <v>33</v>
      </c>
      <c r="G4" s="113"/>
      <c r="H4" s="118"/>
      <c r="I4" s="113"/>
      <c r="J4" s="119"/>
      <c r="K4" s="110"/>
    </row>
    <row r="5" spans="1:13" ht="18" customHeight="1">
      <c r="A5" s="103"/>
      <c r="B5" s="120" t="s">
        <v>33</v>
      </c>
      <c r="C5" s="111"/>
      <c r="D5" s="112" t="s">
        <v>1</v>
      </c>
      <c r="E5" s="113"/>
      <c r="F5" s="121">
        <f>VLOOKUP("Monthly_Period",calcdata_22,3,FALSE)</f>
        <v>45852</v>
      </c>
      <c r="G5" s="113"/>
      <c r="H5" s="118"/>
      <c r="I5" s="113"/>
      <c r="J5" s="119"/>
      <c r="K5" s="110"/>
    </row>
    <row r="6" spans="1:13" ht="15" customHeight="1">
      <c r="A6" s="103"/>
      <c r="B6" s="122"/>
      <c r="C6" s="111"/>
      <c r="D6" s="112" t="s">
        <v>50</v>
      </c>
      <c r="E6" s="123" t="s">
        <v>34</v>
      </c>
      <c r="F6" s="114">
        <f>VLOOKUP("Interest_Period_from",calcdata_22,3,FALSE)</f>
        <v>45824</v>
      </c>
      <c r="G6" s="123" t="s">
        <v>4</v>
      </c>
      <c r="H6" s="114">
        <f>F3</f>
        <v>45852</v>
      </c>
      <c r="I6" s="123" t="s">
        <v>15</v>
      </c>
      <c r="J6" s="124" t="str">
        <f>H6-F6&amp;" days"</f>
        <v>28 days</v>
      </c>
      <c r="K6" s="125"/>
      <c r="M6" s="126"/>
    </row>
    <row r="7" spans="1:13">
      <c r="A7" s="103"/>
      <c r="B7" s="105"/>
      <c r="C7" s="105"/>
      <c r="D7" s="127" t="s">
        <v>110</v>
      </c>
      <c r="E7" s="128" t="s">
        <v>34</v>
      </c>
      <c r="F7" s="129" t="str">
        <f>"01."&amp;TEXT(F6,"MM.jjjj")</f>
        <v>01.06.2025</v>
      </c>
      <c r="G7" s="128" t="s">
        <v>4</v>
      </c>
      <c r="H7" s="129">
        <f>EOMONTH(F6,0)</f>
        <v>45838</v>
      </c>
      <c r="I7" s="130"/>
      <c r="J7" s="131"/>
      <c r="K7" s="110"/>
    </row>
    <row r="8" spans="1:13" ht="13">
      <c r="A8" s="103"/>
      <c r="B8" s="105"/>
      <c r="C8" s="105"/>
      <c r="D8" s="105"/>
      <c r="E8" s="132"/>
      <c r="F8" s="133"/>
      <c r="G8" s="134"/>
      <c r="H8" s="105"/>
      <c r="I8" s="105"/>
      <c r="J8" s="105"/>
      <c r="K8" s="110"/>
    </row>
    <row r="9" spans="1:13" ht="13">
      <c r="A9" s="103"/>
      <c r="B9" s="105"/>
      <c r="C9" s="105"/>
      <c r="D9" s="105"/>
      <c r="E9" s="132"/>
      <c r="F9" s="133"/>
      <c r="G9" s="134"/>
      <c r="H9" s="105"/>
      <c r="I9" s="105"/>
      <c r="J9" s="105"/>
      <c r="K9" s="110"/>
    </row>
    <row r="10" spans="1:13" ht="13">
      <c r="A10" s="103"/>
      <c r="B10" s="105"/>
      <c r="C10" s="102"/>
      <c r="D10" s="105"/>
      <c r="E10" s="132"/>
      <c r="F10" s="133"/>
      <c r="G10" s="134"/>
      <c r="H10" s="105"/>
      <c r="I10" s="105"/>
      <c r="J10" s="105"/>
      <c r="K10" s="110"/>
    </row>
    <row r="11" spans="1:13" ht="18" customHeight="1">
      <c r="A11" s="103"/>
      <c r="B11" s="105"/>
      <c r="C11" s="102"/>
      <c r="D11" s="105"/>
      <c r="E11" s="132"/>
      <c r="F11" s="133"/>
      <c r="G11" s="134"/>
      <c r="H11" s="105"/>
      <c r="I11" s="105"/>
      <c r="J11" s="105"/>
      <c r="K11" s="110"/>
    </row>
    <row r="12" spans="1:13">
      <c r="A12" s="103"/>
      <c r="B12" s="105"/>
      <c r="C12" s="102"/>
      <c r="D12" s="105"/>
      <c r="E12" s="105"/>
      <c r="F12" s="105"/>
      <c r="G12" s="105"/>
      <c r="H12" s="105"/>
      <c r="I12" s="105"/>
      <c r="J12" s="105"/>
      <c r="K12" s="110"/>
    </row>
    <row r="13" spans="1:13" ht="18">
      <c r="A13" s="103"/>
      <c r="B13" s="104" t="s">
        <v>51</v>
      </c>
      <c r="C13" s="135" t="s">
        <v>58</v>
      </c>
      <c r="D13" s="136"/>
      <c r="E13" s="136"/>
      <c r="F13" s="105"/>
      <c r="G13" s="105"/>
      <c r="H13" s="105"/>
      <c r="I13" s="105"/>
      <c r="J13" s="137"/>
      <c r="K13" s="110"/>
    </row>
    <row r="14" spans="1:13">
      <c r="A14" s="103"/>
      <c r="B14" s="105"/>
      <c r="C14" s="138"/>
      <c r="D14" s="105"/>
      <c r="E14" s="139"/>
      <c r="F14" s="105"/>
      <c r="G14" s="105"/>
      <c r="H14" s="105"/>
      <c r="I14" s="105"/>
      <c r="J14" s="105"/>
      <c r="K14" s="110"/>
    </row>
    <row r="15" spans="1:13" ht="15" customHeight="1">
      <c r="A15" s="103"/>
      <c r="B15" s="105" t="s">
        <v>48</v>
      </c>
      <c r="C15" s="140">
        <v>1</v>
      </c>
      <c r="D15" s="21"/>
      <c r="E15" s="139"/>
      <c r="F15" s="105"/>
      <c r="G15" s="105"/>
      <c r="H15" s="105"/>
      <c r="I15" s="105"/>
      <c r="J15" s="105"/>
      <c r="K15" s="110"/>
    </row>
    <row r="16" spans="1:13" ht="15" customHeight="1">
      <c r="A16" s="103"/>
      <c r="B16" s="105" t="s">
        <v>372</v>
      </c>
      <c r="C16" s="140">
        <v>2</v>
      </c>
      <c r="D16" s="970"/>
      <c r="E16" s="139"/>
      <c r="F16" s="105"/>
      <c r="G16" s="105"/>
      <c r="H16" s="105"/>
      <c r="I16" s="105"/>
      <c r="J16" s="105"/>
      <c r="K16" s="110"/>
    </row>
    <row r="17" spans="1:11" ht="15" customHeight="1">
      <c r="A17" s="103"/>
      <c r="B17" s="105" t="s">
        <v>49</v>
      </c>
      <c r="C17" s="140">
        <v>3</v>
      </c>
      <c r="E17" s="105"/>
      <c r="F17" s="105"/>
      <c r="G17" s="105"/>
      <c r="H17" s="105"/>
      <c r="I17" s="105"/>
      <c r="J17" s="21"/>
      <c r="K17" s="110"/>
    </row>
    <row r="18" spans="1:11" ht="15" customHeight="1">
      <c r="A18" s="103"/>
      <c r="B18" s="105" t="s">
        <v>237</v>
      </c>
      <c r="C18" s="140">
        <v>4</v>
      </c>
      <c r="D18" s="971"/>
      <c r="E18" s="105"/>
      <c r="F18" s="105"/>
      <c r="G18" s="105"/>
      <c r="H18" s="105"/>
      <c r="I18" s="105"/>
      <c r="J18" s="137"/>
      <c r="K18" s="110"/>
    </row>
    <row r="19" spans="1:11" ht="15" customHeight="1">
      <c r="A19" s="103"/>
      <c r="B19" s="141" t="s">
        <v>238</v>
      </c>
      <c r="C19" s="140">
        <v>5</v>
      </c>
      <c r="D19" s="971"/>
      <c r="E19" s="105"/>
      <c r="F19" s="105"/>
      <c r="G19" s="105"/>
      <c r="H19" s="105"/>
      <c r="I19" s="105"/>
      <c r="J19" s="137"/>
      <c r="K19" s="110"/>
    </row>
    <row r="20" spans="1:11" ht="15" customHeight="1">
      <c r="A20" s="103"/>
      <c r="B20" s="141" t="s">
        <v>373</v>
      </c>
      <c r="C20" s="140">
        <v>6</v>
      </c>
      <c r="D20" s="971"/>
      <c r="E20" s="105"/>
      <c r="F20" s="105"/>
      <c r="G20" s="105"/>
      <c r="H20" s="105"/>
      <c r="I20" s="105"/>
      <c r="J20" s="137"/>
      <c r="K20" s="110"/>
    </row>
    <row r="21" spans="1:11" ht="15" customHeight="1">
      <c r="A21" s="103"/>
      <c r="B21" s="105" t="s">
        <v>116</v>
      </c>
      <c r="C21" s="140">
        <v>7</v>
      </c>
      <c r="E21" s="105"/>
      <c r="F21" s="105"/>
      <c r="G21" s="105"/>
      <c r="H21" s="105"/>
      <c r="I21" s="105"/>
      <c r="J21" s="137"/>
      <c r="K21" s="110"/>
    </row>
    <row r="22" spans="1:11" ht="15" customHeight="1">
      <c r="A22" s="103"/>
      <c r="B22" s="105" t="s">
        <v>117</v>
      </c>
      <c r="C22" s="140">
        <v>8</v>
      </c>
      <c r="D22" s="972"/>
      <c r="E22" s="139"/>
      <c r="F22" s="105"/>
      <c r="G22" s="105"/>
      <c r="H22" s="105"/>
      <c r="I22" s="105"/>
      <c r="J22" s="142"/>
      <c r="K22" s="110"/>
    </row>
    <row r="23" spans="1:11" ht="15" customHeight="1">
      <c r="A23" s="103"/>
      <c r="B23" s="105" t="s">
        <v>118</v>
      </c>
      <c r="C23" s="140">
        <v>9</v>
      </c>
      <c r="D23" s="21"/>
      <c r="E23" s="139"/>
      <c r="F23" s="105"/>
      <c r="G23" s="105"/>
      <c r="H23" s="105"/>
      <c r="I23" s="105"/>
      <c r="J23" s="143"/>
      <c r="K23" s="110"/>
    </row>
    <row r="24" spans="1:11" ht="15" customHeight="1">
      <c r="A24" s="103"/>
      <c r="B24" s="105" t="s">
        <v>119</v>
      </c>
      <c r="C24" s="140">
        <v>10</v>
      </c>
      <c r="D24" s="21"/>
      <c r="E24" s="139"/>
      <c r="F24" s="105"/>
      <c r="G24" s="105"/>
      <c r="H24" s="105"/>
      <c r="I24" s="105"/>
      <c r="J24" s="143"/>
      <c r="K24" s="110"/>
    </row>
    <row r="25" spans="1:11" ht="15" customHeight="1">
      <c r="A25" s="103"/>
      <c r="B25" s="105" t="s">
        <v>120</v>
      </c>
      <c r="C25" s="140">
        <v>11</v>
      </c>
      <c r="D25" s="21"/>
      <c r="E25" s="139"/>
      <c r="F25" s="105"/>
      <c r="G25" s="105"/>
      <c r="H25" s="105"/>
      <c r="I25" s="105"/>
      <c r="J25" s="143"/>
      <c r="K25" s="110"/>
    </row>
    <row r="26" spans="1:11" ht="15" customHeight="1">
      <c r="A26" s="103"/>
      <c r="B26" s="105" t="s">
        <v>121</v>
      </c>
      <c r="C26" s="140">
        <v>12</v>
      </c>
      <c r="D26" s="21"/>
      <c r="E26" s="139"/>
      <c r="F26" s="105"/>
      <c r="G26" s="105"/>
      <c r="H26" s="105"/>
      <c r="I26" s="105"/>
      <c r="J26" s="143"/>
      <c r="K26" s="110"/>
    </row>
    <row r="27" spans="1:11" ht="15" customHeight="1">
      <c r="A27" s="103"/>
      <c r="B27" s="105" t="s">
        <v>122</v>
      </c>
      <c r="C27" s="140">
        <v>13</v>
      </c>
      <c r="D27" s="21"/>
      <c r="E27" s="139"/>
      <c r="F27" s="105"/>
      <c r="G27" s="105"/>
      <c r="H27" s="105"/>
      <c r="I27" s="105"/>
      <c r="J27" s="143"/>
      <c r="K27" s="110"/>
    </row>
    <row r="28" spans="1:11" ht="15" customHeight="1">
      <c r="A28" s="103"/>
      <c r="B28" s="105" t="s">
        <v>123</v>
      </c>
      <c r="C28" s="140">
        <v>14</v>
      </c>
      <c r="D28" s="21"/>
      <c r="E28" s="139"/>
      <c r="F28" s="105"/>
      <c r="G28" s="105"/>
      <c r="H28" s="105"/>
      <c r="I28" s="105"/>
      <c r="J28" s="143"/>
      <c r="K28" s="110"/>
    </row>
    <row r="29" spans="1:11" ht="15" customHeight="1">
      <c r="A29" s="103"/>
      <c r="B29" s="105" t="s">
        <v>124</v>
      </c>
      <c r="C29" s="140">
        <v>15</v>
      </c>
      <c r="D29" s="21"/>
      <c r="E29" s="139"/>
      <c r="F29" s="105"/>
      <c r="G29" s="105"/>
      <c r="H29" s="105"/>
      <c r="I29" s="105"/>
      <c r="J29" s="143"/>
      <c r="K29" s="110"/>
    </row>
    <row r="30" spans="1:11" ht="15" customHeight="1">
      <c r="A30" s="103"/>
      <c r="B30" s="105" t="s">
        <v>125</v>
      </c>
      <c r="C30" s="140">
        <v>16</v>
      </c>
      <c r="D30" s="21"/>
      <c r="E30" s="139"/>
      <c r="F30" s="105"/>
      <c r="G30" s="105"/>
      <c r="H30" s="105"/>
      <c r="I30" s="105"/>
      <c r="J30" s="143"/>
      <c r="K30" s="110"/>
    </row>
    <row r="31" spans="1:11" ht="15" customHeight="1">
      <c r="A31" s="103"/>
      <c r="B31" s="105" t="s">
        <v>126</v>
      </c>
      <c r="C31" s="140">
        <v>17</v>
      </c>
      <c r="D31" s="21"/>
      <c r="E31" s="139"/>
      <c r="F31" s="105"/>
      <c r="G31" s="105"/>
      <c r="H31" s="105"/>
      <c r="I31" s="105"/>
      <c r="J31" s="143"/>
      <c r="K31" s="110"/>
    </row>
    <row r="32" spans="1:11" ht="15" customHeight="1">
      <c r="A32" s="103"/>
      <c r="B32" s="105" t="s">
        <v>127</v>
      </c>
      <c r="C32" s="140">
        <v>18</v>
      </c>
      <c r="D32" s="21"/>
      <c r="E32" s="139"/>
      <c r="F32" s="105"/>
      <c r="G32" s="105"/>
      <c r="H32" s="105"/>
      <c r="I32" s="105"/>
      <c r="J32" s="143"/>
      <c r="K32" s="110"/>
    </row>
    <row r="33" spans="1:11" ht="15" customHeight="1">
      <c r="A33" s="103"/>
      <c r="B33" s="105" t="s">
        <v>201</v>
      </c>
      <c r="C33" s="140">
        <v>19</v>
      </c>
      <c r="D33" s="21"/>
      <c r="E33" s="139"/>
      <c r="F33" s="105"/>
      <c r="G33" s="105"/>
      <c r="H33" s="105"/>
      <c r="I33" s="105"/>
      <c r="J33" s="143"/>
      <c r="K33" s="110"/>
    </row>
    <row r="34" spans="1:11" ht="15" customHeight="1">
      <c r="A34" s="103"/>
      <c r="B34" s="105" t="s">
        <v>202</v>
      </c>
      <c r="C34" s="140">
        <v>20</v>
      </c>
      <c r="D34" s="21"/>
      <c r="E34" s="139"/>
      <c r="F34" s="105"/>
      <c r="G34" s="105"/>
      <c r="H34" s="105"/>
      <c r="I34" s="105"/>
      <c r="J34" s="143"/>
      <c r="K34" s="110"/>
    </row>
    <row r="35" spans="1:11" ht="15" customHeight="1">
      <c r="A35" s="103"/>
      <c r="B35" s="105" t="s">
        <v>128</v>
      </c>
      <c r="C35" s="140">
        <v>21</v>
      </c>
      <c r="D35" s="21"/>
      <c r="E35" s="139"/>
      <c r="F35" s="105"/>
      <c r="G35" s="105"/>
      <c r="H35" s="105"/>
      <c r="I35" s="105"/>
      <c r="J35" s="143"/>
      <c r="K35" s="110"/>
    </row>
    <row r="36" spans="1:11" ht="15" customHeight="1">
      <c r="A36" s="103"/>
      <c r="B36" s="105" t="s">
        <v>129</v>
      </c>
      <c r="C36" s="140">
        <v>22</v>
      </c>
      <c r="D36" s="21"/>
      <c r="E36" s="139"/>
      <c r="F36" s="105"/>
      <c r="G36" s="105"/>
      <c r="H36" s="105"/>
      <c r="I36" s="105"/>
      <c r="J36" s="143"/>
      <c r="K36" s="110"/>
    </row>
    <row r="37" spans="1:11" ht="15" customHeight="1">
      <c r="A37" s="103"/>
      <c r="B37" s="105" t="s">
        <v>130</v>
      </c>
      <c r="C37" s="140">
        <v>23</v>
      </c>
      <c r="D37" s="21"/>
      <c r="E37" s="139"/>
      <c r="F37" s="105"/>
      <c r="G37" s="105"/>
      <c r="H37" s="105"/>
      <c r="I37" s="105"/>
      <c r="J37" s="143"/>
      <c r="K37" s="110"/>
    </row>
    <row r="38" spans="1:11" ht="15" customHeight="1">
      <c r="A38" s="103"/>
      <c r="B38" s="105" t="s">
        <v>131</v>
      </c>
      <c r="C38" s="140">
        <v>24</v>
      </c>
      <c r="D38" s="21"/>
      <c r="E38" s="139"/>
      <c r="F38" s="105"/>
      <c r="G38" s="105"/>
      <c r="H38" s="105"/>
      <c r="I38" s="105"/>
      <c r="J38" s="143"/>
      <c r="K38" s="110"/>
    </row>
    <row r="39" spans="1:11" ht="15" customHeight="1">
      <c r="A39" s="103"/>
      <c r="B39" s="105" t="s">
        <v>132</v>
      </c>
      <c r="C39" s="140">
        <v>25</v>
      </c>
      <c r="D39" s="21"/>
      <c r="E39" s="139"/>
      <c r="F39" s="105"/>
      <c r="G39" s="105"/>
      <c r="H39" s="105"/>
      <c r="I39" s="105"/>
      <c r="J39" s="143"/>
      <c r="K39" s="110"/>
    </row>
    <row r="40" spans="1:11" ht="15" customHeight="1">
      <c r="A40" s="103"/>
      <c r="B40" s="105" t="s">
        <v>133</v>
      </c>
      <c r="C40" s="140">
        <v>26</v>
      </c>
      <c r="D40" s="21"/>
      <c r="E40" s="139"/>
      <c r="F40" s="105"/>
      <c r="G40" s="105"/>
      <c r="H40" s="105"/>
      <c r="I40" s="105"/>
      <c r="J40" s="143"/>
      <c r="K40" s="110"/>
    </row>
    <row r="41" spans="1:11" ht="15" customHeight="1">
      <c r="A41" s="103"/>
      <c r="B41" s="105" t="s">
        <v>134</v>
      </c>
      <c r="C41" s="140">
        <v>27</v>
      </c>
      <c r="D41" s="21"/>
      <c r="E41" s="139"/>
      <c r="F41" s="105"/>
      <c r="G41" s="105"/>
      <c r="H41" s="105"/>
      <c r="I41" s="105"/>
      <c r="J41" s="143"/>
      <c r="K41" s="110"/>
    </row>
    <row r="42" spans="1:11" ht="15" customHeight="1">
      <c r="A42" s="103"/>
      <c r="B42" s="105" t="s">
        <v>382</v>
      </c>
      <c r="C42" s="140">
        <v>28</v>
      </c>
      <c r="D42" s="21"/>
      <c r="E42" s="139"/>
      <c r="F42" s="105"/>
      <c r="G42" s="105"/>
      <c r="H42" s="105"/>
      <c r="I42" s="105"/>
      <c r="J42" s="143"/>
      <c r="K42" s="110"/>
    </row>
    <row r="43" spans="1:11" ht="15" customHeight="1">
      <c r="A43" s="103"/>
      <c r="B43" s="105" t="s">
        <v>383</v>
      </c>
      <c r="C43" s="140">
        <v>29</v>
      </c>
      <c r="D43" s="144"/>
      <c r="E43" s="139"/>
      <c r="F43" s="105"/>
      <c r="G43" s="105"/>
      <c r="H43" s="105"/>
      <c r="I43" s="105"/>
      <c r="J43" s="143"/>
      <c r="K43" s="110"/>
    </row>
    <row r="44" spans="1:11" ht="15" customHeight="1">
      <c r="A44" s="103"/>
      <c r="B44" s="105" t="s">
        <v>384</v>
      </c>
      <c r="C44" s="140">
        <v>30</v>
      </c>
      <c r="D44" s="144"/>
      <c r="E44" s="139"/>
      <c r="F44" s="105"/>
      <c r="G44" s="105"/>
      <c r="H44" s="105"/>
      <c r="I44" s="105"/>
      <c r="J44" s="143"/>
      <c r="K44" s="110"/>
    </row>
    <row r="45" spans="1:11" ht="15" customHeight="1">
      <c r="A45" s="103"/>
      <c r="B45" s="102" t="s">
        <v>385</v>
      </c>
      <c r="C45" s="140">
        <v>31</v>
      </c>
      <c r="D45" s="21"/>
      <c r="E45" s="139"/>
      <c r="F45" s="105"/>
      <c r="G45" s="105"/>
      <c r="H45" s="105"/>
      <c r="I45" s="105"/>
      <c r="J45" s="143"/>
      <c r="K45" s="110"/>
    </row>
    <row r="46" spans="1:11" ht="15" customHeight="1">
      <c r="A46" s="103"/>
      <c r="B46" s="105" t="s">
        <v>236</v>
      </c>
      <c r="C46" s="140">
        <v>32</v>
      </c>
      <c r="D46" s="105"/>
      <c r="E46" s="145"/>
      <c r="F46" s="105"/>
      <c r="G46" s="105"/>
      <c r="H46" s="105"/>
      <c r="I46" s="105"/>
      <c r="J46" s="142"/>
      <c r="K46" s="110"/>
    </row>
    <row r="47" spans="1:11" ht="15" customHeight="1">
      <c r="A47" s="103"/>
      <c r="B47" s="102" t="s">
        <v>386</v>
      </c>
      <c r="C47" s="140">
        <v>33</v>
      </c>
      <c r="D47" s="105"/>
      <c r="E47" s="145"/>
      <c r="F47" s="105"/>
      <c r="G47" s="105"/>
      <c r="H47" s="105"/>
      <c r="I47" s="105"/>
      <c r="J47" s="142"/>
      <c r="K47" s="110"/>
    </row>
    <row r="48" spans="1:11" ht="15" customHeight="1">
      <c r="A48" s="103"/>
      <c r="B48" s="105" t="s">
        <v>387</v>
      </c>
      <c r="C48" s="140">
        <v>34</v>
      </c>
      <c r="D48" s="105"/>
      <c r="E48" s="145"/>
      <c r="F48" s="105"/>
      <c r="G48" s="105"/>
      <c r="H48" s="105"/>
      <c r="I48" s="105"/>
      <c r="J48" s="142"/>
      <c r="K48" s="110"/>
    </row>
    <row r="49" spans="1:11" ht="15" customHeight="1">
      <c r="A49" s="103"/>
      <c r="B49" s="105" t="s">
        <v>388</v>
      </c>
      <c r="C49" s="140">
        <v>35</v>
      </c>
      <c r="D49" s="105"/>
      <c r="E49" s="145"/>
      <c r="F49" s="105"/>
      <c r="G49" s="105"/>
      <c r="H49" s="105"/>
      <c r="I49" s="105"/>
      <c r="J49" s="142"/>
      <c r="K49" s="110"/>
    </row>
    <row r="50" spans="1:11" ht="13">
      <c r="A50" s="103"/>
      <c r="B50" s="105"/>
      <c r="C50" s="140"/>
      <c r="D50" s="105"/>
      <c r="E50" s="145"/>
      <c r="F50" s="105"/>
      <c r="G50" s="105"/>
      <c r="H50" s="105"/>
      <c r="I50" s="105"/>
      <c r="J50" s="142"/>
      <c r="K50" s="110"/>
    </row>
    <row r="51" spans="1:11" ht="13">
      <c r="A51" s="103"/>
      <c r="B51" s="105"/>
      <c r="C51" s="140"/>
      <c r="D51" s="105"/>
      <c r="E51" s="145"/>
      <c r="F51" s="105"/>
      <c r="G51" s="105"/>
      <c r="H51" s="105"/>
      <c r="I51" s="105"/>
      <c r="J51" s="142"/>
      <c r="K51" s="110"/>
    </row>
    <row r="52" spans="1:11" ht="12.75" customHeight="1">
      <c r="A52" s="146"/>
      <c r="B52" s="147"/>
      <c r="C52" s="50"/>
      <c r="D52" s="148"/>
      <c r="E52" s="148"/>
      <c r="F52" s="148"/>
      <c r="G52" s="148"/>
      <c r="H52" s="148"/>
      <c r="I52" s="148"/>
      <c r="J52" s="147"/>
      <c r="K52" s="149"/>
    </row>
    <row r="53" spans="1:11" ht="13">
      <c r="B53" s="150"/>
      <c r="C53" s="151"/>
      <c r="J53" s="150"/>
    </row>
    <row r="54" spans="1:11">
      <c r="B54" s="150"/>
      <c r="J54" s="150"/>
    </row>
    <row r="55" spans="1:11">
      <c r="B55" s="150"/>
      <c r="J55" s="150"/>
    </row>
    <row r="56" spans="1:11">
      <c r="B56" s="150"/>
      <c r="J56" s="150"/>
    </row>
    <row r="59" spans="1:11" ht="13">
      <c r="C59" s="151"/>
    </row>
    <row r="60" spans="1:11" ht="13">
      <c r="C60" s="151"/>
    </row>
    <row r="61" spans="1:11" ht="13">
      <c r="C61" s="151"/>
    </row>
    <row r="66" spans="3:3">
      <c r="C66" s="152"/>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81640625" style="144" customWidth="1"/>
    <col min="4" max="4" width="29.179687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146</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K12" s="110"/>
      <c r="M12" s="21"/>
      <c r="N12" s="21"/>
      <c r="O12" s="21"/>
      <c r="P12" s="21"/>
      <c r="Q12" s="21"/>
    </row>
    <row r="13" spans="1:17" ht="29">
      <c r="A13" s="180"/>
      <c r="B13" s="14"/>
      <c r="C13" s="13"/>
      <c r="D13" s="498" t="s">
        <v>72</v>
      </c>
      <c r="E13" s="532" t="s">
        <v>71</v>
      </c>
      <c r="F13" s="499" t="s">
        <v>113</v>
      </c>
      <c r="G13" s="500" t="s">
        <v>61</v>
      </c>
      <c r="H13" s="533" t="s">
        <v>114</v>
      </c>
      <c r="I13" s="102"/>
      <c r="K13" s="174"/>
      <c r="M13" s="214"/>
      <c r="N13" s="217"/>
      <c r="O13" s="215"/>
      <c r="P13" s="495"/>
      <c r="Q13" s="495"/>
    </row>
    <row r="14" spans="1:17" ht="13.5" customHeight="1">
      <c r="A14" s="180"/>
      <c r="B14" s="14"/>
      <c r="C14" s="13"/>
      <c r="D14" s="930" t="s">
        <v>952</v>
      </c>
      <c r="E14" s="580">
        <f>VLOOKUP(CONCATENATE("payment_",D14),Assets,3,0)</f>
        <v>486957175.23000258</v>
      </c>
      <c r="F14" s="581">
        <f>E14/$E$16</f>
        <v>0.94938327796048327</v>
      </c>
      <c r="G14" s="582">
        <f>VLOOKUP(CONCATENATE("payment_",D14),Assets,2,0)</f>
        <v>40112</v>
      </c>
      <c r="H14" s="583">
        <f>G14/$G$16</f>
        <v>0.95552538173848833</v>
      </c>
      <c r="I14" s="102"/>
      <c r="K14" s="174"/>
      <c r="M14" s="584"/>
      <c r="N14" s="585"/>
      <c r="O14" s="586"/>
      <c r="P14" s="587"/>
      <c r="Q14" s="586"/>
    </row>
    <row r="15" spans="1:17" ht="13" thickBot="1">
      <c r="A15" s="180"/>
      <c r="B15" s="14"/>
      <c r="C15" s="13"/>
      <c r="D15" s="931" t="s">
        <v>953</v>
      </c>
      <c r="E15" s="588">
        <f>VLOOKUP(CONCATENATE("payment_",D15),Assets,3,0)</f>
        <v>25962302.639999975</v>
      </c>
      <c r="F15" s="581">
        <f>E15/$E$16</f>
        <v>5.0616722039516733E-2</v>
      </c>
      <c r="G15" s="589">
        <f>VLOOKUP(CONCATENATE("payment_",D15),Assets,2,0)</f>
        <v>1867</v>
      </c>
      <c r="H15" s="590">
        <f>G15/$G$16</f>
        <v>4.4474618261511709E-2</v>
      </c>
      <c r="I15" s="102"/>
      <c r="K15" s="174"/>
      <c r="M15" s="584"/>
      <c r="N15" s="585"/>
      <c r="O15" s="586"/>
      <c r="P15" s="587"/>
      <c r="Q15" s="586"/>
    </row>
    <row r="16" spans="1:17" ht="14" thickTop="1" thickBot="1">
      <c r="A16" s="180"/>
      <c r="B16" s="14"/>
      <c r="C16" s="13"/>
      <c r="D16" s="591" t="s">
        <v>36</v>
      </c>
      <c r="E16" s="592">
        <f>SUM(E14:E15)</f>
        <v>512919477.87000257</v>
      </c>
      <c r="F16" s="593">
        <f>SUM(F14:F15)</f>
        <v>1</v>
      </c>
      <c r="G16" s="594">
        <f>SUM(G14:G15)</f>
        <v>41979</v>
      </c>
      <c r="H16" s="595">
        <f>SUM(H14:H15)</f>
        <v>1</v>
      </c>
      <c r="I16" s="102"/>
      <c r="K16" s="174"/>
      <c r="M16" s="596"/>
      <c r="N16" s="597"/>
      <c r="O16" s="598"/>
      <c r="P16" s="599"/>
      <c r="Q16" s="598"/>
    </row>
    <row r="17" spans="1:17">
      <c r="A17" s="180"/>
      <c r="B17" s="14"/>
      <c r="C17" s="13"/>
      <c r="D17" s="600"/>
      <c r="E17" s="600"/>
      <c r="F17" s="600"/>
      <c r="G17" s="600"/>
      <c r="H17" s="600"/>
      <c r="I17" s="102"/>
      <c r="K17" s="174"/>
      <c r="M17" s="200"/>
      <c r="N17" s="200"/>
      <c r="O17" s="200"/>
      <c r="P17" s="200"/>
      <c r="Q17" s="200"/>
    </row>
    <row r="18" spans="1:17">
      <c r="A18" s="180"/>
      <c r="B18" s="14"/>
      <c r="C18" s="13"/>
      <c r="D18" s="600"/>
      <c r="E18" s="233"/>
      <c r="F18" s="600"/>
      <c r="G18" s="601"/>
      <c r="H18" s="600"/>
      <c r="I18" s="102"/>
      <c r="K18" s="174"/>
      <c r="M18" s="200"/>
      <c r="N18" s="233"/>
      <c r="O18" s="200"/>
      <c r="P18" s="203"/>
      <c r="Q18" s="200"/>
    </row>
    <row r="19" spans="1:17" ht="13" thickBot="1">
      <c r="A19" s="180"/>
      <c r="B19" s="14"/>
      <c r="C19" s="13"/>
      <c r="D19" s="600"/>
      <c r="E19" s="600"/>
      <c r="F19" s="600"/>
      <c r="G19" s="600"/>
      <c r="H19" s="600"/>
      <c r="I19" s="105"/>
      <c r="K19" s="174"/>
      <c r="M19" s="200"/>
      <c r="N19" s="200"/>
      <c r="O19" s="200"/>
      <c r="P19" s="200"/>
      <c r="Q19" s="200"/>
    </row>
    <row r="20" spans="1:17" ht="29">
      <c r="A20" s="180"/>
      <c r="B20" s="14"/>
      <c r="C20" s="13"/>
      <c r="D20" s="498" t="s">
        <v>73</v>
      </c>
      <c r="E20" s="532" t="s">
        <v>71</v>
      </c>
      <c r="F20" s="499" t="s">
        <v>113</v>
      </c>
      <c r="G20" s="500" t="s">
        <v>61</v>
      </c>
      <c r="H20" s="533" t="s">
        <v>114</v>
      </c>
      <c r="I20" s="559"/>
      <c r="K20" s="174"/>
      <c r="M20" s="214"/>
      <c r="N20" s="217"/>
      <c r="O20" s="215"/>
      <c r="P20" s="495"/>
      <c r="Q20" s="495"/>
    </row>
    <row r="21" spans="1:17" ht="13.5" customHeight="1">
      <c r="A21" s="180"/>
      <c r="B21" s="14"/>
      <c r="C21" s="13"/>
      <c r="D21" s="932" t="s">
        <v>954</v>
      </c>
      <c r="E21" s="580">
        <f>VLOOKUP(CONCATENATE("payment_",D21),Assets,3,0)</f>
        <v>131559844.79999992</v>
      </c>
      <c r="F21" s="581">
        <f>E21/$E$23</f>
        <v>0.25649219902181891</v>
      </c>
      <c r="G21" s="582">
        <f>VLOOKUP(CONCATENATE("payment_",D21),Assets,2,0)</f>
        <v>10733</v>
      </c>
      <c r="H21" s="583">
        <f>G21/$G$23</f>
        <v>0.25567545677600706</v>
      </c>
      <c r="I21" s="21"/>
      <c r="K21" s="174"/>
      <c r="M21" s="584"/>
      <c r="N21" s="585"/>
      <c r="O21" s="586"/>
      <c r="P21" s="587"/>
      <c r="Q21" s="586"/>
    </row>
    <row r="22" spans="1:17" ht="13.5" customHeight="1" thickBot="1">
      <c r="A22" s="180"/>
      <c r="B22" s="14"/>
      <c r="C22" s="13"/>
      <c r="D22" s="933" t="s">
        <v>955</v>
      </c>
      <c r="E22" s="588">
        <f>VLOOKUP(CONCATENATE("payment_",D22),Assets,3,0)</f>
        <v>381359633.07000172</v>
      </c>
      <c r="F22" s="602">
        <f>E22/$E$23</f>
        <v>0.74350780097818103</v>
      </c>
      <c r="G22" s="589">
        <f>VLOOKUP(CONCATENATE("payment_",D22),Assets,2,0)</f>
        <v>31246</v>
      </c>
      <c r="H22" s="603">
        <f>G22/$G$23</f>
        <v>0.744324543223993</v>
      </c>
      <c r="I22" s="560"/>
      <c r="K22" s="174"/>
      <c r="M22" s="584"/>
      <c r="N22" s="585"/>
      <c r="O22" s="586"/>
      <c r="P22" s="587"/>
      <c r="Q22" s="586"/>
    </row>
    <row r="23" spans="1:17" ht="14" thickTop="1" thickBot="1">
      <c r="A23" s="180"/>
      <c r="B23" s="14"/>
      <c r="C23" s="13"/>
      <c r="D23" s="604" t="s">
        <v>36</v>
      </c>
      <c r="E23" s="592">
        <f>SUM(E21:E22)</f>
        <v>512919477.87000167</v>
      </c>
      <c r="F23" s="593">
        <f>SUM(F21:F22)</f>
        <v>1</v>
      </c>
      <c r="G23" s="594">
        <f>SUM(G21:G22)</f>
        <v>41979</v>
      </c>
      <c r="H23" s="595">
        <f>SUM(H21:H22)</f>
        <v>1</v>
      </c>
      <c r="I23" s="21"/>
      <c r="K23" s="174"/>
      <c r="M23" s="596"/>
      <c r="N23" s="597"/>
      <c r="O23" s="598"/>
      <c r="P23" s="599"/>
      <c r="Q23" s="598"/>
    </row>
    <row r="24" spans="1:17" ht="13">
      <c r="A24" s="180"/>
      <c r="B24" s="14"/>
      <c r="C24" s="13"/>
      <c r="D24" s="605"/>
      <c r="E24" s="606"/>
      <c r="F24" s="607"/>
      <c r="G24" s="608"/>
      <c r="H24" s="607"/>
      <c r="I24" s="21"/>
      <c r="K24" s="174"/>
      <c r="M24" s="596"/>
      <c r="N24" s="597"/>
      <c r="O24" s="598"/>
      <c r="P24" s="599"/>
      <c r="Q24" s="598"/>
    </row>
    <row r="25" spans="1:17" ht="13">
      <c r="A25" s="180"/>
      <c r="B25" s="14"/>
      <c r="C25" s="13"/>
      <c r="D25" s="605"/>
      <c r="E25" s="606"/>
      <c r="F25" s="607"/>
      <c r="G25" s="608"/>
      <c r="H25" s="607"/>
      <c r="I25" s="21"/>
      <c r="K25" s="174"/>
      <c r="M25" s="596"/>
      <c r="N25" s="597"/>
      <c r="O25" s="598"/>
      <c r="P25" s="599"/>
      <c r="Q25" s="598"/>
    </row>
    <row r="26" spans="1:17" ht="13">
      <c r="A26" s="180"/>
      <c r="B26" s="14"/>
      <c r="C26" s="13"/>
      <c r="D26" s="605"/>
      <c r="E26" s="606"/>
      <c r="F26" s="607"/>
      <c r="G26" s="608"/>
      <c r="H26" s="607"/>
      <c r="I26" s="21"/>
      <c r="K26" s="174"/>
      <c r="M26" s="596"/>
      <c r="N26" s="597"/>
      <c r="O26" s="598"/>
      <c r="P26" s="599"/>
      <c r="Q26" s="598"/>
    </row>
    <row r="27" spans="1:17" ht="13">
      <c r="A27" s="180"/>
      <c r="B27" s="14"/>
      <c r="C27" s="13"/>
      <c r="D27" s="605"/>
      <c r="E27" s="606"/>
      <c r="F27" s="607"/>
      <c r="G27" s="608"/>
      <c r="H27" s="607"/>
      <c r="I27" s="21"/>
      <c r="K27" s="174"/>
      <c r="M27" s="596"/>
      <c r="N27" s="597"/>
      <c r="O27" s="598"/>
      <c r="P27" s="599"/>
      <c r="Q27" s="598"/>
    </row>
    <row r="28" spans="1:17" ht="13">
      <c r="A28" s="180"/>
      <c r="B28" s="14"/>
      <c r="C28" s="13"/>
      <c r="D28" s="605"/>
      <c r="E28" s="606"/>
      <c r="F28" s="607"/>
      <c r="G28" s="608"/>
      <c r="H28" s="607"/>
      <c r="I28" s="21"/>
      <c r="K28" s="174"/>
      <c r="M28" s="596"/>
      <c r="N28" s="597"/>
      <c r="O28" s="598"/>
      <c r="P28" s="599"/>
      <c r="Q28" s="598"/>
    </row>
    <row r="29" spans="1:17" ht="13">
      <c r="A29" s="180"/>
      <c r="B29" s="14"/>
      <c r="C29" s="13"/>
      <c r="D29" s="605"/>
      <c r="E29" s="606"/>
      <c r="F29" s="607"/>
      <c r="G29" s="608"/>
      <c r="H29" s="607"/>
      <c r="I29" s="21"/>
      <c r="K29" s="174"/>
      <c r="M29" s="596"/>
      <c r="N29" s="597"/>
      <c r="O29" s="598"/>
      <c r="P29" s="599"/>
      <c r="Q29" s="598"/>
    </row>
    <row r="30" spans="1:17" ht="13">
      <c r="A30" s="180"/>
      <c r="B30" s="14"/>
      <c r="C30" s="13"/>
      <c r="D30" s="605"/>
      <c r="E30" s="606"/>
      <c r="F30" s="607"/>
      <c r="G30" s="608"/>
      <c r="H30" s="607"/>
      <c r="I30" s="21"/>
      <c r="K30" s="174"/>
      <c r="M30" s="596"/>
      <c r="N30" s="597"/>
      <c r="O30" s="598"/>
      <c r="P30" s="599"/>
      <c r="Q30" s="598"/>
    </row>
    <row r="31" spans="1:17" ht="13">
      <c r="A31" s="180"/>
      <c r="B31" s="14"/>
      <c r="C31" s="13"/>
      <c r="D31" s="605"/>
      <c r="E31" s="606"/>
      <c r="F31" s="607"/>
      <c r="G31" s="608"/>
      <c r="H31" s="607"/>
      <c r="I31" s="21"/>
      <c r="K31" s="174"/>
      <c r="M31" s="596"/>
      <c r="N31" s="597"/>
      <c r="O31" s="598"/>
      <c r="P31" s="599"/>
      <c r="Q31" s="598"/>
    </row>
    <row r="32" spans="1:17" ht="13">
      <c r="A32" s="180"/>
      <c r="B32" s="14"/>
      <c r="C32" s="13"/>
      <c r="D32" s="605"/>
      <c r="E32" s="606"/>
      <c r="F32" s="607"/>
      <c r="G32" s="608"/>
      <c r="H32" s="607"/>
      <c r="I32" s="21"/>
      <c r="K32" s="174"/>
      <c r="M32" s="596"/>
      <c r="N32" s="597"/>
      <c r="O32" s="598"/>
      <c r="P32" s="599"/>
      <c r="Q32" s="598"/>
    </row>
    <row r="33" spans="1:17" ht="13">
      <c r="A33" s="180"/>
      <c r="B33" s="14"/>
      <c r="C33" s="13"/>
      <c r="D33" s="605"/>
      <c r="E33" s="606"/>
      <c r="F33" s="607"/>
      <c r="G33" s="608"/>
      <c r="H33" s="607"/>
      <c r="I33" s="21"/>
      <c r="K33" s="174"/>
      <c r="M33" s="596"/>
      <c r="N33" s="597"/>
      <c r="O33" s="598"/>
      <c r="P33" s="599"/>
      <c r="Q33" s="598"/>
    </row>
    <row r="34" spans="1:17" ht="13">
      <c r="A34" s="180"/>
      <c r="B34" s="14"/>
      <c r="C34" s="13"/>
      <c r="D34" s="605"/>
      <c r="E34" s="606"/>
      <c r="F34" s="607"/>
      <c r="G34" s="608"/>
      <c r="H34" s="607"/>
      <c r="I34" s="21"/>
      <c r="K34" s="174"/>
      <c r="M34" s="596"/>
      <c r="N34" s="597"/>
      <c r="O34" s="598"/>
      <c r="P34" s="599"/>
      <c r="Q34" s="598"/>
    </row>
    <row r="35" spans="1:17" ht="13">
      <c r="A35" s="180"/>
      <c r="B35" s="14"/>
      <c r="C35" s="13"/>
      <c r="D35" s="605"/>
      <c r="E35" s="606"/>
      <c r="F35" s="607"/>
      <c r="G35" s="608"/>
      <c r="H35" s="607"/>
      <c r="I35" s="21"/>
      <c r="K35" s="174"/>
      <c r="M35" s="596"/>
      <c r="N35" s="597"/>
      <c r="O35" s="598"/>
      <c r="P35" s="599"/>
      <c r="Q35" s="598"/>
    </row>
    <row r="36" spans="1:17" ht="13">
      <c r="A36" s="180"/>
      <c r="B36" s="14"/>
      <c r="C36" s="13"/>
      <c r="D36" s="605"/>
      <c r="E36" s="606"/>
      <c r="F36" s="607"/>
      <c r="G36" s="608"/>
      <c r="H36" s="607"/>
      <c r="I36" s="21"/>
      <c r="K36" s="174"/>
      <c r="M36" s="596"/>
      <c r="N36" s="597"/>
      <c r="O36" s="598"/>
      <c r="P36" s="599"/>
      <c r="Q36" s="598"/>
    </row>
    <row r="37" spans="1:17" ht="13">
      <c r="A37" s="180"/>
      <c r="B37" s="14"/>
      <c r="C37" s="13"/>
      <c r="D37" s="605"/>
      <c r="E37" s="606"/>
      <c r="F37" s="607"/>
      <c r="G37" s="608"/>
      <c r="H37" s="607"/>
      <c r="I37" s="21"/>
      <c r="K37" s="174"/>
      <c r="M37" s="596"/>
      <c r="N37" s="597"/>
      <c r="O37" s="598"/>
      <c r="P37" s="599"/>
      <c r="Q37" s="598"/>
    </row>
    <row r="38" spans="1:17" ht="13">
      <c r="A38" s="180"/>
      <c r="B38" s="14"/>
      <c r="C38" s="13"/>
      <c r="D38" s="605"/>
      <c r="E38" s="606"/>
      <c r="F38" s="607"/>
      <c r="G38" s="608"/>
      <c r="H38" s="607"/>
      <c r="I38" s="21"/>
      <c r="K38" s="174"/>
      <c r="M38" s="596"/>
      <c r="N38" s="597"/>
      <c r="O38" s="598"/>
      <c r="P38" s="599"/>
      <c r="Q38" s="598"/>
    </row>
    <row r="39" spans="1:17" ht="13">
      <c r="A39" s="180"/>
      <c r="B39" s="14"/>
      <c r="C39" s="13"/>
      <c r="D39" s="605"/>
      <c r="E39" s="609"/>
      <c r="F39" s="609"/>
      <c r="G39" s="59"/>
      <c r="H39" s="59"/>
      <c r="I39" s="102"/>
      <c r="J39" s="21"/>
      <c r="K39" s="174"/>
      <c r="M39" s="596"/>
      <c r="N39" s="609"/>
      <c r="O39" s="609"/>
      <c r="P39" s="37"/>
      <c r="Q39" s="37"/>
    </row>
    <row r="40" spans="1:17" ht="13">
      <c r="A40" s="180"/>
      <c r="B40" s="14"/>
      <c r="C40" s="13"/>
      <c r="D40" s="605"/>
      <c r="E40" s="609"/>
      <c r="F40" s="609"/>
      <c r="G40" s="59"/>
      <c r="H40" s="59"/>
      <c r="I40" s="102"/>
      <c r="J40" s="21"/>
      <c r="K40" s="174"/>
      <c r="M40" s="596"/>
      <c r="N40" s="609"/>
      <c r="O40" s="609"/>
      <c r="P40" s="37"/>
      <c r="Q40" s="37"/>
    </row>
    <row r="41" spans="1:17" ht="13">
      <c r="A41" s="180"/>
      <c r="B41" s="14"/>
      <c r="C41" s="13"/>
      <c r="D41" s="605"/>
      <c r="E41" s="609"/>
      <c r="F41" s="609"/>
      <c r="G41" s="59"/>
      <c r="H41" s="59"/>
      <c r="I41" s="102"/>
      <c r="J41" s="21"/>
      <c r="K41" s="174"/>
      <c r="M41" s="596"/>
      <c r="N41" s="609"/>
      <c r="O41" s="609"/>
      <c r="P41" s="37"/>
      <c r="Q41" s="37"/>
    </row>
    <row r="42" spans="1:17" ht="13">
      <c r="A42" s="180"/>
      <c r="B42" s="14"/>
      <c r="C42" s="13"/>
      <c r="D42" s="605"/>
      <c r="E42" s="609"/>
      <c r="F42" s="609"/>
      <c r="G42" s="59"/>
      <c r="H42" s="59"/>
      <c r="I42" s="102"/>
      <c r="J42" s="21"/>
      <c r="K42" s="174"/>
      <c r="M42" s="596"/>
      <c r="N42" s="609"/>
      <c r="O42" s="609"/>
      <c r="P42" s="37"/>
      <c r="Q42" s="37"/>
    </row>
    <row r="43" spans="1:17" ht="13">
      <c r="A43" s="180"/>
      <c r="B43" s="14"/>
      <c r="C43" s="13"/>
      <c r="D43" s="605"/>
      <c r="E43" s="609"/>
      <c r="F43" s="609"/>
      <c r="G43" s="59"/>
      <c r="H43" s="59"/>
      <c r="I43" s="102"/>
      <c r="J43" s="21"/>
      <c r="K43" s="174"/>
      <c r="M43" s="596"/>
      <c r="N43" s="609"/>
      <c r="O43" s="609"/>
      <c r="P43" s="37"/>
      <c r="Q43" s="37"/>
    </row>
    <row r="44" spans="1:17" ht="13">
      <c r="A44" s="180"/>
      <c r="B44" s="14"/>
      <c r="C44" s="13"/>
      <c r="D44" s="605"/>
      <c r="E44" s="609"/>
      <c r="F44" s="609"/>
      <c r="G44" s="59"/>
      <c r="H44" s="59"/>
      <c r="I44" s="102"/>
      <c r="J44" s="21"/>
      <c r="K44" s="174"/>
      <c r="M44" s="596"/>
      <c r="N44" s="609"/>
      <c r="O44" s="609"/>
      <c r="P44" s="37"/>
      <c r="Q44" s="37"/>
    </row>
    <row r="45" spans="1:17" ht="13">
      <c r="A45" s="180"/>
      <c r="B45" s="14"/>
      <c r="C45" s="13"/>
      <c r="D45" s="605"/>
      <c r="E45" s="609"/>
      <c r="F45" s="609"/>
      <c r="G45" s="59"/>
      <c r="H45" s="59"/>
      <c r="I45" s="102"/>
      <c r="J45" s="21"/>
      <c r="K45" s="174"/>
      <c r="M45" s="596"/>
      <c r="N45" s="609"/>
      <c r="O45" s="609"/>
      <c r="P45" s="37"/>
      <c r="Q45" s="37"/>
    </row>
    <row r="46" spans="1:17" ht="13">
      <c r="A46" s="180"/>
      <c r="B46" s="14"/>
      <c r="C46" s="13"/>
      <c r="D46" s="605"/>
      <c r="E46" s="609"/>
      <c r="F46" s="609"/>
      <c r="G46" s="59"/>
      <c r="H46" s="59"/>
      <c r="I46" s="102"/>
      <c r="J46" s="21"/>
      <c r="K46" s="174"/>
      <c r="M46" s="596"/>
      <c r="N46" s="609"/>
      <c r="O46" s="609"/>
      <c r="P46" s="37"/>
      <c r="Q46" s="3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20.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203</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D12" s="21"/>
      <c r="E12" s="21"/>
      <c r="F12" s="21"/>
      <c r="G12" s="21"/>
      <c r="H12" s="21"/>
      <c r="I12" s="21"/>
      <c r="J12" s="21"/>
      <c r="K12" s="110"/>
      <c r="M12" s="21"/>
      <c r="N12" s="21"/>
      <c r="O12" s="21"/>
      <c r="P12" s="21"/>
      <c r="Q12" s="21"/>
    </row>
    <row r="13" spans="1:17" ht="29">
      <c r="A13" s="180"/>
      <c r="B13" s="14"/>
      <c r="C13" s="13"/>
      <c r="D13" s="498" t="s">
        <v>631</v>
      </c>
      <c r="E13" s="532" t="s">
        <v>71</v>
      </c>
      <c r="F13" s="499" t="s">
        <v>113</v>
      </c>
      <c r="G13" s="500" t="s">
        <v>61</v>
      </c>
      <c r="H13" s="533" t="s">
        <v>114</v>
      </c>
      <c r="I13" s="21"/>
      <c r="J13" s="21"/>
      <c r="K13" s="174"/>
      <c r="M13" s="214"/>
      <c r="N13" s="217"/>
      <c r="O13" s="215"/>
      <c r="P13" s="495"/>
      <c r="Q13" s="495"/>
    </row>
    <row r="14" spans="1:17">
      <c r="A14" s="180"/>
      <c r="B14" s="14"/>
      <c r="C14" s="13"/>
      <c r="D14" s="934" t="s">
        <v>956</v>
      </c>
      <c r="E14" s="551">
        <f t="shared" ref="E14:E27" si="0">VLOOKUP(CONCATENATE("interest_",D14),Assets,3,0)</f>
        <v>82808.439999999988</v>
      </c>
      <c r="F14" s="552">
        <f>E14/$E$28</f>
        <v>1.6144530198751361E-4</v>
      </c>
      <c r="G14" s="553">
        <f t="shared" ref="G14:G27" si="1">VLOOKUP(CONCATENATE("interest_",D14),Assets,2,0)</f>
        <v>133</v>
      </c>
      <c r="H14" s="554">
        <f>G14/$G$28</f>
        <v>3.168250792062698E-3</v>
      </c>
      <c r="I14" s="21"/>
      <c r="J14" s="21"/>
      <c r="K14" s="174"/>
      <c r="M14" s="555"/>
      <c r="N14" s="556"/>
      <c r="O14" s="557"/>
      <c r="P14" s="558"/>
      <c r="Q14" s="557"/>
    </row>
    <row r="15" spans="1:17">
      <c r="A15" s="180"/>
      <c r="B15" s="14"/>
      <c r="C15" s="13"/>
      <c r="D15" s="934" t="s">
        <v>957</v>
      </c>
      <c r="E15" s="551">
        <f t="shared" si="0"/>
        <v>5332960.5600000033</v>
      </c>
      <c r="F15" s="552">
        <f t="shared" ref="F15:F27" si="2">E15/$E$28</f>
        <v>1.0397266608291381E-2</v>
      </c>
      <c r="G15" s="553">
        <f t="shared" si="1"/>
        <v>817</v>
      </c>
      <c r="H15" s="554">
        <f t="shared" ref="H15:H27" si="3">G15/$G$28</f>
        <v>1.9462112008385143E-2</v>
      </c>
      <c r="I15" s="21"/>
      <c r="J15" s="21"/>
      <c r="K15" s="174"/>
      <c r="M15" s="555"/>
      <c r="N15" s="556"/>
      <c r="O15" s="557"/>
      <c r="P15" s="558"/>
      <c r="Q15" s="557"/>
    </row>
    <row r="16" spans="1:17">
      <c r="A16" s="180"/>
      <c r="B16" s="14"/>
      <c r="C16" s="13"/>
      <c r="D16" s="934" t="s">
        <v>958</v>
      </c>
      <c r="E16" s="551">
        <f t="shared" si="0"/>
        <v>88553092.07000035</v>
      </c>
      <c r="F16" s="552">
        <f t="shared" si="2"/>
        <v>0.17264521214467154</v>
      </c>
      <c r="G16" s="553">
        <f t="shared" si="1"/>
        <v>7913</v>
      </c>
      <c r="H16" s="554">
        <f t="shared" si="3"/>
        <v>0.18849901141046713</v>
      </c>
      <c r="I16" s="21"/>
      <c r="J16" s="21"/>
      <c r="K16" s="174"/>
      <c r="M16" s="555"/>
      <c r="N16" s="556"/>
      <c r="O16" s="557"/>
      <c r="P16" s="558"/>
      <c r="Q16" s="557"/>
    </row>
    <row r="17" spans="1:17">
      <c r="A17" s="180"/>
      <c r="B17" s="14"/>
      <c r="C17" s="13"/>
      <c r="D17" s="934" t="s">
        <v>959</v>
      </c>
      <c r="E17" s="551">
        <f t="shared" si="0"/>
        <v>61461180.340000041</v>
      </c>
      <c r="F17" s="552">
        <f t="shared" si="2"/>
        <v>0.11982617738602905</v>
      </c>
      <c r="G17" s="553">
        <f t="shared" si="1"/>
        <v>5214</v>
      </c>
      <c r="H17" s="554">
        <f t="shared" si="3"/>
        <v>0.12420495962266848</v>
      </c>
      <c r="I17" s="21"/>
      <c r="J17" s="21"/>
      <c r="K17" s="174"/>
      <c r="M17" s="555"/>
      <c r="N17" s="556"/>
      <c r="O17" s="557"/>
      <c r="P17" s="558"/>
      <c r="Q17" s="557"/>
    </row>
    <row r="18" spans="1:17">
      <c r="A18" s="180"/>
      <c r="B18" s="14"/>
      <c r="C18" s="13"/>
      <c r="D18" s="934" t="s">
        <v>960</v>
      </c>
      <c r="E18" s="551">
        <f t="shared" si="0"/>
        <v>59069746.349999994</v>
      </c>
      <c r="F18" s="552">
        <f t="shared" si="2"/>
        <v>0.115163780863419</v>
      </c>
      <c r="G18" s="553">
        <f t="shared" si="1"/>
        <v>4855</v>
      </c>
      <c r="H18" s="554">
        <f t="shared" si="3"/>
        <v>0.11565306462755187</v>
      </c>
      <c r="I18" s="21"/>
      <c r="J18" s="21"/>
      <c r="K18" s="174"/>
      <c r="M18" s="555"/>
      <c r="N18" s="556"/>
      <c r="O18" s="557"/>
      <c r="P18" s="558"/>
      <c r="Q18" s="557"/>
    </row>
    <row r="19" spans="1:17">
      <c r="A19" s="180"/>
      <c r="B19" s="14"/>
      <c r="C19" s="13"/>
      <c r="D19" s="934" t="s">
        <v>961</v>
      </c>
      <c r="E19" s="551">
        <f t="shared" si="0"/>
        <v>67441327.420000017</v>
      </c>
      <c r="F19" s="552">
        <f t="shared" si="2"/>
        <v>0.13148521420957437</v>
      </c>
      <c r="G19" s="553">
        <f t="shared" si="1"/>
        <v>5020</v>
      </c>
      <c r="H19" s="554">
        <f t="shared" si="3"/>
        <v>0.11958360132447177</v>
      </c>
      <c r="I19" s="21"/>
      <c r="J19" s="21"/>
      <c r="K19" s="174"/>
      <c r="M19" s="555"/>
      <c r="N19" s="556"/>
      <c r="O19" s="557"/>
      <c r="P19" s="558"/>
      <c r="Q19" s="557"/>
    </row>
    <row r="20" spans="1:17">
      <c r="A20" s="180"/>
      <c r="B20" s="14"/>
      <c r="C20" s="13"/>
      <c r="D20" s="934" t="s">
        <v>962</v>
      </c>
      <c r="E20" s="551">
        <f t="shared" si="0"/>
        <v>99173650.859999761</v>
      </c>
      <c r="F20" s="552">
        <f t="shared" si="2"/>
        <v>0.1933513058849666</v>
      </c>
      <c r="G20" s="553">
        <f t="shared" si="1"/>
        <v>7369</v>
      </c>
      <c r="H20" s="554">
        <f t="shared" si="3"/>
        <v>0.17554015102789489</v>
      </c>
      <c r="I20" s="21"/>
      <c r="J20" s="21"/>
      <c r="K20" s="174"/>
      <c r="M20" s="555"/>
      <c r="N20" s="556"/>
      <c r="O20" s="557"/>
      <c r="P20" s="558"/>
      <c r="Q20" s="557"/>
    </row>
    <row r="21" spans="1:17">
      <c r="A21" s="180"/>
      <c r="B21" s="14"/>
      <c r="C21" s="13"/>
      <c r="D21" s="934" t="s">
        <v>963</v>
      </c>
      <c r="E21" s="551">
        <f t="shared" si="0"/>
        <v>76682751.10999994</v>
      </c>
      <c r="F21" s="552">
        <f t="shared" si="2"/>
        <v>0.14950251339340878</v>
      </c>
      <c r="G21" s="553">
        <f t="shared" si="1"/>
        <v>6017</v>
      </c>
      <c r="H21" s="554">
        <f t="shared" si="3"/>
        <v>0.14333357154767859</v>
      </c>
      <c r="I21" s="559"/>
      <c r="J21" s="21"/>
      <c r="K21" s="174"/>
      <c r="M21" s="555"/>
      <c r="N21" s="556"/>
      <c r="O21" s="557"/>
      <c r="P21" s="558"/>
      <c r="Q21" s="557"/>
    </row>
    <row r="22" spans="1:17">
      <c r="A22" s="180"/>
      <c r="B22" s="14"/>
      <c r="C22" s="13"/>
      <c r="D22" s="934" t="s">
        <v>964</v>
      </c>
      <c r="E22" s="551">
        <f t="shared" si="0"/>
        <v>36893344.170000039</v>
      </c>
      <c r="F22" s="552">
        <f t="shared" si="2"/>
        <v>7.1928140306168453E-2</v>
      </c>
      <c r="G22" s="553">
        <f t="shared" si="1"/>
        <v>2813</v>
      </c>
      <c r="H22" s="554">
        <f t="shared" si="3"/>
        <v>6.7009695323852397E-2</v>
      </c>
      <c r="I22" s="21"/>
      <c r="J22" s="21"/>
      <c r="K22" s="174"/>
      <c r="M22" s="555"/>
      <c r="N22" s="556"/>
      <c r="O22" s="557"/>
      <c r="P22" s="558"/>
      <c r="Q22" s="557"/>
    </row>
    <row r="23" spans="1:17">
      <c r="A23" s="180"/>
      <c r="B23" s="14"/>
      <c r="C23" s="13"/>
      <c r="D23" s="934" t="s">
        <v>965</v>
      </c>
      <c r="E23" s="551">
        <f t="shared" si="0"/>
        <v>12945801.580000004</v>
      </c>
      <c r="F23" s="552">
        <f t="shared" si="2"/>
        <v>2.5239442326815138E-2</v>
      </c>
      <c r="G23" s="553">
        <f t="shared" si="1"/>
        <v>1246</v>
      </c>
      <c r="H23" s="554">
        <f t="shared" si="3"/>
        <v>2.9681507420376854E-2</v>
      </c>
      <c r="I23" s="21"/>
      <c r="J23" s="21"/>
      <c r="K23" s="174"/>
      <c r="M23" s="555"/>
      <c r="N23" s="556"/>
      <c r="O23" s="557"/>
      <c r="P23" s="558"/>
      <c r="Q23" s="557"/>
    </row>
    <row r="24" spans="1:17" ht="12.75" customHeight="1">
      <c r="A24" s="180"/>
      <c r="B24" s="14"/>
      <c r="C24" s="13"/>
      <c r="D24" s="935" t="s">
        <v>966</v>
      </c>
      <c r="E24" s="551">
        <f t="shared" si="0"/>
        <v>3748993.4800000014</v>
      </c>
      <c r="F24" s="552">
        <f t="shared" si="2"/>
        <v>7.3091267572220888E-3</v>
      </c>
      <c r="G24" s="553">
        <f t="shared" si="1"/>
        <v>388</v>
      </c>
      <c r="H24" s="554">
        <f t="shared" si="3"/>
        <v>9.2427165963934344E-3</v>
      </c>
      <c r="I24" s="560"/>
      <c r="J24" s="21"/>
      <c r="K24" s="174"/>
      <c r="M24" s="561"/>
      <c r="N24" s="556"/>
      <c r="O24" s="557"/>
      <c r="P24" s="558"/>
      <c r="Q24" s="557"/>
    </row>
    <row r="25" spans="1:17">
      <c r="A25" s="180"/>
      <c r="B25" s="14"/>
      <c r="C25" s="13"/>
      <c r="D25" s="935" t="s">
        <v>967</v>
      </c>
      <c r="E25" s="551">
        <f t="shared" si="0"/>
        <v>1108487.1099999999</v>
      </c>
      <c r="F25" s="552">
        <f t="shared" si="2"/>
        <v>2.1611328051007388E-3</v>
      </c>
      <c r="G25" s="553">
        <f t="shared" si="1"/>
        <v>126</v>
      </c>
      <c r="H25" s="554">
        <f t="shared" si="3"/>
        <v>3.0015007503751876E-3</v>
      </c>
      <c r="I25" s="21"/>
      <c r="J25" s="21"/>
      <c r="K25" s="174"/>
      <c r="M25" s="561"/>
      <c r="N25" s="556"/>
      <c r="O25" s="557"/>
      <c r="P25" s="558"/>
      <c r="Q25" s="557"/>
    </row>
    <row r="26" spans="1:17">
      <c r="A26" s="180"/>
      <c r="B26" s="14"/>
      <c r="C26" s="13"/>
      <c r="D26" s="935" t="s">
        <v>968</v>
      </c>
      <c r="E26" s="551">
        <f t="shared" si="0"/>
        <v>345311.7</v>
      </c>
      <c r="F26" s="552">
        <f t="shared" si="2"/>
        <v>6.7322789423785443E-4</v>
      </c>
      <c r="G26" s="553">
        <f t="shared" si="1"/>
        <v>51</v>
      </c>
      <c r="H26" s="554">
        <f t="shared" si="3"/>
        <v>1.2148931608661473E-3</v>
      </c>
      <c r="I26" s="21"/>
      <c r="J26" s="21"/>
      <c r="K26" s="174"/>
      <c r="M26" s="561"/>
      <c r="N26" s="556"/>
      <c r="O26" s="557"/>
      <c r="P26" s="558"/>
      <c r="Q26" s="557"/>
    </row>
    <row r="27" spans="1:17" ht="13" thickBot="1">
      <c r="A27" s="180"/>
      <c r="B27" s="14"/>
      <c r="C27" s="13"/>
      <c r="D27" s="957" t="s">
        <v>1019</v>
      </c>
      <c r="E27" s="551">
        <f t="shared" si="0"/>
        <v>80022.679999999993</v>
      </c>
      <c r="F27" s="552">
        <f t="shared" si="2"/>
        <v>1.5601411810740748E-4</v>
      </c>
      <c r="G27" s="553">
        <f t="shared" si="1"/>
        <v>17</v>
      </c>
      <c r="H27" s="554">
        <f t="shared" si="3"/>
        <v>4.0496438695538246E-4</v>
      </c>
      <c r="I27" s="21"/>
      <c r="J27" s="21"/>
      <c r="K27" s="174"/>
      <c r="M27" s="561"/>
      <c r="N27" s="556"/>
      <c r="O27" s="557"/>
      <c r="P27" s="558"/>
      <c r="Q27" s="557"/>
    </row>
    <row r="28" spans="1:17" ht="14" thickTop="1" thickBot="1">
      <c r="A28" s="180"/>
      <c r="B28" s="14"/>
      <c r="C28" s="13"/>
      <c r="D28" s="527" t="s">
        <v>36</v>
      </c>
      <c r="E28" s="488">
        <f>SUM(E14:E27)</f>
        <v>512919477.87000018</v>
      </c>
      <c r="F28" s="562">
        <f>SUM(F14:F27)</f>
        <v>1</v>
      </c>
      <c r="G28" s="563">
        <f>SUM(G14:G27)</f>
        <v>41979</v>
      </c>
      <c r="H28" s="564">
        <f>SUM(H14:H27)</f>
        <v>0.99999999999999989</v>
      </c>
      <c r="I28" s="21"/>
      <c r="J28" s="21"/>
      <c r="K28" s="174"/>
      <c r="M28" s="37"/>
      <c r="N28" s="509"/>
      <c r="O28" s="565"/>
      <c r="P28" s="566"/>
      <c r="Q28" s="565"/>
    </row>
    <row r="29" spans="1:17">
      <c r="A29" s="180"/>
      <c r="B29" s="14"/>
      <c r="C29" s="13"/>
      <c r="D29" s="102"/>
      <c r="E29" s="567"/>
      <c r="F29" s="102"/>
      <c r="G29" s="102"/>
      <c r="H29" s="102"/>
      <c r="I29" s="21"/>
      <c r="J29" s="173"/>
      <c r="K29" s="174"/>
      <c r="N29" s="210"/>
    </row>
    <row r="30" spans="1:17">
      <c r="A30" s="180"/>
      <c r="B30" s="14"/>
      <c r="C30" s="13"/>
      <c r="E30" s="233"/>
      <c r="F30" s="102"/>
      <c r="G30" s="568"/>
      <c r="H30" s="102"/>
      <c r="I30" s="21"/>
      <c r="J30" s="173"/>
      <c r="K30" s="174"/>
      <c r="N30" s="233"/>
      <c r="P30" s="569"/>
    </row>
    <row r="31" spans="1:17" ht="13.5" thickBot="1">
      <c r="A31" s="180"/>
      <c r="B31" s="14"/>
      <c r="C31" s="13"/>
      <c r="D31" s="570" t="s">
        <v>69</v>
      </c>
      <c r="E31" s="570" t="s">
        <v>8</v>
      </c>
      <c r="F31" s="102"/>
      <c r="G31" s="102"/>
      <c r="H31" s="102"/>
      <c r="I31" s="21"/>
      <c r="J31" s="173"/>
      <c r="K31" s="174"/>
      <c r="M31" s="508"/>
      <c r="N31" s="508"/>
    </row>
    <row r="32" spans="1:17" ht="13" thickBot="1">
      <c r="A32" s="180"/>
      <c r="B32" s="14"/>
      <c r="C32" s="13"/>
      <c r="D32" s="515" t="s">
        <v>64</v>
      </c>
      <c r="E32" s="571">
        <f>VLOOKUP(CONCATENATE("interest_",D32),Assets,3,0)</f>
        <v>5.7358637207666555E-2</v>
      </c>
      <c r="F32" s="102"/>
      <c r="G32" s="572"/>
      <c r="H32" s="572"/>
      <c r="I32" s="21"/>
      <c r="J32" s="173"/>
      <c r="K32" s="174"/>
      <c r="M32" s="573"/>
      <c r="N32" s="574"/>
      <c r="P32" s="572"/>
      <c r="Q32" s="572"/>
    </row>
    <row r="33" spans="1:17">
      <c r="A33" s="180"/>
      <c r="B33" s="14"/>
      <c r="C33" s="13"/>
      <c r="D33" s="575"/>
      <c r="E33" s="574"/>
      <c r="F33" s="102"/>
      <c r="G33" s="576"/>
      <c r="H33" s="576"/>
      <c r="I33" s="21"/>
      <c r="J33" s="173"/>
      <c r="K33" s="174"/>
      <c r="M33" s="575"/>
      <c r="N33" s="574"/>
      <c r="P33" s="576"/>
      <c r="Q33" s="576"/>
    </row>
    <row r="34" spans="1:17" ht="14.5">
      <c r="A34" s="180"/>
      <c r="B34" s="14"/>
      <c r="C34" s="13"/>
      <c r="D34" s="550" t="s">
        <v>630</v>
      </c>
      <c r="E34" s="574"/>
      <c r="F34" s="102"/>
      <c r="G34" s="102"/>
      <c r="H34" s="102"/>
      <c r="I34" s="21"/>
      <c r="J34" s="173"/>
      <c r="K34" s="174"/>
      <c r="M34" s="164"/>
      <c r="N34" s="574"/>
    </row>
    <row r="35" spans="1:17">
      <c r="A35" s="180"/>
      <c r="B35" s="14"/>
      <c r="C35" s="13"/>
      <c r="D35" s="164"/>
      <c r="E35" s="577"/>
      <c r="F35" s="102"/>
      <c r="G35" s="102"/>
      <c r="H35" s="102"/>
      <c r="I35" s="21"/>
      <c r="J35" s="173"/>
      <c r="K35" s="174"/>
      <c r="M35" s="164"/>
      <c r="N35" s="574"/>
    </row>
    <row r="36" spans="1:17">
      <c r="A36" s="180"/>
      <c r="B36" s="14"/>
      <c r="C36" s="13"/>
      <c r="D36" s="164"/>
      <c r="E36" s="577"/>
      <c r="F36" s="102"/>
      <c r="G36" s="102"/>
      <c r="H36" s="102"/>
      <c r="I36" s="21"/>
      <c r="J36" s="173"/>
      <c r="K36" s="174"/>
      <c r="M36" s="164"/>
      <c r="N36" s="574"/>
    </row>
    <row r="37" spans="1:17">
      <c r="A37" s="180"/>
      <c r="B37" s="14"/>
      <c r="C37" s="13"/>
      <c r="D37" s="21"/>
      <c r="E37" s="21"/>
      <c r="F37" s="21"/>
      <c r="G37" s="21"/>
      <c r="H37" s="21"/>
      <c r="I37" s="21"/>
      <c r="J37" s="173"/>
      <c r="K37" s="174"/>
    </row>
    <row r="38" spans="1:17" ht="12" customHeight="1">
      <c r="A38" s="180"/>
      <c r="B38" s="14"/>
      <c r="C38" s="13"/>
      <c r="D38" s="578"/>
      <c r="E38" s="21"/>
      <c r="F38" s="21"/>
      <c r="G38" s="21"/>
      <c r="H38" s="21"/>
      <c r="I38" s="21"/>
      <c r="J38" s="21"/>
      <c r="K38" s="174"/>
      <c r="M38" s="578"/>
    </row>
    <row r="39" spans="1:17">
      <c r="A39" s="180"/>
      <c r="B39" s="14"/>
      <c r="C39" s="13"/>
      <c r="D39" s="21"/>
      <c r="E39" s="21"/>
      <c r="F39" s="21"/>
      <c r="G39" s="21"/>
      <c r="H39" s="21"/>
      <c r="I39" s="173"/>
      <c r="J39" s="21"/>
      <c r="K39" s="174"/>
    </row>
    <row r="40" spans="1:17" ht="14.5">
      <c r="A40" s="180"/>
      <c r="B40" s="14"/>
      <c r="C40" s="13"/>
      <c r="D40" s="214"/>
      <c r="E40" s="217"/>
      <c r="F40" s="215"/>
      <c r="G40" s="495"/>
      <c r="H40" s="495"/>
      <c r="I40" s="173"/>
      <c r="J40" s="21"/>
      <c r="K40" s="174"/>
      <c r="L40" s="21"/>
      <c r="M40" s="214"/>
      <c r="N40" s="217"/>
      <c r="O40" s="215"/>
      <c r="P40" s="495"/>
      <c r="Q40" s="495"/>
    </row>
    <row r="41" spans="1:17" s="21" customFormat="1">
      <c r="A41" s="180"/>
      <c r="B41" s="14"/>
      <c r="C41" s="13"/>
      <c r="D41" s="579"/>
      <c r="E41" s="556"/>
      <c r="F41" s="557"/>
      <c r="G41" s="558"/>
      <c r="H41" s="557"/>
      <c r="I41" s="173"/>
      <c r="K41" s="174"/>
      <c r="M41" s="579"/>
      <c r="N41" s="556"/>
      <c r="O41" s="557"/>
      <c r="P41" s="558"/>
      <c r="Q41" s="557"/>
    </row>
    <row r="42" spans="1:17" s="21" customFormat="1">
      <c r="A42" s="180"/>
      <c r="B42" s="14"/>
      <c r="C42" s="13"/>
      <c r="D42" s="579"/>
      <c r="E42" s="556"/>
      <c r="F42" s="557"/>
      <c r="G42" s="558"/>
      <c r="H42" s="557"/>
      <c r="I42" s="173"/>
      <c r="K42" s="174"/>
      <c r="M42" s="579"/>
      <c r="N42" s="556"/>
      <c r="O42" s="557"/>
      <c r="P42" s="558"/>
      <c r="Q42" s="557"/>
    </row>
    <row r="43" spans="1:17" s="105" customFormat="1" ht="15" customHeight="1">
      <c r="A43" s="103"/>
      <c r="B43" s="14"/>
      <c r="C43" s="13"/>
      <c r="D43" s="37"/>
      <c r="E43" s="509"/>
      <c r="F43" s="565"/>
      <c r="G43" s="566"/>
      <c r="H43" s="565"/>
      <c r="I43" s="173"/>
      <c r="K43" s="110"/>
      <c r="M43" s="37"/>
      <c r="N43" s="509"/>
      <c r="O43" s="565"/>
      <c r="P43" s="566"/>
      <c r="Q43" s="565"/>
    </row>
    <row r="44" spans="1:17" s="105" customFormat="1">
      <c r="A44" s="103"/>
      <c r="B44" s="14"/>
      <c r="C44" s="13"/>
      <c r="D44" s="197"/>
      <c r="E44" s="13"/>
      <c r="F44" s="198"/>
      <c r="G44" s="199"/>
      <c r="H44" s="198"/>
      <c r="I44" s="173"/>
      <c r="K44" s="110"/>
      <c r="M44" s="197"/>
      <c r="N44" s="13"/>
      <c r="O44" s="198"/>
      <c r="P44" s="199"/>
      <c r="Q44" s="198"/>
    </row>
    <row r="45" spans="1:17" s="105" customFormat="1">
      <c r="A45" s="103"/>
      <c r="B45" s="14"/>
      <c r="C45" s="13"/>
      <c r="D45" s="197"/>
      <c r="E45" s="13"/>
      <c r="F45" s="198"/>
      <c r="G45" s="199"/>
      <c r="H45" s="198"/>
      <c r="I45" s="173"/>
      <c r="K45" s="110"/>
      <c r="M45" s="197"/>
      <c r="N45" s="13"/>
      <c r="O45" s="198"/>
      <c r="P45" s="199"/>
      <c r="Q45" s="198"/>
    </row>
    <row r="46" spans="1:17" s="105" customFormat="1">
      <c r="A46" s="103"/>
      <c r="B46" s="14"/>
      <c r="C46" s="13"/>
      <c r="D46" s="197"/>
      <c r="E46" s="13"/>
      <c r="F46" s="198"/>
      <c r="G46" s="199"/>
      <c r="H46" s="198"/>
      <c r="I46" s="173"/>
      <c r="K46" s="110"/>
      <c r="M46" s="197"/>
      <c r="N46" s="13"/>
      <c r="O46" s="198"/>
      <c r="P46" s="199"/>
      <c r="Q46" s="198"/>
    </row>
    <row r="47" spans="1:17" s="21" customFormat="1">
      <c r="A47" s="195"/>
      <c r="B47" s="29"/>
      <c r="C47" s="11"/>
      <c r="D47" s="349"/>
      <c r="E47" s="11"/>
      <c r="F47" s="316"/>
      <c r="G47" s="350"/>
      <c r="H47" s="316"/>
      <c r="I47" s="390"/>
      <c r="J47" s="50"/>
      <c r="K47" s="196"/>
      <c r="M47" s="197"/>
      <c r="N47" s="13"/>
      <c r="O47" s="198"/>
      <c r="P47" s="199"/>
      <c r="Q47" s="198"/>
    </row>
    <row r="48" spans="1:17" s="21" customFormat="1">
      <c r="B48" s="14"/>
      <c r="C48" s="13"/>
      <c r="D48" s="197"/>
      <c r="E48" s="13"/>
      <c r="F48" s="198"/>
      <c r="G48" s="199"/>
      <c r="H48" s="198"/>
      <c r="I48" s="173"/>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21" customFormat="1">
      <c r="B51" s="14"/>
      <c r="C51" s="13"/>
      <c r="D51" s="197"/>
      <c r="E51" s="13"/>
      <c r="F51" s="198"/>
      <c r="G51" s="199"/>
      <c r="H51" s="198"/>
      <c r="I51" s="173"/>
      <c r="M51" s="197"/>
      <c r="N51" s="13"/>
      <c r="O51" s="198"/>
      <c r="P51" s="199"/>
      <c r="Q51" s="198"/>
    </row>
    <row r="52" spans="2:17" s="21" customFormat="1">
      <c r="B52" s="14"/>
      <c r="C52" s="13"/>
      <c r="D52" s="197"/>
      <c r="E52" s="13"/>
      <c r="F52" s="198"/>
      <c r="G52" s="199"/>
      <c r="H52" s="198"/>
      <c r="I52" s="173"/>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200"/>
      <c r="E75" s="201"/>
      <c r="F75" s="232"/>
      <c r="G75" s="203"/>
      <c r="H75" s="232"/>
      <c r="I75" s="173"/>
      <c r="M75" s="200"/>
      <c r="N75" s="201"/>
      <c r="O75" s="232"/>
      <c r="P75" s="203"/>
      <c r="Q75" s="232"/>
    </row>
    <row r="76" spans="2:17" s="21" customFormat="1">
      <c r="B76" s="14"/>
      <c r="C76" s="13"/>
      <c r="D76" s="200"/>
      <c r="E76" s="200"/>
      <c r="F76" s="200"/>
      <c r="G76" s="200"/>
      <c r="H76" s="200"/>
      <c r="I76" s="173"/>
      <c r="M76" s="200"/>
      <c r="N76" s="200"/>
      <c r="O76" s="200"/>
      <c r="P76" s="200"/>
      <c r="Q76" s="200"/>
    </row>
    <row r="77" spans="2:17" s="21" customFormat="1">
      <c r="B77" s="14"/>
      <c r="C77" s="13"/>
      <c r="D77" s="200"/>
      <c r="E77" s="200"/>
      <c r="F77" s="200"/>
      <c r="G77" s="200"/>
      <c r="H77" s="200"/>
      <c r="I77" s="173"/>
      <c r="M77" s="200"/>
      <c r="N77" s="200"/>
      <c r="O77" s="200"/>
      <c r="P77" s="200"/>
      <c r="Q77" s="200"/>
    </row>
    <row r="78" spans="2:17" s="21" customFormat="1">
      <c r="B78" s="14"/>
      <c r="C78" s="13"/>
      <c r="D78" s="204"/>
      <c r="E78" s="233"/>
      <c r="F78" s="200"/>
      <c r="G78" s="200"/>
      <c r="H78" s="200"/>
      <c r="I78" s="173"/>
      <c r="M78" s="204"/>
      <c r="N78" s="233"/>
      <c r="O78" s="200"/>
      <c r="P78" s="200"/>
      <c r="Q78" s="200"/>
    </row>
    <row r="79" spans="2:17" s="21" customFormat="1">
      <c r="B79" s="14"/>
      <c r="C79" s="13"/>
      <c r="D79" s="201"/>
      <c r="E79" s="233"/>
      <c r="F79" s="200"/>
      <c r="G79" s="200"/>
      <c r="H79" s="200"/>
      <c r="I79" s="173"/>
      <c r="M79" s="201"/>
      <c r="N79" s="233"/>
      <c r="O79" s="200"/>
      <c r="P79" s="200"/>
      <c r="Q79" s="200"/>
    </row>
    <row r="80" spans="2:17" s="21" customFormat="1">
      <c r="B80" s="14"/>
      <c r="C80" s="13"/>
      <c r="D80" s="200"/>
      <c r="E80" s="233"/>
      <c r="F80" s="200"/>
      <c r="G80" s="200"/>
      <c r="H80" s="200"/>
      <c r="I80" s="173"/>
      <c r="M80" s="200"/>
      <c r="N80" s="233"/>
      <c r="O80" s="200"/>
      <c r="P80" s="200"/>
      <c r="Q80" s="200"/>
    </row>
    <row r="81" spans="2:17" s="21" customFormat="1" ht="14">
      <c r="B81" s="200"/>
      <c r="C81" s="201"/>
      <c r="D81" s="206"/>
      <c r="E81" s="206"/>
      <c r="F81" s="206"/>
      <c r="G81" s="206"/>
      <c r="H81" s="206"/>
      <c r="I81" s="173"/>
      <c r="M81" s="206"/>
      <c r="N81" s="206"/>
      <c r="O81" s="206"/>
      <c r="P81" s="206"/>
      <c r="Q81" s="206"/>
    </row>
    <row r="82" spans="2:17" s="21" customFormat="1" ht="14">
      <c r="B82" s="105"/>
      <c r="C82" s="105"/>
      <c r="D82" s="206"/>
      <c r="E82" s="206"/>
      <c r="F82" s="206"/>
      <c r="G82" s="206"/>
      <c r="H82" s="206"/>
      <c r="I82" s="173"/>
      <c r="M82" s="206"/>
      <c r="N82" s="206"/>
      <c r="O82" s="206"/>
      <c r="P82" s="206"/>
      <c r="Q82" s="206"/>
    </row>
    <row r="83" spans="2:17" s="21" customFormat="1" ht="14">
      <c r="B83" s="105"/>
      <c r="C83" s="105"/>
      <c r="D83" s="207"/>
      <c r="E83" s="234"/>
      <c r="F83" s="206"/>
      <c r="G83" s="206"/>
      <c r="H83" s="206"/>
      <c r="I83" s="173"/>
      <c r="M83" s="207"/>
      <c r="N83" s="234"/>
      <c r="O83" s="206"/>
      <c r="P83" s="206"/>
      <c r="Q83" s="206"/>
    </row>
    <row r="84" spans="2:17" s="21" customFormat="1" ht="14">
      <c r="B84" s="204"/>
      <c r="C84" s="233"/>
      <c r="D84" s="209"/>
      <c r="E84" s="234"/>
      <c r="F84" s="206"/>
      <c r="G84" s="206"/>
      <c r="H84" s="206"/>
      <c r="I84" s="173"/>
      <c r="M84" s="209"/>
      <c r="N84" s="234"/>
      <c r="O84" s="206"/>
      <c r="P84" s="206"/>
      <c r="Q84" s="206"/>
    </row>
    <row r="85" spans="2:17" s="21" customFormat="1" ht="14">
      <c r="B85" s="210"/>
      <c r="C85" s="233"/>
      <c r="D85" s="206"/>
      <c r="E85" s="234"/>
      <c r="F85" s="206"/>
      <c r="G85" s="206"/>
      <c r="H85" s="206"/>
      <c r="I85" s="173"/>
      <c r="M85" s="206"/>
      <c r="N85" s="234"/>
      <c r="O85" s="206"/>
      <c r="P85" s="206"/>
      <c r="Q85" s="206"/>
    </row>
    <row r="86" spans="2:17" s="21" customFormat="1">
      <c r="C86" s="233"/>
      <c r="I86" s="173"/>
    </row>
    <row r="87" spans="2:17" s="21" customFormat="1">
      <c r="I87" s="173"/>
    </row>
    <row r="88" spans="2:17" s="21" customFormat="1">
      <c r="I88" s="173"/>
    </row>
    <row r="89" spans="2:17" s="21" customFormat="1">
      <c r="I89" s="173"/>
    </row>
    <row r="90" spans="2:17" s="21" customFormat="1">
      <c r="I90" s="173"/>
    </row>
    <row r="91" spans="2:17" s="21" customFormat="1">
      <c r="I91" s="173"/>
    </row>
    <row r="92" spans="2:17" s="21" customFormat="1">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45848</v>
      </c>
      <c r="G2" s="107"/>
      <c r="H2" s="107"/>
      <c r="I2" s="107"/>
      <c r="J2" s="109"/>
      <c r="K2" s="359"/>
    </row>
    <row r="3" spans="1:13" s="102" customFormat="1" ht="18">
      <c r="A3" s="103"/>
      <c r="B3" s="104" t="str">
        <f>'Cover Sheet'!B3</f>
        <v>Monthly Investor Report</v>
      </c>
      <c r="C3" s="104"/>
      <c r="D3" s="112" t="str">
        <f>'Cover Sheet'!D3</f>
        <v>Payment Date</v>
      </c>
      <c r="E3" s="113"/>
      <c r="F3" s="114">
        <f>'Cover Sheet'!F3</f>
        <v>45852</v>
      </c>
      <c r="G3" s="113"/>
      <c r="H3" s="113"/>
      <c r="I3" s="113"/>
      <c r="J3" s="115"/>
      <c r="K3" s="125"/>
    </row>
    <row r="4" spans="1:13" s="102" customFormat="1" ht="13">
      <c r="A4" s="103"/>
      <c r="B4" s="157"/>
      <c r="C4" s="158"/>
      <c r="D4" s="112" t="str">
        <f>'Cover Sheet'!D4</f>
        <v>Period  No</v>
      </c>
      <c r="E4" s="113"/>
      <c r="F4" s="117">
        <f>'Cover Sheet'!F4</f>
        <v>33</v>
      </c>
      <c r="G4" s="113"/>
      <c r="H4" s="118"/>
      <c r="I4" s="113"/>
      <c r="J4" s="119"/>
      <c r="K4" s="359"/>
    </row>
    <row r="5" spans="1:13" s="102" customFormat="1" ht="18">
      <c r="A5" s="103"/>
      <c r="B5" s="160" t="s">
        <v>204</v>
      </c>
      <c r="C5" s="120"/>
      <c r="D5" s="112" t="str">
        <f>'Cover Sheet'!D5</f>
        <v>Monthly Period</v>
      </c>
      <c r="E5" s="113"/>
      <c r="F5" s="121">
        <f>'Cover Sheet'!F5</f>
        <v>45852</v>
      </c>
      <c r="G5" s="113"/>
      <c r="H5" s="118"/>
      <c r="I5" s="113"/>
      <c r="J5" s="119"/>
      <c r="K5" s="125"/>
    </row>
    <row r="6" spans="1:13"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550" t="s">
        <v>630</v>
      </c>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6.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147</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494"/>
      <c r="C13" s="21"/>
      <c r="D13" s="498" t="s">
        <v>76</v>
      </c>
      <c r="E13" s="532" t="s">
        <v>71</v>
      </c>
      <c r="F13" s="499" t="s">
        <v>113</v>
      </c>
      <c r="G13" s="500" t="s">
        <v>61</v>
      </c>
      <c r="H13" s="533" t="s">
        <v>114</v>
      </c>
      <c r="I13" s="173"/>
      <c r="K13" s="110"/>
      <c r="M13" s="214"/>
      <c r="N13" s="217"/>
      <c r="O13" s="215"/>
      <c r="P13" s="495"/>
      <c r="Q13" s="495"/>
    </row>
    <row r="14" spans="1:17" s="102" customFormat="1">
      <c r="A14" s="103"/>
      <c r="B14" s="172"/>
      <c r="C14" s="172"/>
      <c r="D14" s="936" t="s">
        <v>969</v>
      </c>
      <c r="E14" s="534">
        <f t="shared" ref="E14:E41" si="0">VLOOKUP(CONCATENATE("seasoning_",D14),Assets,3,0)</f>
        <v>0</v>
      </c>
      <c r="F14" s="535">
        <f>E14/$E$42</f>
        <v>0</v>
      </c>
      <c r="G14" s="536">
        <f t="shared" ref="G14:G41" si="1">VLOOKUP(CONCATENATE("seasoning_",D14),Assets,2,0)</f>
        <v>0</v>
      </c>
      <c r="H14" s="537">
        <f>G14/$G$42</f>
        <v>0</v>
      </c>
      <c r="I14" s="173"/>
      <c r="K14" s="110"/>
      <c r="M14" s="538"/>
      <c r="N14" s="531"/>
      <c r="O14" s="528"/>
      <c r="P14" s="529"/>
      <c r="Q14" s="528"/>
    </row>
    <row r="15" spans="1:17">
      <c r="A15" s="180"/>
      <c r="B15" s="14"/>
      <c r="C15" s="13"/>
      <c r="D15" s="936" t="s">
        <v>970</v>
      </c>
      <c r="E15" s="534">
        <f t="shared" si="0"/>
        <v>0</v>
      </c>
      <c r="F15" s="535">
        <f t="shared" ref="F15:F41" si="2">E15/$E$42</f>
        <v>0</v>
      </c>
      <c r="G15" s="536">
        <f t="shared" si="1"/>
        <v>0</v>
      </c>
      <c r="H15" s="537">
        <f t="shared" ref="H15:H41" si="3">G15/$G$42</f>
        <v>0</v>
      </c>
      <c r="I15" s="173"/>
      <c r="K15" s="174"/>
      <c r="M15" s="538"/>
      <c r="N15" s="531"/>
      <c r="O15" s="528"/>
      <c r="P15" s="529"/>
      <c r="Q15" s="528"/>
    </row>
    <row r="16" spans="1:17">
      <c r="A16" s="180"/>
      <c r="B16" s="14"/>
      <c r="C16" s="13"/>
      <c r="D16" s="936" t="s">
        <v>971</v>
      </c>
      <c r="E16" s="534">
        <f t="shared" si="0"/>
        <v>0</v>
      </c>
      <c r="F16" s="535">
        <f t="shared" si="2"/>
        <v>0</v>
      </c>
      <c r="G16" s="536">
        <f t="shared" si="1"/>
        <v>0</v>
      </c>
      <c r="H16" s="537">
        <f t="shared" si="3"/>
        <v>0</v>
      </c>
      <c r="I16" s="173"/>
      <c r="K16" s="174"/>
      <c r="M16" s="538"/>
      <c r="N16" s="531"/>
      <c r="O16" s="528"/>
      <c r="P16" s="529"/>
      <c r="Q16" s="528"/>
    </row>
    <row r="17" spans="1:17">
      <c r="A17" s="180"/>
      <c r="B17" s="14"/>
      <c r="C17" s="13"/>
      <c r="D17" s="936" t="s">
        <v>972</v>
      </c>
      <c r="E17" s="534">
        <f t="shared" si="0"/>
        <v>0</v>
      </c>
      <c r="F17" s="535">
        <f t="shared" si="2"/>
        <v>0</v>
      </c>
      <c r="G17" s="536">
        <f t="shared" si="1"/>
        <v>0</v>
      </c>
      <c r="H17" s="537">
        <f t="shared" si="3"/>
        <v>0</v>
      </c>
      <c r="I17" s="173"/>
      <c r="K17" s="174"/>
      <c r="M17" s="539"/>
      <c r="N17" s="531"/>
      <c r="O17" s="528"/>
      <c r="P17" s="529"/>
      <c r="Q17" s="528"/>
    </row>
    <row r="18" spans="1:17">
      <c r="A18" s="180"/>
      <c r="B18" s="14"/>
      <c r="C18" s="13"/>
      <c r="D18" s="936" t="s">
        <v>973</v>
      </c>
      <c r="E18" s="534">
        <f t="shared" si="0"/>
        <v>0</v>
      </c>
      <c r="F18" s="535">
        <f t="shared" si="2"/>
        <v>0</v>
      </c>
      <c r="G18" s="536">
        <f t="shared" si="1"/>
        <v>0</v>
      </c>
      <c r="H18" s="537">
        <f t="shared" si="3"/>
        <v>0</v>
      </c>
      <c r="I18" s="173"/>
      <c r="K18" s="174"/>
      <c r="M18" s="539"/>
      <c r="N18" s="531"/>
      <c r="O18" s="528"/>
      <c r="P18" s="529"/>
      <c r="Q18" s="528"/>
    </row>
    <row r="19" spans="1:17">
      <c r="A19" s="180"/>
      <c r="B19" s="14"/>
      <c r="C19" s="13"/>
      <c r="D19" s="936" t="s">
        <v>974</v>
      </c>
      <c r="E19" s="534">
        <f t="shared" si="0"/>
        <v>0</v>
      </c>
      <c r="F19" s="535">
        <f t="shared" si="2"/>
        <v>0</v>
      </c>
      <c r="G19" s="536">
        <f t="shared" si="1"/>
        <v>0</v>
      </c>
      <c r="H19" s="537">
        <f t="shared" si="3"/>
        <v>0</v>
      </c>
      <c r="I19" s="173"/>
      <c r="K19" s="174"/>
      <c r="M19" s="539"/>
      <c r="N19" s="531"/>
      <c r="O19" s="528"/>
      <c r="P19" s="529"/>
      <c r="Q19" s="528"/>
    </row>
    <row r="20" spans="1:17">
      <c r="A20" s="180"/>
      <c r="B20" s="14"/>
      <c r="C20" s="13"/>
      <c r="D20" s="936" t="s">
        <v>975</v>
      </c>
      <c r="E20" s="534">
        <f t="shared" si="0"/>
        <v>0</v>
      </c>
      <c r="F20" s="535">
        <f t="shared" si="2"/>
        <v>0</v>
      </c>
      <c r="G20" s="536">
        <f t="shared" si="1"/>
        <v>0</v>
      </c>
      <c r="H20" s="537">
        <f t="shared" si="3"/>
        <v>0</v>
      </c>
      <c r="I20" s="173"/>
      <c r="K20" s="174"/>
      <c r="M20" s="539"/>
      <c r="N20" s="531"/>
      <c r="O20" s="528"/>
      <c r="P20" s="529"/>
      <c r="Q20" s="528"/>
    </row>
    <row r="21" spans="1:17">
      <c r="A21" s="180"/>
      <c r="B21" s="14"/>
      <c r="C21" s="13"/>
      <c r="D21" s="936" t="s">
        <v>976</v>
      </c>
      <c r="E21" s="534">
        <f t="shared" si="0"/>
        <v>3270023.5399999996</v>
      </c>
      <c r="F21" s="535">
        <f t="shared" si="2"/>
        <v>6.375315582826808E-3</v>
      </c>
      <c r="G21" s="536">
        <f t="shared" si="1"/>
        <v>293</v>
      </c>
      <c r="H21" s="537">
        <f t="shared" si="3"/>
        <v>6.9796803163486507E-3</v>
      </c>
      <c r="I21" s="173"/>
      <c r="K21" s="174"/>
      <c r="M21" s="539"/>
      <c r="N21" s="531"/>
      <c r="O21" s="528"/>
      <c r="P21" s="529"/>
      <c r="Q21" s="528"/>
    </row>
    <row r="22" spans="1:17">
      <c r="A22" s="180"/>
      <c r="B22" s="14"/>
      <c r="C22" s="13"/>
      <c r="D22" s="936" t="s">
        <v>977</v>
      </c>
      <c r="E22" s="534">
        <f t="shared" si="0"/>
        <v>18710905.329999987</v>
      </c>
      <c r="F22" s="535">
        <f t="shared" si="2"/>
        <v>3.647922556519153E-2</v>
      </c>
      <c r="G22" s="536">
        <f t="shared" si="1"/>
        <v>1392</v>
      </c>
      <c r="H22" s="537">
        <f t="shared" si="3"/>
        <v>3.3159436861287785E-2</v>
      </c>
      <c r="I22" s="173"/>
      <c r="K22" s="174"/>
      <c r="M22" s="540"/>
      <c r="N22" s="531"/>
      <c r="O22" s="528"/>
      <c r="P22" s="529"/>
      <c r="Q22" s="528"/>
    </row>
    <row r="23" spans="1:17">
      <c r="A23" s="180"/>
      <c r="B23" s="14"/>
      <c r="C23" s="13"/>
      <c r="D23" s="936" t="s">
        <v>978</v>
      </c>
      <c r="E23" s="534">
        <f t="shared" si="0"/>
        <v>27024901.380000003</v>
      </c>
      <c r="F23" s="535">
        <f t="shared" si="2"/>
        <v>5.2688389788249579E-2</v>
      </c>
      <c r="G23" s="536">
        <f t="shared" si="1"/>
        <v>2126</v>
      </c>
      <c r="H23" s="537">
        <f t="shared" si="3"/>
        <v>5.0644369803949596E-2</v>
      </c>
      <c r="I23" s="173"/>
      <c r="K23" s="174"/>
      <c r="M23" s="541"/>
      <c r="N23" s="531"/>
      <c r="O23" s="528"/>
      <c r="P23" s="529"/>
      <c r="Q23" s="528"/>
    </row>
    <row r="24" spans="1:17" ht="12.75" customHeight="1">
      <c r="A24" s="180"/>
      <c r="B24" s="14"/>
      <c r="C24" s="13"/>
      <c r="D24" s="936" t="s">
        <v>979</v>
      </c>
      <c r="E24" s="534">
        <f t="shared" si="0"/>
        <v>23494914.699999966</v>
      </c>
      <c r="F24" s="535">
        <f t="shared" si="2"/>
        <v>4.5806243891472545E-2</v>
      </c>
      <c r="G24" s="536">
        <f t="shared" si="1"/>
        <v>1887</v>
      </c>
      <c r="H24" s="537">
        <f t="shared" si="3"/>
        <v>4.4951046952047449E-2</v>
      </c>
      <c r="I24" s="173"/>
      <c r="K24" s="174"/>
      <c r="M24" s="541"/>
      <c r="N24" s="531"/>
      <c r="O24" s="528"/>
      <c r="P24" s="529"/>
      <c r="Q24" s="528"/>
    </row>
    <row r="25" spans="1:17" ht="12.75" customHeight="1">
      <c r="A25" s="180"/>
      <c r="B25" s="14"/>
      <c r="C25" s="13"/>
      <c r="D25" s="936" t="s">
        <v>980</v>
      </c>
      <c r="E25" s="534">
        <f t="shared" si="0"/>
        <v>82931163.250000134</v>
      </c>
      <c r="F25" s="535">
        <f t="shared" si="2"/>
        <v>0.16168456615137389</v>
      </c>
      <c r="G25" s="536">
        <f t="shared" si="1"/>
        <v>7016</v>
      </c>
      <c r="H25" s="537">
        <f t="shared" si="3"/>
        <v>0.16713118463993901</v>
      </c>
      <c r="I25" s="173"/>
      <c r="K25" s="174"/>
      <c r="M25" s="541"/>
      <c r="N25" s="531"/>
      <c r="O25" s="528"/>
      <c r="P25" s="529"/>
      <c r="Q25" s="528"/>
    </row>
    <row r="26" spans="1:17" ht="12.75" customHeight="1">
      <c r="A26" s="180"/>
      <c r="B26" s="14"/>
      <c r="C26" s="13"/>
      <c r="D26" s="936" t="s">
        <v>981</v>
      </c>
      <c r="E26" s="534">
        <f t="shared" si="0"/>
        <v>165714773.12999976</v>
      </c>
      <c r="F26" s="535">
        <f t="shared" si="2"/>
        <v>0.32308145874702077</v>
      </c>
      <c r="G26" s="536">
        <f t="shared" si="1"/>
        <v>12526</v>
      </c>
      <c r="H26" s="537">
        <f t="shared" si="3"/>
        <v>0.29838728888253652</v>
      </c>
      <c r="I26" s="173"/>
      <c r="K26" s="174"/>
      <c r="M26" s="541"/>
      <c r="N26" s="531"/>
      <c r="O26" s="528"/>
      <c r="P26" s="529"/>
      <c r="Q26" s="528"/>
    </row>
    <row r="27" spans="1:17" ht="12.75" customHeight="1">
      <c r="A27" s="180"/>
      <c r="B27" s="14"/>
      <c r="C27" s="13"/>
      <c r="D27" s="936" t="s">
        <v>982</v>
      </c>
      <c r="E27" s="534">
        <f t="shared" si="0"/>
        <v>112667583.53000003</v>
      </c>
      <c r="F27" s="535">
        <f t="shared" si="2"/>
        <v>0.21965939760734882</v>
      </c>
      <c r="G27" s="536">
        <f t="shared" si="1"/>
        <v>8918</v>
      </c>
      <c r="H27" s="537">
        <f t="shared" si="3"/>
        <v>0.21243955310988827</v>
      </c>
      <c r="I27" s="173"/>
      <c r="K27" s="174"/>
      <c r="M27" s="541"/>
      <c r="N27" s="531"/>
      <c r="O27" s="528"/>
      <c r="P27" s="529"/>
      <c r="Q27" s="528"/>
    </row>
    <row r="28" spans="1:17" ht="12.75" customHeight="1">
      <c r="A28" s="180"/>
      <c r="B28" s="14"/>
      <c r="C28" s="13"/>
      <c r="D28" s="936" t="s">
        <v>983</v>
      </c>
      <c r="E28" s="534">
        <f t="shared" si="0"/>
        <v>50280327.829999939</v>
      </c>
      <c r="F28" s="535">
        <f t="shared" si="2"/>
        <v>9.8027721697758502E-2</v>
      </c>
      <c r="G28" s="536">
        <f t="shared" si="1"/>
        <v>4878</v>
      </c>
      <c r="H28" s="537">
        <f t="shared" si="3"/>
        <v>0.11620095762166797</v>
      </c>
      <c r="I28" s="173"/>
      <c r="K28" s="174"/>
      <c r="M28" s="541"/>
      <c r="N28" s="531"/>
      <c r="O28" s="528"/>
      <c r="P28" s="529"/>
      <c r="Q28" s="528"/>
    </row>
    <row r="29" spans="1:17" ht="12.75" customHeight="1">
      <c r="A29" s="180"/>
      <c r="B29" s="14"/>
      <c r="C29" s="13"/>
      <c r="D29" s="936" t="s">
        <v>984</v>
      </c>
      <c r="E29" s="534">
        <f t="shared" si="0"/>
        <v>16040161.429999987</v>
      </c>
      <c r="F29" s="535">
        <f t="shared" si="2"/>
        <v>3.1272279806198726E-2</v>
      </c>
      <c r="G29" s="536">
        <f t="shared" si="1"/>
        <v>1548</v>
      </c>
      <c r="H29" s="537">
        <f t="shared" si="3"/>
        <v>3.6875580647466592E-2</v>
      </c>
      <c r="I29" s="173"/>
      <c r="K29" s="174"/>
      <c r="M29" s="541"/>
      <c r="N29" s="531"/>
      <c r="O29" s="528"/>
      <c r="P29" s="529"/>
      <c r="Q29" s="528"/>
    </row>
    <row r="30" spans="1:17" ht="12.75" customHeight="1">
      <c r="A30" s="180"/>
      <c r="B30" s="14"/>
      <c r="C30" s="13"/>
      <c r="D30" s="936" t="s">
        <v>985</v>
      </c>
      <c r="E30" s="534">
        <f t="shared" si="0"/>
        <v>5752897.5899999952</v>
      </c>
      <c r="F30" s="535">
        <f t="shared" si="2"/>
        <v>1.1215985818846357E-2</v>
      </c>
      <c r="G30" s="536">
        <f t="shared" si="1"/>
        <v>578</v>
      </c>
      <c r="H30" s="537">
        <f t="shared" si="3"/>
        <v>1.3768789156483004E-2</v>
      </c>
      <c r="I30" s="173"/>
      <c r="K30" s="174"/>
      <c r="M30" s="541"/>
      <c r="N30" s="531"/>
      <c r="O30" s="528"/>
      <c r="P30" s="529"/>
      <c r="Q30" s="528"/>
    </row>
    <row r="31" spans="1:17" ht="12.75" customHeight="1">
      <c r="A31" s="180"/>
      <c r="B31" s="14"/>
      <c r="C31" s="13"/>
      <c r="D31" s="936" t="s">
        <v>986</v>
      </c>
      <c r="E31" s="534">
        <f t="shared" si="0"/>
        <v>3837855.3600000008</v>
      </c>
      <c r="F31" s="535">
        <f t="shared" si="2"/>
        <v>7.4823739896512781E-3</v>
      </c>
      <c r="G31" s="536">
        <f t="shared" si="1"/>
        <v>393</v>
      </c>
      <c r="H31" s="537">
        <f t="shared" si="3"/>
        <v>9.3618237690273713E-3</v>
      </c>
      <c r="I31" s="173"/>
      <c r="K31" s="174"/>
      <c r="M31" s="541"/>
      <c r="N31" s="531"/>
      <c r="O31" s="528"/>
      <c r="P31" s="529"/>
      <c r="Q31" s="528"/>
    </row>
    <row r="32" spans="1:17" ht="12.75" customHeight="1">
      <c r="A32" s="180"/>
      <c r="B32" s="14"/>
      <c r="C32" s="13"/>
      <c r="D32" s="936" t="s">
        <v>987</v>
      </c>
      <c r="E32" s="534">
        <f t="shared" si="0"/>
        <v>2084828.9499999988</v>
      </c>
      <c r="F32" s="535">
        <f t="shared" si="2"/>
        <v>4.0646320523012036E-3</v>
      </c>
      <c r="G32" s="536">
        <f t="shared" si="1"/>
        <v>249</v>
      </c>
      <c r="H32" s="537">
        <f t="shared" si="3"/>
        <v>5.9315371971700136E-3</v>
      </c>
      <c r="I32" s="173"/>
      <c r="K32" s="174"/>
      <c r="M32" s="541"/>
      <c r="N32" s="531"/>
      <c r="O32" s="528"/>
      <c r="P32" s="529"/>
      <c r="Q32" s="528"/>
    </row>
    <row r="33" spans="1:17" ht="12.75" customHeight="1">
      <c r="A33" s="180"/>
      <c r="B33" s="14"/>
      <c r="C33" s="13"/>
      <c r="D33" s="936" t="s">
        <v>988</v>
      </c>
      <c r="E33" s="534">
        <f t="shared" si="0"/>
        <v>685391.99999999965</v>
      </c>
      <c r="F33" s="535">
        <f t="shared" si="2"/>
        <v>1.3362565267480704E-3</v>
      </c>
      <c r="G33" s="536">
        <f t="shared" si="1"/>
        <v>94</v>
      </c>
      <c r="H33" s="537">
        <f t="shared" si="3"/>
        <v>2.239214845517997E-3</v>
      </c>
      <c r="I33" s="173"/>
      <c r="K33" s="174"/>
      <c r="M33" s="541"/>
      <c r="N33" s="531"/>
      <c r="O33" s="528"/>
      <c r="P33" s="529"/>
      <c r="Q33" s="528"/>
    </row>
    <row r="34" spans="1:17" ht="12.75" customHeight="1">
      <c r="A34" s="180"/>
      <c r="B34" s="14"/>
      <c r="C34" s="13"/>
      <c r="D34" s="936" t="s">
        <v>989</v>
      </c>
      <c r="E34" s="534">
        <f t="shared" si="0"/>
        <v>108656.02999999998</v>
      </c>
      <c r="F34" s="535">
        <f t="shared" si="2"/>
        <v>2.1183837753874308E-4</v>
      </c>
      <c r="G34" s="536">
        <f t="shared" si="1"/>
        <v>14</v>
      </c>
      <c r="H34" s="537">
        <f t="shared" si="3"/>
        <v>3.3350008337502084E-4</v>
      </c>
      <c r="I34" s="173"/>
      <c r="K34" s="174"/>
      <c r="M34" s="541"/>
      <c r="N34" s="531"/>
      <c r="O34" s="528"/>
      <c r="P34" s="529"/>
      <c r="Q34" s="528"/>
    </row>
    <row r="35" spans="1:17" ht="12.75" customHeight="1">
      <c r="A35" s="180"/>
      <c r="B35" s="14"/>
      <c r="C35" s="13"/>
      <c r="D35" s="936" t="s">
        <v>990</v>
      </c>
      <c r="E35" s="534">
        <f t="shared" si="0"/>
        <v>134201.22</v>
      </c>
      <c r="F35" s="535">
        <f t="shared" si="2"/>
        <v>2.6164188686555106E-4</v>
      </c>
      <c r="G35" s="536">
        <f t="shared" si="1"/>
        <v>25</v>
      </c>
      <c r="H35" s="537">
        <f t="shared" si="3"/>
        <v>5.9553586316968006E-4</v>
      </c>
      <c r="I35" s="173"/>
      <c r="K35" s="174"/>
      <c r="M35" s="541"/>
      <c r="N35" s="531"/>
      <c r="O35" s="528"/>
      <c r="P35" s="529"/>
      <c r="Q35" s="528"/>
    </row>
    <row r="36" spans="1:17" ht="12.75" customHeight="1">
      <c r="A36" s="180"/>
      <c r="B36" s="14"/>
      <c r="C36" s="13"/>
      <c r="D36" s="936" t="s">
        <v>991</v>
      </c>
      <c r="E36" s="534">
        <f t="shared" si="0"/>
        <v>79043.700000000012</v>
      </c>
      <c r="F36" s="535">
        <f t="shared" si="2"/>
        <v>1.5410547544079378E-4</v>
      </c>
      <c r="G36" s="536">
        <f t="shared" si="1"/>
        <v>18</v>
      </c>
      <c r="H36" s="537">
        <f t="shared" si="3"/>
        <v>4.2878582148216966E-4</v>
      </c>
      <c r="I36" s="173"/>
      <c r="K36" s="174"/>
      <c r="M36" s="541"/>
      <c r="N36" s="531"/>
      <c r="O36" s="528"/>
      <c r="P36" s="529"/>
      <c r="Q36" s="528"/>
    </row>
    <row r="37" spans="1:17" ht="12.75" customHeight="1">
      <c r="A37" s="180"/>
      <c r="B37" s="14"/>
      <c r="C37" s="13"/>
      <c r="D37" s="936" t="s">
        <v>1018</v>
      </c>
      <c r="E37" s="534">
        <f t="shared" ref="E37" si="4">VLOOKUP(CONCATENATE("seasoning_",D37),Assets,3,0)</f>
        <v>36976.93</v>
      </c>
      <c r="F37" s="535">
        <f t="shared" si="2"/>
        <v>7.2091101226169182E-5</v>
      </c>
      <c r="G37" s="536">
        <f t="shared" ref="G37" si="5">VLOOKUP(CONCATENATE("seasoning_",D37),Assets,2,0)</f>
        <v>5</v>
      </c>
      <c r="H37" s="537">
        <f t="shared" si="3"/>
        <v>1.1910717263393602E-4</v>
      </c>
      <c r="I37" s="173"/>
      <c r="K37" s="174"/>
      <c r="M37" s="541"/>
      <c r="N37" s="531"/>
      <c r="O37" s="528"/>
      <c r="P37" s="529"/>
      <c r="Q37" s="528"/>
    </row>
    <row r="38" spans="1:17" ht="12.75" customHeight="1">
      <c r="A38" s="180"/>
      <c r="B38" s="14"/>
      <c r="C38" s="13"/>
      <c r="D38" s="936" t="s">
        <v>992</v>
      </c>
      <c r="E38" s="534">
        <f t="shared" si="0"/>
        <v>21873.78</v>
      </c>
      <c r="F38" s="535">
        <f t="shared" si="2"/>
        <v>4.2645641165422739E-5</v>
      </c>
      <c r="G38" s="536">
        <f t="shared" si="1"/>
        <v>5</v>
      </c>
      <c r="H38" s="537">
        <f t="shared" si="3"/>
        <v>1.1910717263393602E-4</v>
      </c>
      <c r="I38" s="173"/>
      <c r="K38" s="174"/>
      <c r="M38" s="541"/>
      <c r="N38" s="531"/>
      <c r="O38" s="528"/>
      <c r="P38" s="529"/>
      <c r="Q38" s="528"/>
    </row>
    <row r="39" spans="1:17" ht="12.75" customHeight="1">
      <c r="A39" s="180"/>
      <c r="B39" s="14"/>
      <c r="C39" s="13"/>
      <c r="D39" s="936" t="s">
        <v>993</v>
      </c>
      <c r="E39" s="534">
        <f t="shared" si="0"/>
        <v>34081.760000000002</v>
      </c>
      <c r="F39" s="535">
        <f t="shared" si="2"/>
        <v>6.6446609010699489E-5</v>
      </c>
      <c r="G39" s="536">
        <f t="shared" si="1"/>
        <v>9</v>
      </c>
      <c r="H39" s="537">
        <f t="shared" si="3"/>
        <v>2.1439291074108483E-4</v>
      </c>
      <c r="I39" s="173"/>
      <c r="K39" s="174"/>
      <c r="M39" s="541"/>
      <c r="N39" s="531"/>
      <c r="O39" s="528"/>
      <c r="P39" s="529"/>
      <c r="Q39" s="528"/>
    </row>
    <row r="40" spans="1:17" ht="12.75" customHeight="1">
      <c r="A40" s="180"/>
      <c r="B40" s="14"/>
      <c r="C40" s="13"/>
      <c r="D40" s="936" t="s">
        <v>994</v>
      </c>
      <c r="E40" s="534">
        <f t="shared" si="0"/>
        <v>7338.3499999999995</v>
      </c>
      <c r="F40" s="535">
        <f t="shared" si="2"/>
        <v>1.4307021504572137E-5</v>
      </c>
      <c r="G40" s="536">
        <f t="shared" si="1"/>
        <v>3</v>
      </c>
      <c r="H40" s="537">
        <f t="shared" si="3"/>
        <v>7.1464303580361606E-5</v>
      </c>
      <c r="I40" s="173"/>
      <c r="K40" s="174"/>
      <c r="M40" s="541"/>
      <c r="N40" s="531"/>
      <c r="O40" s="528"/>
      <c r="P40" s="529"/>
      <c r="Q40" s="528"/>
    </row>
    <row r="41" spans="1:17" ht="12.75" customHeight="1" thickBot="1">
      <c r="A41" s="180"/>
      <c r="B41" s="14"/>
      <c r="C41" s="13"/>
      <c r="D41" s="963" t="s">
        <v>1020</v>
      </c>
      <c r="E41" s="534">
        <f t="shared" si="0"/>
        <v>1578.08</v>
      </c>
      <c r="F41" s="535">
        <f t="shared" si="2"/>
        <v>3.0766622600360027E-6</v>
      </c>
      <c r="G41" s="536">
        <f t="shared" si="1"/>
        <v>2</v>
      </c>
      <c r="H41" s="537">
        <f t="shared" si="3"/>
        <v>4.7642869053574406E-5</v>
      </c>
      <c r="I41" s="173"/>
      <c r="K41" s="174"/>
      <c r="M41" s="541"/>
      <c r="N41" s="531"/>
      <c r="O41" s="528"/>
      <c r="P41" s="529"/>
      <c r="Q41" s="528"/>
    </row>
    <row r="42" spans="1:17" ht="14" thickTop="1" thickBot="1">
      <c r="A42" s="180"/>
      <c r="B42" s="14"/>
      <c r="C42" s="13"/>
      <c r="D42" s="542" t="s">
        <v>36</v>
      </c>
      <c r="E42" s="543">
        <f>SUM(E14:E41)</f>
        <v>512919477.86999977</v>
      </c>
      <c r="F42" s="544">
        <f>SUM(F14:F41)</f>
        <v>1.0000000000000002</v>
      </c>
      <c r="G42" s="545">
        <f>SUM(G14:G41)</f>
        <v>41979</v>
      </c>
      <c r="H42" s="546">
        <f>SUM(H14:H41)</f>
        <v>1.0000000000000002</v>
      </c>
      <c r="I42" s="173"/>
      <c r="J42" s="173"/>
      <c r="K42" s="174"/>
      <c r="M42" s="37"/>
      <c r="N42" s="509"/>
      <c r="O42" s="547"/>
      <c r="P42" s="511"/>
      <c r="Q42" s="510"/>
    </row>
    <row r="43" spans="1:17" ht="13">
      <c r="A43" s="180"/>
      <c r="B43" s="14"/>
      <c r="C43" s="13"/>
      <c r="D43" s="548"/>
      <c r="E43" s="549"/>
      <c r="F43" s="547"/>
      <c r="G43" s="493"/>
      <c r="H43" s="227"/>
      <c r="I43" s="173"/>
      <c r="J43" s="173"/>
      <c r="K43" s="174"/>
      <c r="M43" s="37"/>
      <c r="N43" s="509"/>
      <c r="O43" s="547"/>
      <c r="P43" s="511"/>
      <c r="Q43" s="510"/>
    </row>
    <row r="44" spans="1:17" ht="13">
      <c r="A44" s="180"/>
      <c r="B44" s="14"/>
      <c r="C44" s="13"/>
      <c r="D44" s="37"/>
      <c r="E44" s="509"/>
      <c r="F44" s="547"/>
      <c r="G44" s="493"/>
      <c r="H44" s="227"/>
      <c r="I44" s="173"/>
      <c r="J44" s="173"/>
      <c r="K44" s="174"/>
      <c r="M44" s="37"/>
      <c r="N44" s="509"/>
      <c r="O44" s="547"/>
      <c r="P44" s="511"/>
      <c r="Q44" s="510"/>
    </row>
    <row r="45" spans="1:17" ht="13.5" thickBot="1">
      <c r="A45" s="180"/>
      <c r="B45" s="14"/>
      <c r="C45" s="13"/>
      <c r="D45" s="514" t="s">
        <v>69</v>
      </c>
      <c r="E45" s="514"/>
      <c r="F45" s="102"/>
      <c r="G45" s="102"/>
      <c r="H45" s="102"/>
      <c r="I45" s="173"/>
      <c r="J45" s="173"/>
      <c r="K45" s="174"/>
      <c r="N45" s="513"/>
    </row>
    <row r="46" spans="1:17" ht="13" thickBot="1">
      <c r="A46" s="180"/>
      <c r="B46" s="14"/>
      <c r="C46" s="13"/>
      <c r="D46" s="515" t="s">
        <v>74</v>
      </c>
      <c r="E46" s="516">
        <f>VLOOKUP(CONCATENATE("seasoning_",D46),Assets,3,0)</f>
        <v>37.185735967964419</v>
      </c>
      <c r="F46" s="102"/>
      <c r="G46" s="102"/>
      <c r="H46" s="102"/>
      <c r="I46" s="173"/>
      <c r="J46" s="173"/>
      <c r="K46" s="174"/>
      <c r="N46" s="513"/>
    </row>
    <row r="47" spans="1:17">
      <c r="A47" s="180"/>
      <c r="B47" s="14"/>
      <c r="C47" s="13"/>
      <c r="D47" s="201"/>
      <c r="E47" s="233"/>
      <c r="F47" s="102"/>
      <c r="G47" s="102"/>
      <c r="H47" s="102"/>
      <c r="I47" s="173"/>
      <c r="J47" s="173"/>
      <c r="K47" s="174"/>
      <c r="N47" s="513"/>
    </row>
    <row r="48" spans="1:17">
      <c r="A48" s="180"/>
      <c r="B48" s="14"/>
      <c r="C48" s="13"/>
      <c r="D48" s="200"/>
      <c r="E48" s="233"/>
      <c r="F48" s="102"/>
      <c r="G48" s="102"/>
      <c r="H48" s="102"/>
      <c r="I48" s="173"/>
      <c r="J48" s="173"/>
      <c r="K48" s="174"/>
      <c r="N48" s="513"/>
    </row>
    <row r="49" spans="1:17">
      <c r="A49" s="180"/>
      <c r="B49" s="14"/>
      <c r="C49" s="13"/>
      <c r="D49" s="105"/>
      <c r="E49" s="513"/>
      <c r="F49" s="102"/>
      <c r="G49" s="102"/>
      <c r="H49" s="102"/>
      <c r="I49" s="173"/>
      <c r="J49" s="173"/>
      <c r="K49" s="174"/>
      <c r="N49" s="513"/>
    </row>
    <row r="50" spans="1:17">
      <c r="A50" s="180"/>
      <c r="B50" s="14"/>
      <c r="C50" s="13"/>
      <c r="D50" s="105"/>
      <c r="E50" s="513"/>
      <c r="F50" s="102"/>
      <c r="G50" s="102"/>
      <c r="H50" s="102"/>
      <c r="I50" s="173"/>
      <c r="J50" s="173"/>
      <c r="K50" s="174"/>
      <c r="N50" s="513"/>
    </row>
    <row r="51" spans="1:17">
      <c r="A51" s="180"/>
      <c r="B51" s="14"/>
      <c r="C51" s="13"/>
      <c r="D51" s="105"/>
      <c r="E51" s="513"/>
      <c r="F51" s="102"/>
      <c r="G51" s="102"/>
      <c r="H51" s="102"/>
      <c r="I51" s="173"/>
      <c r="J51" s="173"/>
      <c r="K51" s="174"/>
      <c r="N51" s="513"/>
    </row>
    <row r="52" spans="1:17">
      <c r="A52" s="180"/>
      <c r="B52" s="14"/>
      <c r="C52" s="13"/>
      <c r="D52" s="105"/>
      <c r="E52" s="513"/>
      <c r="F52" s="102"/>
      <c r="G52" s="102"/>
      <c r="H52" s="102"/>
      <c r="I52" s="173"/>
      <c r="J52" s="173"/>
      <c r="K52" s="174"/>
      <c r="N52" s="513"/>
    </row>
    <row r="53" spans="1:17">
      <c r="A53" s="180"/>
      <c r="B53" s="14"/>
      <c r="C53" s="13"/>
      <c r="D53" s="105"/>
      <c r="E53" s="513"/>
      <c r="F53" s="102"/>
      <c r="G53" s="102"/>
      <c r="H53" s="102"/>
      <c r="I53" s="173"/>
      <c r="J53" s="173"/>
      <c r="K53" s="174"/>
      <c r="N53" s="513"/>
    </row>
    <row r="54" spans="1:17">
      <c r="A54" s="195"/>
      <c r="B54" s="29"/>
      <c r="C54" s="11"/>
      <c r="D54" s="349"/>
      <c r="E54" s="11"/>
      <c r="F54" s="316"/>
      <c r="G54" s="350"/>
      <c r="H54" s="316"/>
      <c r="I54" s="390"/>
      <c r="J54" s="50"/>
      <c r="K54" s="196"/>
      <c r="M54" s="197"/>
      <c r="N54" s="13"/>
      <c r="O54" s="198"/>
      <c r="P54" s="199"/>
      <c r="Q54" s="198"/>
    </row>
    <row r="55" spans="1:17">
      <c r="A55" s="49"/>
      <c r="B55" s="14"/>
      <c r="C55" s="13"/>
      <c r="D55" s="197"/>
      <c r="E55" s="13"/>
      <c r="F55" s="198"/>
      <c r="G55" s="199"/>
      <c r="H55" s="198"/>
      <c r="I55" s="173"/>
      <c r="J55" s="21"/>
      <c r="K55" s="21"/>
      <c r="L55" s="21"/>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105" customFormat="1" ht="15" customHeight="1">
      <c r="B58" s="14"/>
      <c r="C58" s="13"/>
      <c r="D58" s="197"/>
      <c r="E58" s="13"/>
      <c r="F58" s="198"/>
      <c r="G58" s="199"/>
      <c r="H58" s="198"/>
      <c r="I58" s="145"/>
      <c r="M58" s="197"/>
      <c r="N58" s="13"/>
      <c r="O58" s="198"/>
      <c r="P58" s="199"/>
      <c r="Q58" s="198"/>
    </row>
    <row r="59" spans="1:17" s="105" customFormat="1">
      <c r="B59" s="14"/>
      <c r="C59" s="13"/>
      <c r="D59" s="197"/>
      <c r="E59" s="13"/>
      <c r="F59" s="198"/>
      <c r="G59" s="199"/>
      <c r="H59" s="198"/>
      <c r="I59" s="145"/>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200"/>
      <c r="E88" s="201"/>
      <c r="F88" s="232"/>
      <c r="G88" s="203"/>
      <c r="H88" s="232"/>
      <c r="I88" s="173"/>
      <c r="M88" s="200"/>
      <c r="N88" s="201"/>
      <c r="O88" s="232"/>
      <c r="P88" s="203"/>
      <c r="Q88" s="232"/>
    </row>
    <row r="89" spans="2:17" s="21" customFormat="1">
      <c r="B89" s="14"/>
      <c r="C89" s="13"/>
      <c r="D89" s="200"/>
      <c r="E89" s="200"/>
      <c r="F89" s="200"/>
      <c r="G89" s="200"/>
      <c r="H89" s="200"/>
      <c r="I89" s="173"/>
      <c r="M89" s="200"/>
      <c r="N89" s="200"/>
      <c r="O89" s="200"/>
      <c r="P89" s="200"/>
      <c r="Q89" s="200"/>
    </row>
    <row r="90" spans="2:17" s="21" customFormat="1">
      <c r="B90" s="14"/>
      <c r="C90" s="13"/>
      <c r="D90" s="200"/>
      <c r="E90" s="200"/>
      <c r="F90" s="200"/>
      <c r="G90" s="200"/>
      <c r="H90" s="200"/>
      <c r="I90" s="173"/>
      <c r="M90" s="200"/>
      <c r="N90" s="200"/>
      <c r="O90" s="200"/>
      <c r="P90" s="200"/>
      <c r="Q90" s="200"/>
    </row>
    <row r="91" spans="2:17" s="21" customFormat="1">
      <c r="B91" s="14"/>
      <c r="C91" s="13"/>
      <c r="D91" s="204"/>
      <c r="E91" s="233"/>
      <c r="F91" s="200"/>
      <c r="G91" s="200"/>
      <c r="H91" s="200"/>
      <c r="I91" s="173"/>
      <c r="M91" s="204"/>
      <c r="N91" s="233"/>
      <c r="O91" s="200"/>
      <c r="P91" s="200"/>
      <c r="Q91" s="200"/>
    </row>
    <row r="92" spans="2:17" s="21" customFormat="1">
      <c r="B92" s="14"/>
      <c r="C92" s="13"/>
      <c r="D92" s="201"/>
      <c r="E92" s="233"/>
      <c r="F92" s="200"/>
      <c r="G92" s="200"/>
      <c r="H92" s="200"/>
      <c r="I92" s="173"/>
      <c r="M92" s="201"/>
      <c r="N92" s="233"/>
      <c r="O92" s="200"/>
      <c r="P92" s="200"/>
      <c r="Q92" s="200"/>
    </row>
    <row r="93" spans="2:17" s="21" customFormat="1">
      <c r="B93" s="14"/>
      <c r="C93" s="13"/>
      <c r="D93" s="200"/>
      <c r="E93" s="233"/>
      <c r="F93" s="200"/>
      <c r="G93" s="200"/>
      <c r="H93" s="200"/>
      <c r="I93" s="173"/>
      <c r="M93" s="200"/>
      <c r="N93" s="233"/>
      <c r="O93" s="200"/>
      <c r="P93" s="200"/>
      <c r="Q93" s="200"/>
    </row>
    <row r="94" spans="2:17" s="21" customFormat="1" ht="14">
      <c r="B94" s="200"/>
      <c r="C94" s="201"/>
      <c r="D94" s="206"/>
      <c r="E94" s="206"/>
      <c r="F94" s="206"/>
      <c r="G94" s="206"/>
      <c r="H94" s="206"/>
      <c r="I94" s="173"/>
      <c r="M94" s="206"/>
      <c r="N94" s="206"/>
      <c r="O94" s="206"/>
      <c r="P94" s="206"/>
      <c r="Q94" s="206"/>
    </row>
    <row r="95" spans="2:17" s="21" customFormat="1" ht="14">
      <c r="B95" s="105"/>
      <c r="C95" s="105"/>
      <c r="D95" s="206"/>
      <c r="E95" s="206"/>
      <c r="F95" s="206"/>
      <c r="G95" s="206"/>
      <c r="H95" s="206"/>
      <c r="I95" s="173"/>
      <c r="M95" s="206"/>
      <c r="N95" s="206"/>
      <c r="O95" s="206"/>
      <c r="P95" s="206"/>
      <c r="Q95" s="206"/>
    </row>
    <row r="96" spans="2:17" s="21" customFormat="1" ht="14">
      <c r="B96" s="105"/>
      <c r="C96" s="105"/>
      <c r="D96" s="207"/>
      <c r="E96" s="234"/>
      <c r="F96" s="206"/>
      <c r="G96" s="206"/>
      <c r="H96" s="206"/>
      <c r="I96" s="173"/>
      <c r="M96" s="207"/>
      <c r="N96" s="234"/>
      <c r="O96" s="206"/>
      <c r="P96" s="206"/>
      <c r="Q96" s="206"/>
    </row>
    <row r="97" spans="2:17" s="21" customFormat="1" ht="14">
      <c r="B97" s="204"/>
      <c r="C97" s="233"/>
      <c r="D97" s="209"/>
      <c r="E97" s="234"/>
      <c r="F97" s="206"/>
      <c r="G97" s="206"/>
      <c r="H97" s="206"/>
      <c r="I97" s="173"/>
      <c r="M97" s="209"/>
      <c r="N97" s="234"/>
      <c r="O97" s="206"/>
      <c r="P97" s="206"/>
      <c r="Q97" s="206"/>
    </row>
    <row r="98" spans="2:17" s="21" customFormat="1" ht="14">
      <c r="B98" s="210"/>
      <c r="C98" s="233"/>
      <c r="D98" s="206"/>
      <c r="E98" s="234"/>
      <c r="F98" s="206"/>
      <c r="G98" s="206"/>
      <c r="H98" s="206"/>
      <c r="I98" s="173"/>
      <c r="M98" s="206"/>
      <c r="N98" s="234"/>
      <c r="O98" s="206"/>
      <c r="P98" s="206"/>
      <c r="Q98" s="206"/>
    </row>
    <row r="99" spans="2:17" s="21" customFormat="1">
      <c r="C99" s="233"/>
      <c r="I99" s="173"/>
    </row>
    <row r="100" spans="2:17" s="21" customFormat="1">
      <c r="I100" s="173"/>
    </row>
    <row r="101" spans="2:17" s="21" customFormat="1">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45848</v>
      </c>
      <c r="G2" s="107"/>
      <c r="H2" s="107"/>
      <c r="I2" s="107"/>
      <c r="J2" s="109"/>
      <c r="K2" s="359"/>
    </row>
    <row r="3" spans="1:13" s="102" customFormat="1" ht="18">
      <c r="A3" s="103"/>
      <c r="B3" s="104" t="str">
        <f>'Cover Sheet'!B3</f>
        <v>Monthly Investor Report</v>
      </c>
      <c r="C3" s="104"/>
      <c r="D3" s="112" t="str">
        <f>'Cover Sheet'!D3</f>
        <v>Payment Date</v>
      </c>
      <c r="E3" s="113"/>
      <c r="F3" s="114">
        <f>'Cover Sheet'!F3</f>
        <v>45852</v>
      </c>
      <c r="G3" s="113"/>
      <c r="H3" s="113"/>
      <c r="I3" s="113"/>
      <c r="J3" s="115"/>
      <c r="K3" s="125"/>
    </row>
    <row r="4" spans="1:13" s="102" customFormat="1" ht="13">
      <c r="A4" s="103"/>
      <c r="B4" s="157"/>
      <c r="C4" s="158"/>
      <c r="D4" s="112" t="str">
        <f>'Cover Sheet'!D4</f>
        <v>Period  No</v>
      </c>
      <c r="E4" s="113"/>
      <c r="F4" s="117">
        <f>'Cover Sheet'!F4</f>
        <v>33</v>
      </c>
      <c r="G4" s="113"/>
      <c r="H4" s="118"/>
      <c r="I4" s="113"/>
      <c r="J4" s="119"/>
      <c r="K4" s="359"/>
    </row>
    <row r="5" spans="1:13" s="102" customFormat="1" ht="18">
      <c r="A5" s="103"/>
      <c r="B5" s="160" t="s">
        <v>148</v>
      </c>
      <c r="C5" s="120"/>
      <c r="D5" s="112" t="str">
        <f>'Cover Sheet'!D5</f>
        <v>Monthly Period</v>
      </c>
      <c r="E5" s="113"/>
      <c r="F5" s="121">
        <f>'Cover Sheet'!F5</f>
        <v>45852</v>
      </c>
      <c r="G5" s="113"/>
      <c r="H5" s="118"/>
      <c r="I5" s="113"/>
      <c r="J5" s="119"/>
      <c r="K5" s="125"/>
    </row>
    <row r="6" spans="1:13"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18.81640625" style="144" customWidth="1"/>
    <col min="5" max="5" width="18.5429687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149</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172"/>
      <c r="C13" s="172"/>
      <c r="D13" s="517" t="s">
        <v>75</v>
      </c>
      <c r="E13" s="499" t="s">
        <v>71</v>
      </c>
      <c r="F13" s="500" t="s">
        <v>113</v>
      </c>
      <c r="G13" s="501" t="s">
        <v>61</v>
      </c>
      <c r="H13" s="502" t="s">
        <v>114</v>
      </c>
      <c r="I13" s="214"/>
      <c r="K13" s="110"/>
      <c r="M13" s="518"/>
      <c r="N13" s="215"/>
      <c r="O13" s="495"/>
      <c r="P13" s="495"/>
      <c r="Q13" s="214"/>
    </row>
    <row r="14" spans="1:17">
      <c r="A14" s="180"/>
      <c r="B14" s="14"/>
      <c r="C14" s="13"/>
      <c r="D14" s="937" t="s">
        <v>995</v>
      </c>
      <c r="E14" s="519">
        <f t="shared" ref="E14:E28" si="0">VLOOKUP(CONCATENATE("remaining_",D14),Assets,3,0)</f>
        <v>975298.19000000064</v>
      </c>
      <c r="F14" s="520">
        <f>E14/$E$29</f>
        <v>1.9014645223654225E-3</v>
      </c>
      <c r="G14" s="521">
        <f t="shared" ref="G14:G28" si="1">VLOOKUP(CONCATENATE("remaining_",D14),Assets,2,0)</f>
        <v>1874</v>
      </c>
      <c r="H14" s="522">
        <f>G14/$G$29</f>
        <v>4.4641368303199216E-2</v>
      </c>
      <c r="I14" s="523"/>
      <c r="K14" s="174"/>
      <c r="M14" s="524"/>
      <c r="N14" s="525"/>
      <c r="O14" s="523"/>
      <c r="P14" s="526"/>
      <c r="Q14" s="523"/>
    </row>
    <row r="15" spans="1:17">
      <c r="A15" s="180"/>
      <c r="B15" s="14"/>
      <c r="C15" s="13"/>
      <c r="D15" s="937" t="s">
        <v>996</v>
      </c>
      <c r="E15" s="519">
        <f t="shared" si="0"/>
        <v>4733758.3699999964</v>
      </c>
      <c r="F15" s="520">
        <f t="shared" ref="F15:F28" si="2">E15/$E$29</f>
        <v>9.2290477828174348E-3</v>
      </c>
      <c r="G15" s="521">
        <f t="shared" si="1"/>
        <v>2583</v>
      </c>
      <c r="H15" s="522">
        <f t="shared" ref="H15:H28" si="3">G15/$G$29</f>
        <v>6.1530765382691345E-2</v>
      </c>
      <c r="I15" s="523"/>
      <c r="K15" s="174"/>
      <c r="M15" s="524"/>
      <c r="N15" s="525"/>
      <c r="O15" s="523"/>
      <c r="P15" s="526"/>
      <c r="Q15" s="523"/>
    </row>
    <row r="16" spans="1:17">
      <c r="A16" s="180"/>
      <c r="B16" s="14"/>
      <c r="C16" s="13"/>
      <c r="D16" s="937" t="s">
        <v>997</v>
      </c>
      <c r="E16" s="519">
        <f t="shared" si="0"/>
        <v>7815473.129999998</v>
      </c>
      <c r="F16" s="520">
        <f t="shared" si="2"/>
        <v>1.5237232094314898E-2</v>
      </c>
      <c r="G16" s="521">
        <f t="shared" si="1"/>
        <v>2260</v>
      </c>
      <c r="H16" s="522">
        <f t="shared" si="3"/>
        <v>5.3836442030539076E-2</v>
      </c>
      <c r="I16" s="523"/>
      <c r="K16" s="174"/>
      <c r="M16" s="524"/>
      <c r="N16" s="525"/>
      <c r="O16" s="523"/>
      <c r="P16" s="526"/>
      <c r="Q16" s="523"/>
    </row>
    <row r="17" spans="1:17">
      <c r="A17" s="180"/>
      <c r="B17" s="14"/>
      <c r="C17" s="13"/>
      <c r="D17" s="937" t="s">
        <v>998</v>
      </c>
      <c r="E17" s="519">
        <f t="shared" si="0"/>
        <v>13414962.649999985</v>
      </c>
      <c r="F17" s="520">
        <f t="shared" si="2"/>
        <v>2.6154129895219213E-2</v>
      </c>
      <c r="G17" s="521">
        <f t="shared" si="1"/>
        <v>2656</v>
      </c>
      <c r="H17" s="522">
        <f t="shared" si="3"/>
        <v>6.3269730103146807E-2</v>
      </c>
      <c r="I17" s="523"/>
      <c r="K17" s="174"/>
      <c r="M17" s="524"/>
      <c r="N17" s="525"/>
      <c r="O17" s="523"/>
      <c r="P17" s="526"/>
      <c r="Q17" s="523"/>
    </row>
    <row r="18" spans="1:17">
      <c r="A18" s="180"/>
      <c r="B18" s="14"/>
      <c r="C18" s="13"/>
      <c r="D18" s="937" t="s">
        <v>999</v>
      </c>
      <c r="E18" s="519">
        <f t="shared" si="0"/>
        <v>14809141.120000016</v>
      </c>
      <c r="F18" s="520">
        <f t="shared" si="2"/>
        <v>2.8872253363233402E-2</v>
      </c>
      <c r="G18" s="521">
        <f t="shared" si="1"/>
        <v>2043</v>
      </c>
      <c r="H18" s="522">
        <f t="shared" si="3"/>
        <v>4.8667190738226257E-2</v>
      </c>
      <c r="I18" s="523"/>
      <c r="K18" s="174"/>
      <c r="M18" s="524"/>
      <c r="N18" s="525"/>
      <c r="O18" s="523"/>
      <c r="P18" s="526"/>
      <c r="Q18" s="523"/>
    </row>
    <row r="19" spans="1:17">
      <c r="A19" s="180"/>
      <c r="B19" s="14"/>
      <c r="C19" s="13"/>
      <c r="D19" s="937" t="s">
        <v>1000</v>
      </c>
      <c r="E19" s="519">
        <f t="shared" si="0"/>
        <v>21911179.449999977</v>
      </c>
      <c r="F19" s="520">
        <f t="shared" si="2"/>
        <v>4.2718556021679115E-2</v>
      </c>
      <c r="G19" s="521">
        <f t="shared" si="1"/>
        <v>2485</v>
      </c>
      <c r="H19" s="522">
        <f t="shared" si="3"/>
        <v>5.9196264799066201E-2</v>
      </c>
      <c r="I19" s="523"/>
      <c r="K19" s="174"/>
      <c r="M19" s="524"/>
      <c r="N19" s="525"/>
      <c r="O19" s="523"/>
      <c r="P19" s="526"/>
      <c r="Q19" s="523"/>
    </row>
    <row r="20" spans="1:17">
      <c r="A20" s="180"/>
      <c r="B20" s="14"/>
      <c r="C20" s="13"/>
      <c r="D20" s="937" t="s">
        <v>1001</v>
      </c>
      <c r="E20" s="519">
        <f t="shared" si="0"/>
        <v>48863682.790000029</v>
      </c>
      <c r="F20" s="520">
        <f t="shared" si="2"/>
        <v>9.5265796871111655E-2</v>
      </c>
      <c r="G20" s="521">
        <f t="shared" si="1"/>
        <v>4603</v>
      </c>
      <c r="H20" s="522">
        <f t="shared" si="3"/>
        <v>0.10965006312680149</v>
      </c>
      <c r="I20" s="523"/>
      <c r="K20" s="174"/>
      <c r="M20" s="524"/>
      <c r="N20" s="525"/>
      <c r="O20" s="523"/>
      <c r="P20" s="526"/>
      <c r="Q20" s="523"/>
    </row>
    <row r="21" spans="1:17">
      <c r="A21" s="180"/>
      <c r="B21" s="14"/>
      <c r="C21" s="13"/>
      <c r="D21" s="938" t="s">
        <v>1002</v>
      </c>
      <c r="E21" s="519">
        <f t="shared" si="0"/>
        <v>72409331.169999793</v>
      </c>
      <c r="F21" s="520">
        <f t="shared" si="2"/>
        <v>0.14117095235044297</v>
      </c>
      <c r="G21" s="521">
        <f t="shared" si="1"/>
        <v>5408</v>
      </c>
      <c r="H21" s="522">
        <f t="shared" si="3"/>
        <v>0.12882631792086519</v>
      </c>
      <c r="I21" s="523"/>
      <c r="K21" s="174"/>
      <c r="M21" s="524"/>
      <c r="N21" s="525"/>
      <c r="O21" s="523"/>
      <c r="P21" s="526"/>
      <c r="Q21" s="523"/>
    </row>
    <row r="22" spans="1:17">
      <c r="A22" s="180"/>
      <c r="B22" s="14"/>
      <c r="C22" s="13"/>
      <c r="D22" s="937" t="s">
        <v>1003</v>
      </c>
      <c r="E22" s="519">
        <f t="shared" si="0"/>
        <v>210103487.68999997</v>
      </c>
      <c r="F22" s="520">
        <f t="shared" si="2"/>
        <v>0.40962275124059744</v>
      </c>
      <c r="G22" s="521">
        <f t="shared" si="1"/>
        <v>12017</v>
      </c>
      <c r="H22" s="522">
        <f t="shared" si="3"/>
        <v>0.28626217870840182</v>
      </c>
      <c r="I22" s="523"/>
      <c r="K22" s="174"/>
      <c r="M22" s="524"/>
      <c r="N22" s="525"/>
      <c r="O22" s="523"/>
      <c r="P22" s="526"/>
      <c r="Q22" s="523"/>
    </row>
    <row r="23" spans="1:17">
      <c r="A23" s="180"/>
      <c r="B23" s="14"/>
      <c r="C23" s="13"/>
      <c r="D23" s="937" t="s">
        <v>1004</v>
      </c>
      <c r="E23" s="519">
        <f t="shared" si="0"/>
        <v>78881145.939999998</v>
      </c>
      <c r="F23" s="520">
        <f t="shared" si="2"/>
        <v>0.15378855618345727</v>
      </c>
      <c r="G23" s="521">
        <f t="shared" si="1"/>
        <v>4166</v>
      </c>
      <c r="H23" s="522">
        <f t="shared" si="3"/>
        <v>9.924009623859549E-2</v>
      </c>
      <c r="I23" s="523"/>
      <c r="K23" s="174"/>
      <c r="M23" s="524"/>
      <c r="N23" s="525"/>
      <c r="O23" s="523"/>
      <c r="P23" s="526"/>
      <c r="Q23" s="523"/>
    </row>
    <row r="24" spans="1:17">
      <c r="A24" s="180"/>
      <c r="B24" s="14"/>
      <c r="C24" s="13"/>
      <c r="D24" s="937" t="s">
        <v>1005</v>
      </c>
      <c r="E24" s="519">
        <f t="shared" si="0"/>
        <v>33585839.759999961</v>
      </c>
      <c r="F24" s="520">
        <f t="shared" si="2"/>
        <v>6.5479751128718802E-2</v>
      </c>
      <c r="G24" s="521">
        <f t="shared" si="1"/>
        <v>1684</v>
      </c>
      <c r="H24" s="522">
        <f t="shared" si="3"/>
        <v>4.0115295743109652E-2</v>
      </c>
      <c r="I24" s="523"/>
      <c r="K24" s="174"/>
      <c r="M24" s="524"/>
      <c r="N24" s="525"/>
      <c r="O24" s="523"/>
      <c r="P24" s="526"/>
      <c r="Q24" s="523"/>
    </row>
    <row r="25" spans="1:17">
      <c r="A25" s="180"/>
      <c r="B25" s="14"/>
      <c r="C25" s="13"/>
      <c r="D25" s="937" t="s">
        <v>1006</v>
      </c>
      <c r="E25" s="519">
        <f t="shared" si="0"/>
        <v>4451340.3599999975</v>
      </c>
      <c r="F25" s="520">
        <f t="shared" si="2"/>
        <v>8.678438920832322E-3</v>
      </c>
      <c r="G25" s="521">
        <f t="shared" si="1"/>
        <v>170</v>
      </c>
      <c r="H25" s="522">
        <f t="shared" si="3"/>
        <v>4.0496438695538243E-3</v>
      </c>
      <c r="I25" s="523"/>
      <c r="K25" s="174"/>
      <c r="M25" s="524"/>
      <c r="N25" s="525"/>
      <c r="O25" s="523"/>
      <c r="P25" s="526"/>
      <c r="Q25" s="523"/>
    </row>
    <row r="26" spans="1:17" ht="12.75" customHeight="1">
      <c r="A26" s="180"/>
      <c r="B26" s="14"/>
      <c r="C26" s="13"/>
      <c r="D26" s="937" t="s">
        <v>1007</v>
      </c>
      <c r="E26" s="519">
        <f t="shared" si="0"/>
        <v>604853.02</v>
      </c>
      <c r="F26" s="520">
        <f t="shared" si="2"/>
        <v>1.1792358178944048E-3</v>
      </c>
      <c r="G26" s="521">
        <f t="shared" si="1"/>
        <v>19</v>
      </c>
      <c r="H26" s="522">
        <f t="shared" si="3"/>
        <v>4.5260725600895687E-4</v>
      </c>
      <c r="I26" s="523"/>
      <c r="K26" s="174"/>
      <c r="M26" s="524"/>
      <c r="N26" s="525"/>
      <c r="O26" s="523"/>
      <c r="P26" s="526"/>
      <c r="Q26" s="523"/>
    </row>
    <row r="27" spans="1:17" ht="12.75" customHeight="1">
      <c r="A27" s="180"/>
      <c r="B27" s="14"/>
      <c r="C27" s="13"/>
      <c r="D27" s="937" t="s">
        <v>1008</v>
      </c>
      <c r="E27" s="519">
        <f t="shared" si="0"/>
        <v>41728.589999999997</v>
      </c>
      <c r="F27" s="520">
        <f t="shared" si="2"/>
        <v>8.1355050452141701E-5</v>
      </c>
      <c r="G27" s="521">
        <f t="shared" si="1"/>
        <v>2</v>
      </c>
      <c r="H27" s="522">
        <f t="shared" si="3"/>
        <v>4.7642869053574406E-5</v>
      </c>
      <c r="I27" s="523"/>
      <c r="K27" s="174"/>
      <c r="M27" s="524"/>
      <c r="N27" s="525"/>
      <c r="O27" s="523"/>
      <c r="P27" s="526"/>
      <c r="Q27" s="523"/>
    </row>
    <row r="28" spans="1:17" ht="12.75" customHeight="1" thickBot="1">
      <c r="A28" s="180"/>
      <c r="B28" s="14"/>
      <c r="C28" s="13"/>
      <c r="D28" s="937" t="s">
        <v>1009</v>
      </c>
      <c r="E28" s="519">
        <f t="shared" si="0"/>
        <v>318255.63999999996</v>
      </c>
      <c r="F28" s="520">
        <f t="shared" si="2"/>
        <v>6.2047875686378686E-4</v>
      </c>
      <c r="G28" s="521">
        <f t="shared" si="1"/>
        <v>9</v>
      </c>
      <c r="H28" s="522">
        <f t="shared" si="3"/>
        <v>2.1439291074108483E-4</v>
      </c>
      <c r="I28" s="523"/>
      <c r="K28" s="174"/>
      <c r="M28" s="524"/>
      <c r="N28" s="525"/>
      <c r="O28" s="523"/>
      <c r="P28" s="526"/>
      <c r="Q28" s="523"/>
    </row>
    <row r="29" spans="1:17" ht="14" thickTop="1" thickBot="1">
      <c r="A29" s="180"/>
      <c r="B29" s="14"/>
      <c r="C29" s="13"/>
      <c r="D29" s="527" t="s">
        <v>36</v>
      </c>
      <c r="E29" s="488">
        <f>SUM(E14:E28)</f>
        <v>512919477.86999959</v>
      </c>
      <c r="F29" s="489">
        <f>SUM(F14:F28)</f>
        <v>1.0000000000000002</v>
      </c>
      <c r="G29" s="490">
        <f>SUM(G14:G28)</f>
        <v>41979</v>
      </c>
      <c r="H29" s="491">
        <f>SUM(H14:H28)</f>
        <v>1.0000000000000002</v>
      </c>
      <c r="I29" s="510"/>
      <c r="K29" s="174"/>
      <c r="M29" s="37"/>
      <c r="N29" s="509"/>
      <c r="O29" s="510"/>
      <c r="P29" s="511"/>
      <c r="Q29" s="510"/>
    </row>
    <row r="30" spans="1:17" ht="13">
      <c r="A30" s="180"/>
      <c r="B30" s="14"/>
      <c r="C30" s="13"/>
      <c r="D30" s="142"/>
      <c r="E30" s="492"/>
      <c r="F30" s="227"/>
      <c r="G30" s="493"/>
      <c r="H30" s="227"/>
      <c r="I30" s="510"/>
      <c r="K30" s="174"/>
      <c r="M30" s="37"/>
      <c r="N30" s="509"/>
      <c r="O30" s="510"/>
      <c r="P30" s="511"/>
      <c r="Q30" s="510"/>
    </row>
    <row r="31" spans="1:17" ht="13">
      <c r="A31" s="180"/>
      <c r="B31" s="14"/>
      <c r="C31" s="13"/>
      <c r="D31" s="142"/>
      <c r="E31" s="492"/>
      <c r="F31" s="227"/>
      <c r="G31" s="493"/>
      <c r="H31" s="227"/>
      <c r="I31" s="510"/>
      <c r="K31" s="174"/>
      <c r="M31" s="37"/>
      <c r="N31" s="509"/>
      <c r="O31" s="510"/>
      <c r="P31" s="511"/>
      <c r="Q31" s="510"/>
    </row>
    <row r="32" spans="1:17">
      <c r="A32" s="180"/>
      <c r="B32" s="14"/>
      <c r="C32" s="13"/>
      <c r="D32" s="102"/>
      <c r="E32" s="102"/>
      <c r="F32" s="102"/>
      <c r="G32" s="102"/>
      <c r="H32" s="102"/>
      <c r="I32" s="21"/>
      <c r="J32" s="173"/>
      <c r="K32" s="174"/>
    </row>
    <row r="33" spans="1:17" ht="13.5" thickBot="1">
      <c r="A33" s="180"/>
      <c r="B33" s="14"/>
      <c r="C33" s="13"/>
      <c r="D33" s="514" t="s">
        <v>69</v>
      </c>
      <c r="E33" s="514"/>
      <c r="F33" s="102"/>
      <c r="G33" s="102"/>
      <c r="H33" s="102"/>
      <c r="I33" s="21"/>
      <c r="J33" s="173"/>
      <c r="K33" s="174"/>
      <c r="N33" s="513"/>
    </row>
    <row r="34" spans="1:17" ht="13" thickBot="1">
      <c r="A34" s="180"/>
      <c r="B34" s="14"/>
      <c r="C34" s="13"/>
      <c r="D34" s="515" t="s">
        <v>65</v>
      </c>
      <c r="E34" s="516">
        <f>VLOOKUP(CONCATENATE("remaining_",D34),Assets,3,0)</f>
        <v>55.314880915774175</v>
      </c>
      <c r="F34" s="528"/>
      <c r="G34" s="529"/>
      <c r="H34" s="528"/>
      <c r="I34" s="173"/>
      <c r="J34" s="173"/>
      <c r="K34" s="174"/>
      <c r="M34" s="530"/>
      <c r="N34" s="531"/>
      <c r="O34" s="528"/>
      <c r="P34" s="529"/>
      <c r="Q34" s="528"/>
    </row>
    <row r="35" spans="1:17">
      <c r="A35" s="180"/>
      <c r="B35" s="14"/>
      <c r="C35" s="13"/>
      <c r="D35" s="201"/>
      <c r="E35" s="233"/>
      <c r="F35" s="528"/>
      <c r="G35" s="529"/>
      <c r="H35" s="528"/>
      <c r="I35" s="173"/>
      <c r="J35" s="173"/>
      <c r="K35" s="174"/>
      <c r="M35" s="530"/>
      <c r="N35" s="531"/>
      <c r="O35" s="528"/>
      <c r="P35" s="529"/>
      <c r="Q35" s="528"/>
    </row>
    <row r="36" spans="1:17">
      <c r="A36" s="180"/>
      <c r="B36" s="14"/>
      <c r="C36" s="13"/>
      <c r="D36" s="200"/>
      <c r="E36" s="233"/>
      <c r="F36" s="528"/>
      <c r="G36" s="529"/>
      <c r="H36" s="528"/>
      <c r="I36" s="173"/>
      <c r="J36" s="173"/>
      <c r="K36" s="174"/>
      <c r="M36" s="530"/>
      <c r="N36" s="531"/>
      <c r="O36" s="528"/>
      <c r="P36" s="529"/>
      <c r="Q36" s="528"/>
    </row>
    <row r="37" spans="1:17">
      <c r="A37" s="180"/>
      <c r="B37" s="14"/>
      <c r="C37" s="13"/>
      <c r="D37" s="530"/>
      <c r="E37" s="531"/>
      <c r="F37" s="528"/>
      <c r="G37" s="529"/>
      <c r="H37" s="528"/>
      <c r="I37" s="173"/>
      <c r="J37" s="173"/>
      <c r="K37" s="174"/>
      <c r="M37" s="530"/>
      <c r="N37" s="531"/>
      <c r="O37" s="528"/>
      <c r="P37" s="529"/>
      <c r="Q37" s="528"/>
    </row>
    <row r="38" spans="1:17">
      <c r="A38" s="180"/>
      <c r="B38" s="14"/>
      <c r="C38" s="13"/>
      <c r="D38" s="530"/>
      <c r="E38" s="531"/>
      <c r="F38" s="528"/>
      <c r="G38" s="529"/>
      <c r="H38" s="528"/>
      <c r="I38" s="173"/>
      <c r="J38" s="173"/>
      <c r="K38" s="174"/>
      <c r="M38" s="530"/>
      <c r="N38" s="531"/>
      <c r="O38" s="528"/>
      <c r="P38" s="529"/>
      <c r="Q38" s="528"/>
    </row>
    <row r="39" spans="1:17">
      <c r="A39" s="180"/>
      <c r="B39" s="14"/>
      <c r="C39" s="13"/>
      <c r="D39" s="530"/>
      <c r="E39" s="531"/>
      <c r="F39" s="528"/>
      <c r="G39" s="529"/>
      <c r="H39" s="528"/>
      <c r="I39" s="173"/>
      <c r="J39" s="173"/>
      <c r="K39" s="174"/>
      <c r="M39" s="530"/>
      <c r="N39" s="531"/>
      <c r="O39" s="528"/>
      <c r="P39" s="529"/>
      <c r="Q39" s="528"/>
    </row>
    <row r="40" spans="1:17">
      <c r="A40" s="180"/>
      <c r="B40" s="14"/>
      <c r="C40" s="13"/>
      <c r="D40" s="530"/>
      <c r="E40" s="531"/>
      <c r="F40" s="528"/>
      <c r="G40" s="529"/>
      <c r="H40" s="528"/>
      <c r="I40" s="173"/>
      <c r="J40" s="173"/>
      <c r="K40" s="174"/>
      <c r="M40" s="530"/>
      <c r="N40" s="531"/>
      <c r="O40" s="528"/>
      <c r="P40" s="529"/>
      <c r="Q40" s="528"/>
    </row>
    <row r="41" spans="1:17">
      <c r="A41" s="180"/>
      <c r="B41" s="14"/>
      <c r="C41" s="13"/>
      <c r="D41" s="530"/>
      <c r="E41" s="531"/>
      <c r="F41" s="528"/>
      <c r="G41" s="529"/>
      <c r="H41" s="528"/>
      <c r="I41" s="173"/>
      <c r="J41" s="173"/>
      <c r="K41" s="174"/>
      <c r="M41" s="530"/>
      <c r="N41" s="531"/>
      <c r="O41" s="528"/>
      <c r="P41" s="529"/>
      <c r="Q41" s="528"/>
    </row>
    <row r="42" spans="1:17">
      <c r="A42" s="180"/>
      <c r="B42" s="14"/>
      <c r="C42" s="13"/>
      <c r="D42" s="530"/>
      <c r="E42" s="531"/>
      <c r="F42" s="528"/>
      <c r="G42" s="529"/>
      <c r="H42" s="528"/>
      <c r="I42" s="173"/>
      <c r="J42" s="173"/>
      <c r="K42" s="174"/>
      <c r="M42" s="530"/>
      <c r="N42" s="531"/>
      <c r="O42" s="528"/>
      <c r="P42" s="529"/>
      <c r="Q42" s="528"/>
    </row>
    <row r="43" spans="1:17">
      <c r="A43" s="180"/>
      <c r="B43" s="14"/>
      <c r="C43" s="13"/>
      <c r="D43" s="530"/>
      <c r="E43" s="531"/>
      <c r="F43" s="528"/>
      <c r="G43" s="529"/>
      <c r="H43" s="528"/>
      <c r="I43" s="173"/>
      <c r="J43" s="173"/>
      <c r="K43" s="174"/>
      <c r="M43" s="530"/>
      <c r="N43" s="531"/>
      <c r="O43" s="528"/>
      <c r="P43" s="529"/>
      <c r="Q43" s="528"/>
    </row>
    <row r="44" spans="1:17">
      <c r="A44" s="180"/>
      <c r="B44" s="14"/>
      <c r="C44" s="13"/>
      <c r="D44" s="530"/>
      <c r="E44" s="531"/>
      <c r="F44" s="528"/>
      <c r="G44" s="529"/>
      <c r="H44" s="528"/>
      <c r="I44" s="173"/>
      <c r="J44" s="173"/>
      <c r="K44" s="174"/>
      <c r="M44" s="530"/>
      <c r="N44" s="531"/>
      <c r="O44" s="528"/>
      <c r="P44" s="529"/>
      <c r="Q44" s="528"/>
    </row>
    <row r="45" spans="1:17">
      <c r="A45" s="180"/>
      <c r="B45" s="14"/>
      <c r="C45" s="13"/>
      <c r="D45" s="530"/>
      <c r="E45" s="531"/>
      <c r="F45" s="528"/>
      <c r="G45" s="529"/>
      <c r="H45" s="528"/>
      <c r="I45" s="173"/>
      <c r="J45" s="173"/>
      <c r="K45" s="174"/>
      <c r="M45" s="530"/>
      <c r="N45" s="531"/>
      <c r="O45" s="528"/>
      <c r="P45" s="529"/>
      <c r="Q45" s="528"/>
    </row>
    <row r="46" spans="1:17">
      <c r="A46" s="180"/>
      <c r="B46" s="14"/>
      <c r="C46" s="13"/>
      <c r="D46" s="530"/>
      <c r="E46" s="531"/>
      <c r="F46" s="528"/>
      <c r="G46" s="529"/>
      <c r="H46" s="528"/>
      <c r="I46" s="173"/>
      <c r="J46" s="173"/>
      <c r="K46" s="174"/>
      <c r="M46" s="530"/>
      <c r="N46" s="531"/>
      <c r="O46" s="528"/>
      <c r="P46" s="529"/>
      <c r="Q46" s="528"/>
    </row>
    <row r="47" spans="1:17">
      <c r="A47" s="180"/>
      <c r="B47" s="14"/>
      <c r="C47" s="13"/>
      <c r="D47" s="530"/>
      <c r="E47" s="531"/>
      <c r="F47" s="528"/>
      <c r="G47" s="529"/>
      <c r="H47" s="528"/>
      <c r="I47" s="173"/>
      <c r="J47" s="173"/>
      <c r="K47" s="174"/>
      <c r="M47" s="530"/>
      <c r="N47" s="531"/>
      <c r="O47" s="528"/>
      <c r="P47" s="529"/>
      <c r="Q47" s="528"/>
    </row>
    <row r="48" spans="1:17">
      <c r="A48" s="195"/>
      <c r="B48" s="29"/>
      <c r="C48" s="11"/>
      <c r="D48" s="349"/>
      <c r="E48" s="11"/>
      <c r="F48" s="316"/>
      <c r="G48" s="350"/>
      <c r="H48" s="316"/>
      <c r="I48" s="390"/>
      <c r="J48" s="50"/>
      <c r="K48" s="196"/>
      <c r="M48" s="197"/>
      <c r="N48" s="13"/>
      <c r="O48" s="198"/>
      <c r="P48" s="199"/>
      <c r="Q48" s="198"/>
    </row>
    <row r="49" spans="1:17">
      <c r="A49" s="49"/>
      <c r="B49" s="14"/>
      <c r="C49" s="13"/>
      <c r="D49" s="197"/>
      <c r="E49" s="13"/>
      <c r="F49" s="198"/>
      <c r="G49" s="199"/>
      <c r="H49" s="198"/>
      <c r="I49" s="173"/>
      <c r="J49" s="21"/>
      <c r="K49" s="21"/>
      <c r="L49" s="21"/>
      <c r="M49" s="197"/>
      <c r="N49" s="13"/>
      <c r="O49" s="198"/>
      <c r="P49" s="199"/>
      <c r="Q49" s="198"/>
    </row>
    <row r="50" spans="1:17" s="21" customFormat="1">
      <c r="B50" s="14"/>
      <c r="C50" s="13"/>
      <c r="D50" s="197"/>
      <c r="E50" s="13"/>
      <c r="F50" s="198"/>
      <c r="G50" s="199"/>
      <c r="H50" s="198"/>
      <c r="I50" s="173"/>
      <c r="M50" s="197"/>
      <c r="N50" s="13"/>
      <c r="O50" s="198"/>
      <c r="P50" s="199"/>
      <c r="Q50" s="198"/>
    </row>
    <row r="51" spans="1:17" s="21" customFormat="1">
      <c r="B51" s="14"/>
      <c r="C51" s="13"/>
      <c r="D51" s="197"/>
      <c r="E51" s="13"/>
      <c r="F51" s="198"/>
      <c r="G51" s="199"/>
      <c r="H51" s="198"/>
      <c r="I51" s="173"/>
      <c r="M51" s="197"/>
      <c r="N51" s="13"/>
      <c r="O51" s="198"/>
      <c r="P51" s="199"/>
      <c r="Q51" s="198"/>
    </row>
    <row r="52" spans="1:17" s="105" customFormat="1" ht="15" customHeight="1">
      <c r="B52" s="14"/>
      <c r="C52" s="13"/>
      <c r="D52" s="197"/>
      <c r="E52" s="13"/>
      <c r="F52" s="198"/>
      <c r="G52" s="199"/>
      <c r="H52" s="198"/>
      <c r="I52" s="145"/>
      <c r="M52" s="197"/>
      <c r="N52" s="13"/>
      <c r="O52" s="198"/>
      <c r="P52" s="199"/>
      <c r="Q52" s="198"/>
    </row>
    <row r="53" spans="1:17" s="105" customFormat="1">
      <c r="B53" s="14"/>
      <c r="C53" s="13"/>
      <c r="D53" s="197"/>
      <c r="E53" s="13"/>
      <c r="F53" s="198"/>
      <c r="G53" s="199"/>
      <c r="H53" s="198"/>
      <c r="I53" s="145"/>
      <c r="M53" s="197"/>
      <c r="N53" s="13"/>
      <c r="O53" s="198"/>
      <c r="P53" s="199"/>
      <c r="Q53" s="198"/>
    </row>
    <row r="54" spans="1:17" s="21" customFormat="1">
      <c r="B54" s="14"/>
      <c r="C54" s="13"/>
      <c r="D54" s="197"/>
      <c r="E54" s="13"/>
      <c r="F54" s="198"/>
      <c r="G54" s="199"/>
      <c r="H54" s="198"/>
      <c r="I54" s="173"/>
      <c r="M54" s="197"/>
      <c r="N54" s="13"/>
      <c r="O54" s="198"/>
      <c r="P54" s="199"/>
      <c r="Q54" s="198"/>
    </row>
    <row r="55" spans="1:17" s="21" customFormat="1">
      <c r="B55" s="14"/>
      <c r="C55" s="13"/>
      <c r="D55" s="197"/>
      <c r="E55" s="13"/>
      <c r="F55" s="198"/>
      <c r="G55" s="199"/>
      <c r="H55" s="198"/>
      <c r="I55" s="173"/>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200"/>
      <c r="E82" s="201"/>
      <c r="F82" s="232"/>
      <c r="G82" s="203"/>
      <c r="H82" s="232"/>
      <c r="I82" s="173"/>
      <c r="M82" s="200"/>
      <c r="N82" s="201"/>
      <c r="O82" s="232"/>
      <c r="P82" s="203"/>
      <c r="Q82" s="232"/>
    </row>
    <row r="83" spans="2:17" s="21" customFormat="1">
      <c r="B83" s="14"/>
      <c r="C83" s="13"/>
      <c r="D83" s="200"/>
      <c r="E83" s="200"/>
      <c r="F83" s="200"/>
      <c r="G83" s="200"/>
      <c r="H83" s="200"/>
      <c r="I83" s="173"/>
      <c r="M83" s="200"/>
      <c r="N83" s="200"/>
      <c r="O83" s="200"/>
      <c r="P83" s="200"/>
      <c r="Q83" s="200"/>
    </row>
    <row r="84" spans="2:17" s="21" customFormat="1">
      <c r="B84" s="14"/>
      <c r="C84" s="13"/>
      <c r="D84" s="200"/>
      <c r="E84" s="200"/>
      <c r="F84" s="200"/>
      <c r="G84" s="200"/>
      <c r="H84" s="200"/>
      <c r="I84" s="173"/>
      <c r="M84" s="200"/>
      <c r="N84" s="200"/>
      <c r="O84" s="200"/>
      <c r="P84" s="200"/>
      <c r="Q84" s="200"/>
    </row>
    <row r="85" spans="2:17" s="21" customFormat="1">
      <c r="B85" s="14"/>
      <c r="C85" s="13"/>
      <c r="D85" s="204"/>
      <c r="E85" s="233"/>
      <c r="F85" s="200"/>
      <c r="G85" s="200"/>
      <c r="H85" s="200"/>
      <c r="I85" s="173"/>
      <c r="M85" s="204"/>
      <c r="N85" s="233"/>
      <c r="O85" s="200"/>
      <c r="P85" s="200"/>
      <c r="Q85" s="200"/>
    </row>
    <row r="86" spans="2:17" s="21" customFormat="1">
      <c r="B86" s="14"/>
      <c r="C86" s="13"/>
      <c r="D86" s="201"/>
      <c r="E86" s="233"/>
      <c r="F86" s="200"/>
      <c r="G86" s="200"/>
      <c r="H86" s="200"/>
      <c r="I86" s="173"/>
      <c r="M86" s="201"/>
      <c r="N86" s="233"/>
      <c r="O86" s="200"/>
      <c r="P86" s="200"/>
      <c r="Q86" s="200"/>
    </row>
    <row r="87" spans="2:17" s="21" customFormat="1">
      <c r="B87" s="14"/>
      <c r="C87" s="13"/>
      <c r="D87" s="200"/>
      <c r="E87" s="233"/>
      <c r="F87" s="200"/>
      <c r="G87" s="200"/>
      <c r="H87" s="200"/>
      <c r="I87" s="173"/>
      <c r="M87" s="200"/>
      <c r="N87" s="233"/>
      <c r="O87" s="200"/>
      <c r="P87" s="200"/>
      <c r="Q87" s="200"/>
    </row>
    <row r="88" spans="2:17" s="21" customFormat="1" ht="14">
      <c r="B88" s="200"/>
      <c r="C88" s="201"/>
      <c r="D88" s="206"/>
      <c r="E88" s="206"/>
      <c r="F88" s="206"/>
      <c r="G88" s="206"/>
      <c r="H88" s="206"/>
      <c r="I88" s="173"/>
      <c r="M88" s="206"/>
      <c r="N88" s="206"/>
      <c r="O88" s="206"/>
      <c r="P88" s="206"/>
      <c r="Q88" s="206"/>
    </row>
    <row r="89" spans="2:17" s="21" customFormat="1" ht="14">
      <c r="B89" s="105"/>
      <c r="C89" s="105"/>
      <c r="D89" s="206"/>
      <c r="E89" s="206"/>
      <c r="F89" s="206"/>
      <c r="G89" s="206"/>
      <c r="H89" s="206"/>
      <c r="I89" s="173"/>
      <c r="M89" s="206"/>
      <c r="N89" s="206"/>
      <c r="O89" s="206"/>
      <c r="P89" s="206"/>
      <c r="Q89" s="206"/>
    </row>
    <row r="90" spans="2:17" s="21" customFormat="1" ht="14">
      <c r="B90" s="105"/>
      <c r="C90" s="105"/>
      <c r="D90" s="207"/>
      <c r="E90" s="234"/>
      <c r="F90" s="206"/>
      <c r="G90" s="206"/>
      <c r="H90" s="206"/>
      <c r="I90" s="173"/>
      <c r="M90" s="207"/>
      <c r="N90" s="234"/>
      <c r="O90" s="206"/>
      <c r="P90" s="206"/>
      <c r="Q90" s="206"/>
    </row>
    <row r="91" spans="2:17" s="21" customFormat="1" ht="14">
      <c r="B91" s="204"/>
      <c r="C91" s="233"/>
      <c r="D91" s="209"/>
      <c r="E91" s="234"/>
      <c r="F91" s="206"/>
      <c r="G91" s="206"/>
      <c r="H91" s="206"/>
      <c r="I91" s="173"/>
      <c r="M91" s="209"/>
      <c r="N91" s="234"/>
      <c r="O91" s="206"/>
      <c r="P91" s="206"/>
      <c r="Q91" s="206"/>
    </row>
    <row r="92" spans="2:17" s="21" customFormat="1" ht="14">
      <c r="B92" s="210"/>
      <c r="C92" s="233"/>
      <c r="D92" s="206"/>
      <c r="E92" s="234"/>
      <c r="F92" s="206"/>
      <c r="G92" s="206"/>
      <c r="H92" s="206"/>
      <c r="I92" s="173"/>
      <c r="M92" s="206"/>
      <c r="N92" s="234"/>
      <c r="O92" s="206"/>
      <c r="P92" s="206"/>
      <c r="Q92" s="206"/>
    </row>
    <row r="93" spans="2:17" s="21" customFormat="1">
      <c r="C93" s="233"/>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45848</v>
      </c>
      <c r="G2" s="107"/>
      <c r="H2" s="107"/>
      <c r="I2" s="107"/>
      <c r="J2" s="109"/>
      <c r="K2" s="359"/>
    </row>
    <row r="3" spans="1:13" s="102" customFormat="1" ht="18">
      <c r="A3" s="103"/>
      <c r="B3" s="104" t="str">
        <f>'Cover Sheet'!B3</f>
        <v>Monthly Investor Report</v>
      </c>
      <c r="C3" s="104"/>
      <c r="D3" s="112" t="str">
        <f>'Cover Sheet'!D3</f>
        <v>Payment Date</v>
      </c>
      <c r="E3" s="113"/>
      <c r="F3" s="114">
        <f>'Cover Sheet'!F3</f>
        <v>45852</v>
      </c>
      <c r="G3" s="113"/>
      <c r="H3" s="113"/>
      <c r="I3" s="113"/>
      <c r="J3" s="115"/>
      <c r="K3" s="125"/>
    </row>
    <row r="4" spans="1:13" s="102" customFormat="1" ht="13">
      <c r="A4" s="103"/>
      <c r="B4" s="157"/>
      <c r="C4" s="158"/>
      <c r="D4" s="112" t="str">
        <f>'Cover Sheet'!D4</f>
        <v>Period  No</v>
      </c>
      <c r="E4" s="113"/>
      <c r="F4" s="117">
        <f>'Cover Sheet'!F4</f>
        <v>33</v>
      </c>
      <c r="G4" s="113"/>
      <c r="H4" s="118"/>
      <c r="I4" s="113"/>
      <c r="J4" s="119"/>
      <c r="K4" s="359"/>
    </row>
    <row r="5" spans="1:13" s="102" customFormat="1" ht="18">
      <c r="A5" s="103"/>
      <c r="B5" s="160" t="s">
        <v>150</v>
      </c>
      <c r="C5" s="120"/>
      <c r="D5" s="112" t="str">
        <f>'Cover Sheet'!D5</f>
        <v>Monthly Period</v>
      </c>
      <c r="E5" s="113"/>
      <c r="F5" s="121">
        <f>'Cover Sheet'!F5</f>
        <v>45852</v>
      </c>
      <c r="G5" s="113"/>
      <c r="H5" s="118"/>
      <c r="I5" s="113"/>
      <c r="J5" s="119"/>
      <c r="K5" s="125"/>
    </row>
    <row r="6" spans="1:13"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453125" style="144" customWidth="1"/>
    <col min="4" max="4" width="18.81640625" style="144" customWidth="1"/>
    <col min="5" max="5" width="20.8164062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row>
    <row r="4" spans="1:17" s="102" customFormat="1" ht="13">
      <c r="A4" s="103"/>
      <c r="B4" s="157"/>
      <c r="C4" s="158"/>
      <c r="D4" s="112" t="str">
        <f>'Cover Sheet'!D4</f>
        <v>Period  No</v>
      </c>
      <c r="E4" s="113"/>
      <c r="F4" s="117">
        <f>'Cover Sheet'!F4</f>
        <v>33</v>
      </c>
      <c r="G4" s="113"/>
      <c r="H4" s="118"/>
      <c r="I4" s="113"/>
      <c r="J4" s="119"/>
      <c r="K4" s="359"/>
      <c r="M4" s="164"/>
      <c r="N4" s="21"/>
      <c r="O4" s="229"/>
      <c r="P4" s="21"/>
      <c r="Q4" s="164"/>
    </row>
    <row r="5" spans="1:17" s="102" customFormat="1" ht="18">
      <c r="A5" s="103"/>
      <c r="B5" s="160" t="s">
        <v>151</v>
      </c>
      <c r="C5" s="120"/>
      <c r="D5" s="112" t="str">
        <f>'Cover Sheet'!D5</f>
        <v>Monthly Period</v>
      </c>
      <c r="E5" s="113"/>
      <c r="F5" s="121">
        <f>'Cover Sheet'!F5</f>
        <v>45852</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21"/>
      <c r="E10" s="105"/>
      <c r="F10" s="145"/>
      <c r="G10" s="105"/>
      <c r="H10" s="105"/>
      <c r="I10" s="21"/>
      <c r="J10" s="21"/>
      <c r="K10" s="110"/>
      <c r="M10" s="21"/>
      <c r="N10" s="21"/>
      <c r="O10" s="173"/>
      <c r="P10" s="21"/>
      <c r="Q10" s="21"/>
    </row>
    <row r="11" spans="1:17" s="102" customFormat="1" ht="18">
      <c r="A11" s="103"/>
      <c r="B11" s="169"/>
      <c r="C11" s="105"/>
      <c r="D11" s="21"/>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J12" s="21"/>
      <c r="K12" s="110"/>
      <c r="M12" s="21"/>
      <c r="N12" s="21"/>
      <c r="O12" s="21"/>
      <c r="P12" s="362"/>
      <c r="Q12" s="362"/>
    </row>
    <row r="13" spans="1:17" s="102" customFormat="1" ht="31.5" customHeight="1">
      <c r="A13" s="103"/>
      <c r="B13" s="172"/>
      <c r="C13" s="172"/>
      <c r="D13" s="498" t="s">
        <v>77</v>
      </c>
      <c r="E13" s="499" t="s">
        <v>71</v>
      </c>
      <c r="F13" s="500" t="s">
        <v>113</v>
      </c>
      <c r="G13" s="501" t="s">
        <v>61</v>
      </c>
      <c r="H13" s="502" t="s">
        <v>114</v>
      </c>
      <c r="I13" s="172"/>
      <c r="J13" s="21"/>
      <c r="K13" s="110"/>
      <c r="M13" s="214"/>
      <c r="N13" s="215"/>
      <c r="O13" s="495"/>
      <c r="P13" s="495"/>
      <c r="Q13" s="217"/>
    </row>
    <row r="14" spans="1:17">
      <c r="A14" s="180"/>
      <c r="B14" s="14"/>
      <c r="C14" s="13"/>
      <c r="D14" s="503" t="s">
        <v>1010</v>
      </c>
      <c r="E14" s="504">
        <f t="shared" ref="E14:E29" si="0">VLOOKUP(CONCATENATE("origterm_",D14),Assets,3,0)</f>
        <v>-4880.8499999999995</v>
      </c>
      <c r="F14" s="505">
        <f>E14/$E$30</f>
        <v>-9.5158211192694357E-6</v>
      </c>
      <c r="G14" s="506">
        <f t="shared" ref="G14:G29" si="1">VLOOKUP(CONCATENATE("origterm_",D14),Assets,2,0)</f>
        <v>6</v>
      </c>
      <c r="H14" s="507">
        <f>G14/$G$30</f>
        <v>1.4292860716072321E-4</v>
      </c>
      <c r="I14" s="219"/>
      <c r="J14" s="21"/>
      <c r="K14" s="174"/>
      <c r="N14" s="365"/>
      <c r="O14" s="219"/>
      <c r="P14" s="366"/>
      <c r="Q14" s="219"/>
    </row>
    <row r="15" spans="1:17">
      <c r="A15" s="180"/>
      <c r="B15" s="14"/>
      <c r="C15" s="13"/>
      <c r="D15" s="503" t="s">
        <v>997</v>
      </c>
      <c r="E15" s="504">
        <f t="shared" si="0"/>
        <v>-8303.2400000000016</v>
      </c>
      <c r="F15" s="505">
        <f t="shared" ref="F15:F29" si="2">E15/$E$30</f>
        <v>-1.6188193972435697E-5</v>
      </c>
      <c r="G15" s="506">
        <f t="shared" si="1"/>
        <v>13</v>
      </c>
      <c r="H15" s="507">
        <f t="shared" ref="H15:H29" si="3">G15/$G$30</f>
        <v>3.0967864884823363E-4</v>
      </c>
      <c r="I15" s="219"/>
      <c r="J15" s="21"/>
      <c r="K15" s="174"/>
      <c r="N15" s="365"/>
      <c r="O15" s="219"/>
      <c r="P15" s="366"/>
      <c r="Q15" s="219"/>
    </row>
    <row r="16" spans="1:17">
      <c r="A16" s="180"/>
      <c r="B16" s="14"/>
      <c r="C16" s="13"/>
      <c r="D16" s="503" t="s">
        <v>998</v>
      </c>
      <c r="E16" s="504">
        <f t="shared" si="0"/>
        <v>-51162.339999999982</v>
      </c>
      <c r="F16" s="505">
        <f t="shared" si="2"/>
        <v>-9.9747313579242006E-5</v>
      </c>
      <c r="G16" s="506">
        <f t="shared" si="1"/>
        <v>55</v>
      </c>
      <c r="H16" s="507">
        <f t="shared" si="3"/>
        <v>1.3101788989732961E-3</v>
      </c>
      <c r="I16" s="219"/>
      <c r="J16" s="21"/>
      <c r="K16" s="174"/>
      <c r="N16" s="365"/>
      <c r="O16" s="219"/>
      <c r="P16" s="366"/>
      <c r="Q16" s="219"/>
    </row>
    <row r="17" spans="1:17">
      <c r="A17" s="180"/>
      <c r="B17" s="14"/>
      <c r="C17" s="13"/>
      <c r="D17" s="503" t="s">
        <v>999</v>
      </c>
      <c r="E17" s="504">
        <f t="shared" si="0"/>
        <v>36416.289999999994</v>
      </c>
      <c r="F17" s="505">
        <f t="shared" si="2"/>
        <v>7.0998064162479976E-5</v>
      </c>
      <c r="G17" s="506">
        <f t="shared" si="1"/>
        <v>68</v>
      </c>
      <c r="H17" s="507">
        <f t="shared" si="3"/>
        <v>1.6198575478215298E-3</v>
      </c>
      <c r="I17" s="219"/>
      <c r="J17" s="21"/>
      <c r="K17" s="174"/>
      <c r="N17" s="365"/>
      <c r="O17" s="219"/>
      <c r="P17" s="366"/>
      <c r="Q17" s="219"/>
    </row>
    <row r="18" spans="1:17">
      <c r="A18" s="180"/>
      <c r="B18" s="14"/>
      <c r="C18" s="13"/>
      <c r="D18" s="503" t="s">
        <v>1000</v>
      </c>
      <c r="E18" s="504">
        <f t="shared" si="0"/>
        <v>941762.90000000084</v>
      </c>
      <c r="F18" s="505">
        <f t="shared" si="2"/>
        <v>1.8360833242497597E-3</v>
      </c>
      <c r="G18" s="506">
        <f t="shared" si="1"/>
        <v>1196</v>
      </c>
      <c r="H18" s="507">
        <f t="shared" si="3"/>
        <v>2.8490435694037496E-2</v>
      </c>
      <c r="I18" s="219"/>
      <c r="J18" s="21"/>
      <c r="K18" s="174"/>
      <c r="N18" s="365"/>
      <c r="O18" s="219"/>
      <c r="P18" s="366"/>
      <c r="Q18" s="219"/>
    </row>
    <row r="19" spans="1:17">
      <c r="A19" s="180"/>
      <c r="B19" s="14"/>
      <c r="C19" s="13"/>
      <c r="D19" s="503" t="s">
        <v>1001</v>
      </c>
      <c r="E19" s="504">
        <f t="shared" si="0"/>
        <v>1073455.7099999997</v>
      </c>
      <c r="F19" s="505">
        <f t="shared" si="2"/>
        <v>2.0928347553844854E-3</v>
      </c>
      <c r="G19" s="506">
        <f t="shared" si="1"/>
        <v>524</v>
      </c>
      <c r="H19" s="507">
        <f t="shared" si="3"/>
        <v>1.2482431692036495E-2</v>
      </c>
      <c r="I19" s="219"/>
      <c r="J19" s="21"/>
      <c r="K19" s="174"/>
      <c r="N19" s="365"/>
      <c r="O19" s="219"/>
      <c r="P19" s="366"/>
      <c r="Q19" s="219"/>
    </row>
    <row r="20" spans="1:17">
      <c r="A20" s="180"/>
      <c r="B20" s="14"/>
      <c r="C20" s="13"/>
      <c r="D20" s="503" t="s">
        <v>1002</v>
      </c>
      <c r="E20" s="504">
        <f t="shared" si="0"/>
        <v>7570430.4100000001</v>
      </c>
      <c r="F20" s="505">
        <f t="shared" si="2"/>
        <v>1.4759490985676181E-2</v>
      </c>
      <c r="G20" s="506">
        <f t="shared" si="1"/>
        <v>3653</v>
      </c>
      <c r="H20" s="507">
        <f t="shared" si="3"/>
        <v>8.7019700326353658E-2</v>
      </c>
      <c r="I20" s="219"/>
      <c r="J20" s="21"/>
      <c r="K20" s="174"/>
      <c r="N20" s="365"/>
      <c r="O20" s="219"/>
      <c r="P20" s="366"/>
      <c r="Q20" s="219"/>
    </row>
    <row r="21" spans="1:17">
      <c r="A21" s="180"/>
      <c r="B21" s="14"/>
      <c r="C21" s="13"/>
      <c r="D21" s="503" t="s">
        <v>1003</v>
      </c>
      <c r="E21" s="504">
        <f t="shared" si="0"/>
        <v>16461770.129999978</v>
      </c>
      <c r="F21" s="505">
        <f t="shared" si="2"/>
        <v>3.2094258144301217E-2</v>
      </c>
      <c r="G21" s="506">
        <f t="shared" si="1"/>
        <v>3732</v>
      </c>
      <c r="H21" s="507">
        <f t="shared" si="3"/>
        <v>8.8901593653969838E-2</v>
      </c>
      <c r="I21" s="219"/>
      <c r="J21" s="21"/>
      <c r="K21" s="174"/>
      <c r="N21" s="365"/>
      <c r="O21" s="219"/>
      <c r="P21" s="366"/>
      <c r="Q21" s="219"/>
    </row>
    <row r="22" spans="1:17">
      <c r="A22" s="180"/>
      <c r="B22" s="14"/>
      <c r="C22" s="13"/>
      <c r="D22" s="503" t="s">
        <v>1004</v>
      </c>
      <c r="E22" s="504">
        <f t="shared" si="0"/>
        <v>5637363.0299999975</v>
      </c>
      <c r="F22" s="505">
        <f t="shared" si="2"/>
        <v>1.0990736895799446E-2</v>
      </c>
      <c r="G22" s="506">
        <f t="shared" si="1"/>
        <v>756</v>
      </c>
      <c r="H22" s="507">
        <f t="shared" si="3"/>
        <v>1.8009004502251125E-2</v>
      </c>
      <c r="I22" s="219"/>
      <c r="J22" s="21"/>
      <c r="K22" s="174"/>
      <c r="N22" s="365"/>
      <c r="O22" s="219"/>
      <c r="P22" s="366"/>
      <c r="Q22" s="219"/>
    </row>
    <row r="23" spans="1:17">
      <c r="A23" s="180"/>
      <c r="B23" s="14"/>
      <c r="C23" s="13"/>
      <c r="D23" s="503" t="s">
        <v>1005</v>
      </c>
      <c r="E23" s="504">
        <f t="shared" si="0"/>
        <v>23244235.159999941</v>
      </c>
      <c r="F23" s="505">
        <f t="shared" si="2"/>
        <v>4.5317513104642153E-2</v>
      </c>
      <c r="G23" s="506">
        <f t="shared" si="1"/>
        <v>2964</v>
      </c>
      <c r="H23" s="507">
        <f t="shared" si="3"/>
        <v>7.0606731937397277E-2</v>
      </c>
      <c r="I23" s="219"/>
      <c r="J23" s="21"/>
      <c r="K23" s="174"/>
      <c r="N23" s="365"/>
      <c r="O23" s="219"/>
      <c r="P23" s="366"/>
      <c r="Q23" s="219"/>
    </row>
    <row r="24" spans="1:17">
      <c r="A24" s="180"/>
      <c r="B24" s="14"/>
      <c r="C24" s="13"/>
      <c r="D24" s="503" t="s">
        <v>1006</v>
      </c>
      <c r="E24" s="504">
        <f t="shared" si="0"/>
        <v>9885304.5999999922</v>
      </c>
      <c r="F24" s="505">
        <f t="shared" si="2"/>
        <v>1.9272624703297835E-2</v>
      </c>
      <c r="G24" s="506">
        <f t="shared" si="1"/>
        <v>789</v>
      </c>
      <c r="H24" s="507">
        <f t="shared" si="3"/>
        <v>1.8795111841635102E-2</v>
      </c>
      <c r="I24" s="219"/>
      <c r="J24" s="21"/>
      <c r="K24" s="174"/>
      <c r="N24" s="365"/>
      <c r="O24" s="219"/>
      <c r="P24" s="366"/>
      <c r="Q24" s="219"/>
    </row>
    <row r="25" spans="1:17">
      <c r="A25" s="180"/>
      <c r="B25" s="14"/>
      <c r="C25" s="13"/>
      <c r="D25" s="503" t="s">
        <v>1007</v>
      </c>
      <c r="E25" s="504">
        <f t="shared" si="0"/>
        <v>76407848.379999861</v>
      </c>
      <c r="F25" s="505">
        <f t="shared" si="2"/>
        <v>0.1489665564998596</v>
      </c>
      <c r="G25" s="506">
        <f t="shared" si="1"/>
        <v>7443</v>
      </c>
      <c r="H25" s="507">
        <f t="shared" si="3"/>
        <v>0.17730293718287715</v>
      </c>
      <c r="I25" s="219"/>
      <c r="J25" s="21"/>
      <c r="K25" s="174"/>
      <c r="N25" s="365"/>
      <c r="O25" s="219"/>
      <c r="P25" s="366"/>
      <c r="Q25" s="219"/>
    </row>
    <row r="26" spans="1:17">
      <c r="A26" s="180"/>
      <c r="B26" s="14"/>
      <c r="C26" s="13"/>
      <c r="D26" s="503" t="s">
        <v>1008</v>
      </c>
      <c r="E26" s="504">
        <f t="shared" si="0"/>
        <v>225031803.62000024</v>
      </c>
      <c r="F26" s="505">
        <f t="shared" si="2"/>
        <v>0.43872735064476287</v>
      </c>
      <c r="G26" s="506">
        <f t="shared" si="1"/>
        <v>13620</v>
      </c>
      <c r="H26" s="507">
        <f t="shared" si="3"/>
        <v>0.32444793825484169</v>
      </c>
      <c r="I26" s="219"/>
      <c r="J26" s="21"/>
      <c r="K26" s="174"/>
      <c r="N26" s="365"/>
      <c r="O26" s="219"/>
      <c r="P26" s="366"/>
      <c r="Q26" s="219"/>
    </row>
    <row r="27" spans="1:17">
      <c r="A27" s="180"/>
      <c r="B27" s="14"/>
      <c r="C27" s="13"/>
      <c r="D27" s="503" t="s">
        <v>1011</v>
      </c>
      <c r="E27" s="504">
        <f t="shared" si="0"/>
        <v>124793616.04000017</v>
      </c>
      <c r="F27" s="505">
        <f t="shared" si="2"/>
        <v>0.24330059867921261</v>
      </c>
      <c r="G27" s="506">
        <f t="shared" si="1"/>
        <v>6386</v>
      </c>
      <c r="H27" s="507">
        <f t="shared" si="3"/>
        <v>0.15212368088806308</v>
      </c>
      <c r="I27" s="219"/>
      <c r="J27" s="21"/>
      <c r="K27" s="174"/>
      <c r="N27" s="365"/>
      <c r="O27" s="219"/>
      <c r="P27" s="366"/>
      <c r="Q27" s="219"/>
    </row>
    <row r="28" spans="1:17">
      <c r="A28" s="180"/>
      <c r="B28" s="14"/>
      <c r="C28" s="13"/>
      <c r="D28" s="503" t="s">
        <v>1012</v>
      </c>
      <c r="E28" s="504">
        <f t="shared" si="0"/>
        <v>18696222.539999992</v>
      </c>
      <c r="F28" s="505">
        <f t="shared" si="2"/>
        <v>3.6450599648973681E-2</v>
      </c>
      <c r="G28" s="506">
        <f t="shared" si="1"/>
        <v>665</v>
      </c>
      <c r="H28" s="507">
        <f t="shared" si="3"/>
        <v>1.5841253960313492E-2</v>
      </c>
      <c r="I28" s="219"/>
      <c r="J28" s="21"/>
      <c r="K28" s="174"/>
      <c r="N28" s="365"/>
      <c r="O28" s="219"/>
      <c r="P28" s="366"/>
      <c r="Q28" s="219"/>
    </row>
    <row r="29" spans="1:17" ht="13" thickBot="1">
      <c r="A29" s="180"/>
      <c r="B29" s="14"/>
      <c r="C29" s="13"/>
      <c r="D29" s="503" t="s">
        <v>1013</v>
      </c>
      <c r="E29" s="504">
        <f t="shared" si="0"/>
        <v>3203595.4900000007</v>
      </c>
      <c r="F29" s="505">
        <f t="shared" si="2"/>
        <v>6.2458058783487159E-3</v>
      </c>
      <c r="G29" s="506">
        <f t="shared" si="1"/>
        <v>109</v>
      </c>
      <c r="H29" s="507">
        <f t="shared" si="3"/>
        <v>2.5965363634198051E-3</v>
      </c>
      <c r="I29" s="219"/>
      <c r="J29" s="21"/>
      <c r="K29" s="174"/>
      <c r="N29" s="365"/>
      <c r="O29" s="219"/>
      <c r="P29" s="366"/>
      <c r="Q29" s="219"/>
    </row>
    <row r="30" spans="1:17" ht="14" thickTop="1" thickBot="1">
      <c r="A30" s="180"/>
      <c r="B30" s="14"/>
      <c r="C30" s="13"/>
      <c r="D30" s="487" t="s">
        <v>36</v>
      </c>
      <c r="E30" s="488">
        <f>SUM(E14:E29)</f>
        <v>512919477.87000012</v>
      </c>
      <c r="F30" s="489">
        <f>SUM(F14:F29)</f>
        <v>1</v>
      </c>
      <c r="G30" s="490">
        <f>SUM(G14:G29)</f>
        <v>41979</v>
      </c>
      <c r="H30" s="491">
        <f>SUM(H14:H29)</f>
        <v>1</v>
      </c>
      <c r="I30" s="21"/>
      <c r="J30" s="21"/>
      <c r="K30" s="174"/>
      <c r="M30" s="508"/>
      <c r="N30" s="509"/>
      <c r="O30" s="510"/>
      <c r="P30" s="511"/>
      <c r="Q30" s="510"/>
    </row>
    <row r="31" spans="1:17" ht="18" customHeight="1">
      <c r="A31" s="180"/>
      <c r="B31" s="14"/>
      <c r="C31" s="13"/>
      <c r="D31" s="102"/>
      <c r="E31" s="102"/>
      <c r="F31" s="102"/>
      <c r="G31" s="102"/>
      <c r="H31" s="102"/>
      <c r="I31" s="21"/>
      <c r="J31" s="21"/>
      <c r="K31" s="174"/>
    </row>
    <row r="32" spans="1:17">
      <c r="A32" s="180"/>
      <c r="B32" s="14"/>
      <c r="C32" s="13"/>
      <c r="D32" s="102"/>
      <c r="E32" s="102"/>
      <c r="F32" s="102"/>
      <c r="G32" s="102"/>
      <c r="H32" s="102"/>
      <c r="I32" s="21"/>
      <c r="J32" s="21"/>
      <c r="K32" s="174"/>
    </row>
    <row r="33" spans="1:14">
      <c r="A33" s="180"/>
      <c r="B33" s="14"/>
      <c r="C33" s="13"/>
      <c r="D33" s="102"/>
      <c r="E33" s="512"/>
      <c r="F33" s="102"/>
      <c r="G33" s="102"/>
      <c r="H33" s="102"/>
      <c r="I33" s="21"/>
      <c r="J33" s="21"/>
      <c r="K33" s="174"/>
      <c r="N33" s="513"/>
    </row>
    <row r="34" spans="1:14" ht="13.5" thickBot="1">
      <c r="A34" s="180"/>
      <c r="B34" s="14"/>
      <c r="C34" s="13"/>
      <c r="D34" s="514" t="s">
        <v>69</v>
      </c>
      <c r="E34" s="514"/>
      <c r="F34" s="102"/>
      <c r="G34" s="102"/>
      <c r="H34" s="102"/>
      <c r="I34" s="224"/>
      <c r="J34" s="21"/>
      <c r="K34" s="174"/>
    </row>
    <row r="35" spans="1:14" ht="13" thickBot="1">
      <c r="A35" s="180"/>
      <c r="B35" s="14"/>
      <c r="C35" s="13"/>
      <c r="D35" s="515" t="s">
        <v>66</v>
      </c>
      <c r="E35" s="516">
        <f>VLOOKUP(CONCATENATE("origterm_",D35),Assets,3,0)</f>
        <v>92.500616883739596</v>
      </c>
      <c r="F35" s="21"/>
      <c r="G35" s="21"/>
      <c r="H35" s="21"/>
      <c r="I35" s="21"/>
      <c r="J35" s="21"/>
      <c r="K35" s="174"/>
    </row>
    <row r="36" spans="1:14">
      <c r="A36" s="180"/>
      <c r="B36" s="14"/>
      <c r="C36" s="13"/>
      <c r="D36" s="201"/>
      <c r="E36" s="233"/>
      <c r="F36" s="21"/>
      <c r="G36" s="21"/>
      <c r="H36" s="21"/>
      <c r="I36" s="21"/>
      <c r="J36" s="21"/>
      <c r="K36" s="174"/>
    </row>
    <row r="37" spans="1:14">
      <c r="A37" s="180"/>
      <c r="B37" s="14"/>
      <c r="C37" s="13"/>
      <c r="D37" s="200"/>
      <c r="E37" s="233"/>
      <c r="F37" s="21"/>
      <c r="G37" s="21"/>
      <c r="H37" s="21"/>
      <c r="I37" s="21"/>
      <c r="J37" s="21"/>
      <c r="K37" s="174"/>
    </row>
    <row r="38" spans="1:14">
      <c r="A38" s="180"/>
      <c r="B38" s="14"/>
      <c r="C38" s="13"/>
      <c r="D38" s="21"/>
      <c r="E38" s="21"/>
      <c r="F38" s="21"/>
      <c r="G38" s="21"/>
      <c r="H38" s="21"/>
      <c r="I38" s="21"/>
      <c r="J38" s="21"/>
      <c r="K38" s="174"/>
    </row>
    <row r="39" spans="1:14">
      <c r="A39" s="180"/>
      <c r="B39" s="14"/>
      <c r="C39" s="13"/>
      <c r="D39" s="21"/>
      <c r="E39" s="21"/>
      <c r="F39" s="21"/>
      <c r="G39" s="21"/>
      <c r="H39" s="21"/>
      <c r="I39" s="21"/>
      <c r="J39" s="21"/>
      <c r="K39" s="174"/>
    </row>
    <row r="40" spans="1:14">
      <c r="A40" s="180"/>
      <c r="B40" s="14"/>
      <c r="C40" s="13"/>
      <c r="D40" s="21"/>
      <c r="E40" s="21"/>
      <c r="F40" s="21"/>
      <c r="G40" s="21"/>
      <c r="H40" s="21"/>
      <c r="I40" s="21"/>
      <c r="J40" s="21"/>
      <c r="K40" s="174"/>
    </row>
    <row r="41" spans="1:14">
      <c r="A41" s="180"/>
      <c r="B41" s="14"/>
      <c r="C41" s="13"/>
      <c r="D41" s="21"/>
      <c r="E41" s="21"/>
      <c r="F41" s="21"/>
      <c r="G41" s="21"/>
      <c r="H41" s="21"/>
      <c r="I41" s="21"/>
      <c r="J41" s="21"/>
      <c r="K41" s="174"/>
    </row>
    <row r="42" spans="1:14">
      <c r="A42" s="180"/>
      <c r="B42" s="14"/>
      <c r="C42" s="13"/>
      <c r="D42" s="21"/>
      <c r="E42" s="21"/>
      <c r="F42" s="21"/>
      <c r="G42" s="21"/>
      <c r="H42" s="21"/>
      <c r="I42" s="21"/>
      <c r="J42" s="21"/>
      <c r="K42" s="174"/>
    </row>
    <row r="43" spans="1:14">
      <c r="A43" s="180"/>
      <c r="B43" s="14"/>
      <c r="C43" s="13"/>
      <c r="D43" s="21"/>
      <c r="E43" s="21"/>
      <c r="F43" s="21"/>
      <c r="G43" s="21"/>
      <c r="H43" s="21"/>
      <c r="I43" s="21"/>
      <c r="J43" s="21"/>
      <c r="K43" s="174"/>
    </row>
    <row r="44" spans="1:14">
      <c r="A44" s="180"/>
      <c r="B44" s="14"/>
      <c r="C44" s="13"/>
      <c r="D44" s="21"/>
      <c r="E44" s="21"/>
      <c r="F44" s="21"/>
      <c r="G44" s="21"/>
      <c r="H44" s="21"/>
      <c r="I44" s="21"/>
      <c r="J44" s="21"/>
      <c r="K44" s="174"/>
    </row>
    <row r="45" spans="1:14">
      <c r="A45" s="180"/>
      <c r="B45" s="14"/>
      <c r="C45" s="13"/>
      <c r="D45" s="21"/>
      <c r="E45" s="21"/>
      <c r="F45" s="21"/>
      <c r="G45" s="21"/>
      <c r="H45" s="21"/>
      <c r="I45" s="21"/>
      <c r="J45" s="21"/>
      <c r="K45" s="174"/>
    </row>
    <row r="46" spans="1:14">
      <c r="A46" s="180"/>
      <c r="B46" s="14"/>
      <c r="C46" s="13"/>
      <c r="D46" s="21"/>
      <c r="E46" s="21"/>
      <c r="F46" s="21"/>
      <c r="G46" s="21"/>
      <c r="H46" s="21"/>
      <c r="I46" s="21"/>
      <c r="J46" s="21"/>
      <c r="K46" s="174"/>
    </row>
    <row r="47" spans="1:14">
      <c r="A47" s="180"/>
      <c r="B47" s="14"/>
      <c r="C47" s="13"/>
      <c r="D47" s="21"/>
      <c r="E47" s="21"/>
      <c r="F47" s="21"/>
      <c r="G47" s="21"/>
      <c r="H47" s="21"/>
      <c r="I47" s="21"/>
      <c r="J47" s="21"/>
      <c r="K47" s="174"/>
    </row>
    <row r="48" spans="1:14">
      <c r="A48" s="180"/>
      <c r="B48" s="14"/>
      <c r="C48" s="13"/>
      <c r="D48" s="21"/>
      <c r="E48" s="21"/>
      <c r="F48" s="21"/>
      <c r="G48" s="21"/>
      <c r="H48" s="21"/>
      <c r="I48" s="21"/>
      <c r="J48" s="21"/>
      <c r="K48" s="174"/>
    </row>
    <row r="49" spans="1:17">
      <c r="A49" s="180"/>
      <c r="B49" s="14"/>
      <c r="C49" s="13"/>
      <c r="D49" s="21"/>
      <c r="E49" s="21"/>
      <c r="F49" s="21"/>
      <c r="G49" s="21"/>
      <c r="H49" s="21"/>
      <c r="I49" s="21"/>
      <c r="J49" s="21"/>
      <c r="K49" s="174"/>
    </row>
    <row r="50" spans="1:17">
      <c r="A50" s="180"/>
      <c r="B50" s="14"/>
      <c r="C50" s="13"/>
      <c r="D50" s="21"/>
      <c r="E50" s="21"/>
      <c r="F50" s="21"/>
      <c r="G50" s="21"/>
      <c r="H50" s="21"/>
      <c r="I50" s="21"/>
      <c r="J50" s="21"/>
      <c r="K50" s="174"/>
    </row>
    <row r="51" spans="1:17">
      <c r="A51" s="180"/>
      <c r="B51" s="14"/>
      <c r="C51" s="13"/>
      <c r="D51" s="21"/>
      <c r="E51" s="21"/>
      <c r="F51" s="21"/>
      <c r="G51" s="21"/>
      <c r="H51" s="21"/>
      <c r="I51" s="21"/>
      <c r="J51" s="21"/>
      <c r="K51" s="174"/>
    </row>
    <row r="52" spans="1:17">
      <c r="A52" s="180"/>
      <c r="B52" s="14"/>
      <c r="C52" s="13"/>
      <c r="D52" s="21"/>
      <c r="E52" s="21"/>
      <c r="F52" s="21"/>
      <c r="G52" s="21"/>
      <c r="H52" s="21"/>
      <c r="I52" s="21"/>
      <c r="J52" s="21"/>
      <c r="K52" s="174"/>
    </row>
    <row r="53" spans="1:17">
      <c r="A53" s="180"/>
      <c r="B53" s="14"/>
      <c r="C53" s="13"/>
      <c r="D53" s="21"/>
      <c r="E53" s="21"/>
      <c r="F53" s="21"/>
      <c r="G53" s="21"/>
      <c r="H53" s="21"/>
      <c r="I53" s="21"/>
      <c r="J53" s="21"/>
      <c r="K53" s="174"/>
    </row>
    <row r="54" spans="1:17">
      <c r="A54" s="180"/>
      <c r="B54" s="14"/>
      <c r="C54" s="13"/>
      <c r="D54" s="21"/>
      <c r="E54" s="21"/>
      <c r="F54" s="21"/>
      <c r="G54" s="21"/>
      <c r="H54" s="21"/>
      <c r="I54" s="21"/>
      <c r="J54" s="21"/>
      <c r="K54" s="174"/>
    </row>
    <row r="55" spans="1:17">
      <c r="A55" s="195"/>
      <c r="B55" s="29"/>
      <c r="C55" s="11"/>
      <c r="D55" s="349"/>
      <c r="E55" s="11"/>
      <c r="F55" s="316"/>
      <c r="G55" s="350"/>
      <c r="H55" s="316"/>
      <c r="I55" s="390"/>
      <c r="J55" s="50"/>
      <c r="K55" s="196"/>
      <c r="M55" s="197"/>
      <c r="N55" s="13"/>
      <c r="O55" s="198"/>
      <c r="P55" s="199"/>
      <c r="Q55" s="198"/>
    </row>
    <row r="56" spans="1:17">
      <c r="A56" s="49"/>
      <c r="B56" s="14"/>
      <c r="C56" s="13"/>
      <c r="D56" s="197"/>
      <c r="E56" s="13"/>
      <c r="F56" s="198"/>
      <c r="G56" s="199"/>
      <c r="H56" s="198"/>
      <c r="I56" s="173"/>
      <c r="J56" s="21"/>
      <c r="K56" s="21"/>
      <c r="L56" s="21"/>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105" customFormat="1" ht="15" customHeight="1">
      <c r="B59" s="14"/>
      <c r="C59" s="13"/>
      <c r="D59" s="197"/>
      <c r="E59" s="13"/>
      <c r="F59" s="198"/>
      <c r="G59" s="199"/>
      <c r="H59" s="198"/>
      <c r="I59" s="145"/>
      <c r="M59" s="197"/>
      <c r="N59" s="13"/>
      <c r="O59" s="198"/>
      <c r="P59" s="199"/>
      <c r="Q59" s="198"/>
    </row>
    <row r="60" spans="1:17" s="105" customFormat="1">
      <c r="B60" s="14"/>
      <c r="C60" s="13"/>
      <c r="D60" s="197"/>
      <c r="E60" s="13"/>
      <c r="F60" s="198"/>
      <c r="G60" s="199"/>
      <c r="H60" s="198"/>
      <c r="I60" s="145"/>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197"/>
      <c r="E88" s="13"/>
      <c r="F88" s="198"/>
      <c r="G88" s="199"/>
      <c r="H88" s="198"/>
      <c r="I88" s="173"/>
      <c r="M88" s="197"/>
      <c r="N88" s="13"/>
      <c r="O88" s="198"/>
      <c r="P88" s="199"/>
      <c r="Q88" s="198"/>
    </row>
    <row r="89" spans="2:17" s="21" customFormat="1">
      <c r="B89" s="14"/>
      <c r="C89" s="13"/>
      <c r="D89" s="200"/>
      <c r="E89" s="201"/>
      <c r="F89" s="232"/>
      <c r="G89" s="203"/>
      <c r="H89" s="232"/>
      <c r="I89" s="173"/>
      <c r="M89" s="200"/>
      <c r="N89" s="201"/>
      <c r="O89" s="232"/>
      <c r="P89" s="203"/>
      <c r="Q89" s="232"/>
    </row>
    <row r="90" spans="2:17" s="21" customFormat="1">
      <c r="B90" s="14"/>
      <c r="C90" s="13"/>
      <c r="D90" s="200"/>
      <c r="E90" s="200"/>
      <c r="F90" s="200"/>
      <c r="G90" s="200"/>
      <c r="H90" s="200"/>
      <c r="I90" s="173"/>
      <c r="M90" s="200"/>
      <c r="N90" s="200"/>
      <c r="O90" s="200"/>
      <c r="P90" s="200"/>
      <c r="Q90" s="200"/>
    </row>
    <row r="91" spans="2:17" s="21" customFormat="1">
      <c r="B91" s="14"/>
      <c r="C91" s="13"/>
      <c r="D91" s="200"/>
      <c r="E91" s="200"/>
      <c r="F91" s="200"/>
      <c r="G91" s="200"/>
      <c r="H91" s="200"/>
      <c r="I91" s="173"/>
      <c r="M91" s="200"/>
      <c r="N91" s="200"/>
      <c r="O91" s="200"/>
      <c r="P91" s="200"/>
      <c r="Q91" s="200"/>
    </row>
    <row r="92" spans="2:17" s="21" customFormat="1">
      <c r="B92" s="14"/>
      <c r="C92" s="13"/>
      <c r="D92" s="204"/>
      <c r="E92" s="233"/>
      <c r="F92" s="200"/>
      <c r="G92" s="200"/>
      <c r="H92" s="200"/>
      <c r="I92" s="173"/>
      <c r="M92" s="204"/>
      <c r="N92" s="233"/>
      <c r="O92" s="200"/>
      <c r="P92" s="200"/>
      <c r="Q92" s="200"/>
    </row>
    <row r="93" spans="2:17" s="21" customFormat="1">
      <c r="B93" s="14"/>
      <c r="C93" s="13"/>
      <c r="D93" s="201"/>
      <c r="E93" s="233"/>
      <c r="F93" s="200"/>
      <c r="G93" s="200"/>
      <c r="H93" s="200"/>
      <c r="I93" s="173"/>
      <c r="M93" s="201"/>
      <c r="N93" s="233"/>
      <c r="O93" s="200"/>
      <c r="P93" s="200"/>
      <c r="Q93" s="200"/>
    </row>
    <row r="94" spans="2:17" s="21" customFormat="1">
      <c r="B94" s="14"/>
      <c r="C94" s="13"/>
      <c r="D94" s="200"/>
      <c r="E94" s="233"/>
      <c r="F94" s="200"/>
      <c r="G94" s="200"/>
      <c r="H94" s="200"/>
      <c r="I94" s="173"/>
      <c r="M94" s="200"/>
      <c r="N94" s="233"/>
      <c r="O94" s="200"/>
      <c r="P94" s="200"/>
      <c r="Q94" s="200"/>
    </row>
    <row r="95" spans="2:17" s="21" customFormat="1" ht="14">
      <c r="B95" s="200"/>
      <c r="C95" s="201"/>
      <c r="D95" s="206"/>
      <c r="E95" s="206"/>
      <c r="F95" s="206"/>
      <c r="G95" s="206"/>
      <c r="H95" s="206"/>
      <c r="I95" s="173"/>
      <c r="M95" s="206"/>
      <c r="N95" s="206"/>
      <c r="O95" s="206"/>
      <c r="P95" s="206"/>
      <c r="Q95" s="206"/>
    </row>
    <row r="96" spans="2:17" s="21" customFormat="1" ht="14">
      <c r="B96" s="105"/>
      <c r="C96" s="105"/>
      <c r="D96" s="206"/>
      <c r="E96" s="206"/>
      <c r="F96" s="206"/>
      <c r="G96" s="206"/>
      <c r="H96" s="206"/>
      <c r="I96" s="173"/>
      <c r="M96" s="206"/>
      <c r="N96" s="206"/>
      <c r="O96" s="206"/>
      <c r="P96" s="206"/>
      <c r="Q96" s="206"/>
    </row>
    <row r="97" spans="2:17" s="21" customFormat="1" ht="14">
      <c r="B97" s="105"/>
      <c r="C97" s="105"/>
      <c r="D97" s="207"/>
      <c r="E97" s="234"/>
      <c r="F97" s="206"/>
      <c r="G97" s="206"/>
      <c r="H97" s="206"/>
      <c r="I97" s="173"/>
      <c r="M97" s="207"/>
      <c r="N97" s="234"/>
      <c r="O97" s="206"/>
      <c r="P97" s="206"/>
      <c r="Q97" s="206"/>
    </row>
    <row r="98" spans="2:17" s="21" customFormat="1" ht="14">
      <c r="B98" s="204"/>
      <c r="C98" s="233"/>
      <c r="D98" s="209"/>
      <c r="E98" s="234"/>
      <c r="F98" s="206"/>
      <c r="G98" s="206"/>
      <c r="H98" s="206"/>
      <c r="I98" s="173"/>
      <c r="M98" s="209"/>
      <c r="N98" s="234"/>
      <c r="O98" s="206"/>
      <c r="P98" s="206"/>
      <c r="Q98" s="206"/>
    </row>
    <row r="99" spans="2:17" s="21" customFormat="1" ht="14">
      <c r="B99" s="210"/>
      <c r="C99" s="233"/>
      <c r="D99" s="206"/>
      <c r="E99" s="234"/>
      <c r="F99" s="206"/>
      <c r="G99" s="206"/>
      <c r="H99" s="206"/>
      <c r="I99" s="173"/>
      <c r="M99" s="206"/>
      <c r="N99" s="234"/>
      <c r="O99" s="206"/>
      <c r="P99" s="206"/>
      <c r="Q99" s="206"/>
    </row>
    <row r="100" spans="2:17" s="21" customFormat="1">
      <c r="C100" s="233"/>
      <c r="I100" s="173"/>
    </row>
    <row r="101" spans="2:17" s="21" customFormat="1">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c r="I318" s="173"/>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45848</v>
      </c>
      <c r="G2" s="107"/>
      <c r="H2" s="107"/>
      <c r="I2" s="107"/>
      <c r="J2" s="109"/>
      <c r="K2" s="359"/>
    </row>
    <row r="3" spans="1:13" s="102" customFormat="1" ht="18">
      <c r="A3" s="103"/>
      <c r="B3" s="104" t="str">
        <f>'Cover Sheet'!B3</f>
        <v>Monthly Investor Report</v>
      </c>
      <c r="C3" s="104"/>
      <c r="D3" s="112" t="str">
        <f>'Cover Sheet'!D3</f>
        <v>Payment Date</v>
      </c>
      <c r="E3" s="113"/>
      <c r="F3" s="114">
        <f>'Cover Sheet'!F3</f>
        <v>45852</v>
      </c>
      <c r="G3" s="113"/>
      <c r="H3" s="113"/>
      <c r="I3" s="113"/>
      <c r="J3" s="115"/>
      <c r="K3" s="125"/>
    </row>
    <row r="4" spans="1:13" s="102" customFormat="1" ht="13">
      <c r="A4" s="103"/>
      <c r="B4" s="157"/>
      <c r="C4" s="158"/>
      <c r="D4" s="112" t="str">
        <f>'Cover Sheet'!D4</f>
        <v>Period  No</v>
      </c>
      <c r="E4" s="113"/>
      <c r="F4" s="117">
        <f>'Cover Sheet'!F4</f>
        <v>33</v>
      </c>
      <c r="G4" s="113"/>
      <c r="H4" s="118"/>
      <c r="I4" s="113"/>
      <c r="J4" s="119"/>
      <c r="K4" s="359"/>
    </row>
    <row r="5" spans="1:13" s="102" customFormat="1" ht="18">
      <c r="A5" s="103"/>
      <c r="B5" s="160" t="s">
        <v>152</v>
      </c>
      <c r="C5" s="120"/>
      <c r="D5" s="112" t="str">
        <f>'Cover Sheet'!D5</f>
        <v>Monthly Period</v>
      </c>
      <c r="E5" s="113"/>
      <c r="F5" s="121">
        <f>'Cover Sheet'!F5</f>
        <v>45852</v>
      </c>
      <c r="G5" s="113"/>
      <c r="H5" s="118"/>
      <c r="I5" s="113"/>
      <c r="J5" s="119"/>
      <c r="K5" s="125"/>
    </row>
    <row r="6" spans="1:13"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7.54296875" style="144" customWidth="1"/>
    <col min="4" max="4" width="18.81640625" style="144" customWidth="1"/>
    <col min="5" max="5" width="18.54296875" style="144" customWidth="1"/>
    <col min="6" max="6" width="19.54296875" style="144" customWidth="1"/>
    <col min="7" max="9" width="19" style="144" customWidth="1"/>
    <col min="10" max="10" width="15.453125" style="144" customWidth="1"/>
    <col min="11" max="11" width="1.1796875" style="144" customWidth="1"/>
    <col min="12" max="12" width="3.1796875" style="144" customWidth="1"/>
    <col min="13" max="13" width="18.81640625" style="144" customWidth="1"/>
    <col min="14" max="14" width="18.54296875" style="144" customWidth="1"/>
    <col min="15" max="15" width="19.54296875" style="144" customWidth="1"/>
    <col min="16" max="18" width="19" style="144" customWidth="1"/>
    <col min="19"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tr">
        <f>'Cover Sheet'!B2</f>
        <v>SC Germany Consumer 2022-1</v>
      </c>
      <c r="C2" s="104"/>
      <c r="D2" s="106" t="str">
        <f>'Cover Sheet'!D2</f>
        <v>Calculation Date</v>
      </c>
      <c r="E2" s="107"/>
      <c r="F2" s="108">
        <f>'Cover Sheet'!F2</f>
        <v>45848</v>
      </c>
      <c r="G2" s="107"/>
      <c r="H2" s="107"/>
      <c r="I2" s="107"/>
      <c r="J2" s="109"/>
      <c r="K2" s="359"/>
      <c r="M2" s="164"/>
      <c r="N2" s="21"/>
      <c r="O2" s="473"/>
      <c r="P2" s="21"/>
      <c r="Q2" s="21"/>
      <c r="R2" s="21"/>
    </row>
    <row r="3" spans="1:18" s="102" customFormat="1" ht="18">
      <c r="A3" s="103"/>
      <c r="B3" s="104" t="str">
        <f>'Cover Sheet'!B3</f>
        <v>Monthly Investor Report</v>
      </c>
      <c r="C3" s="104"/>
      <c r="D3" s="112" t="str">
        <f>'Cover Sheet'!D3</f>
        <v>Payment Date</v>
      </c>
      <c r="E3" s="113"/>
      <c r="F3" s="114">
        <f>'Cover Sheet'!F3</f>
        <v>45852</v>
      </c>
      <c r="G3" s="113"/>
      <c r="H3" s="113"/>
      <c r="I3" s="113"/>
      <c r="J3" s="115"/>
      <c r="K3" s="125"/>
      <c r="M3" s="164"/>
      <c r="N3" s="21"/>
      <c r="O3" s="473"/>
      <c r="P3" s="21"/>
      <c r="Q3" s="21"/>
      <c r="R3" s="21"/>
    </row>
    <row r="4" spans="1:18" s="102" customFormat="1" ht="13">
      <c r="A4" s="103"/>
      <c r="B4" s="157"/>
      <c r="C4" s="158"/>
      <c r="D4" s="112" t="str">
        <f>'Cover Sheet'!D4</f>
        <v>Period  No</v>
      </c>
      <c r="E4" s="113"/>
      <c r="F4" s="117">
        <f>'Cover Sheet'!F4</f>
        <v>33</v>
      </c>
      <c r="G4" s="113"/>
      <c r="H4" s="118"/>
      <c r="I4" s="113"/>
      <c r="J4" s="119"/>
      <c r="K4" s="359"/>
      <c r="M4" s="164"/>
      <c r="N4" s="21"/>
      <c r="O4" s="474"/>
      <c r="P4" s="21"/>
      <c r="Q4" s="164"/>
      <c r="R4" s="21"/>
    </row>
    <row r="5" spans="1:18" s="102" customFormat="1" ht="18">
      <c r="A5" s="103"/>
      <c r="B5" s="160" t="s">
        <v>153</v>
      </c>
      <c r="C5" s="120"/>
      <c r="D5" s="112" t="str">
        <f>'Cover Sheet'!D5</f>
        <v>Monthly Period</v>
      </c>
      <c r="E5" s="113"/>
      <c r="F5" s="121">
        <f>'Cover Sheet'!F5</f>
        <v>45852</v>
      </c>
      <c r="G5" s="113"/>
      <c r="H5" s="118"/>
      <c r="I5" s="113"/>
      <c r="J5" s="119"/>
      <c r="K5" s="125"/>
      <c r="M5" s="164"/>
      <c r="N5" s="21"/>
      <c r="O5" s="475"/>
      <c r="P5" s="21"/>
      <c r="Q5" s="164"/>
      <c r="R5" s="21"/>
    </row>
    <row r="6" spans="1:18"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64"/>
      <c r="N6" s="229"/>
      <c r="O6" s="473"/>
      <c r="P6" s="21"/>
      <c r="Q6" s="473"/>
      <c r="R6" s="21"/>
    </row>
    <row r="7" spans="1:18"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c r="M7" s="164"/>
      <c r="N7" s="21"/>
      <c r="O7" s="476"/>
      <c r="P7" s="229"/>
      <c r="Q7" s="473"/>
      <c r="R7" s="229"/>
    </row>
    <row r="8" spans="1:18" s="102" customFormat="1" ht="13">
      <c r="A8" s="103"/>
      <c r="B8" s="105"/>
      <c r="C8" s="105"/>
      <c r="D8" s="105"/>
      <c r="E8" s="134"/>
      <c r="F8" s="133"/>
      <c r="G8" s="134"/>
      <c r="H8" s="105"/>
      <c r="I8" s="134"/>
      <c r="J8" s="105"/>
      <c r="K8" s="125"/>
      <c r="M8" s="21"/>
      <c r="N8" s="477"/>
      <c r="O8" s="229"/>
      <c r="P8" s="477"/>
      <c r="Q8" s="21"/>
      <c r="R8" s="477"/>
    </row>
    <row r="9" spans="1:18" s="102" customFormat="1">
      <c r="A9" s="103"/>
      <c r="K9" s="110"/>
      <c r="M9" s="21"/>
      <c r="N9" s="21"/>
      <c r="O9" s="21"/>
      <c r="P9" s="21"/>
      <c r="Q9" s="21"/>
      <c r="R9" s="21"/>
    </row>
    <row r="10" spans="1:18" s="102" customFormat="1">
      <c r="A10" s="103"/>
      <c r="B10" s="105"/>
      <c r="C10" s="105"/>
      <c r="D10" s="21"/>
      <c r="E10" s="105"/>
      <c r="F10" s="145"/>
      <c r="G10" s="105"/>
      <c r="H10" s="105"/>
      <c r="I10" s="105"/>
      <c r="J10" s="21"/>
      <c r="K10" s="110"/>
      <c r="M10" s="21"/>
      <c r="N10" s="105"/>
      <c r="O10" s="145"/>
      <c r="P10" s="105"/>
      <c r="Q10" s="105"/>
      <c r="R10" s="105"/>
    </row>
    <row r="11" spans="1:18" s="102" customFormat="1" ht="17.5">
      <c r="A11" s="103"/>
      <c r="B11" s="169"/>
      <c r="C11" s="105"/>
      <c r="D11" s="21"/>
      <c r="E11" s="105"/>
      <c r="F11" s="21"/>
      <c r="G11" s="361"/>
      <c r="H11" s="361"/>
      <c r="I11" s="361"/>
      <c r="K11" s="110"/>
      <c r="M11" s="21"/>
      <c r="N11" s="105"/>
      <c r="O11" s="21"/>
      <c r="P11" s="361"/>
      <c r="Q11" s="361"/>
      <c r="R11" s="361"/>
    </row>
    <row r="12" spans="1:18" s="102" customFormat="1" ht="13" thickBot="1">
      <c r="A12" s="103"/>
      <c r="B12" s="105"/>
      <c r="C12" s="21"/>
      <c r="D12" s="21"/>
      <c r="E12" s="21"/>
      <c r="F12" s="21"/>
      <c r="G12" s="362"/>
      <c r="H12" s="362"/>
      <c r="I12" s="362"/>
      <c r="J12" s="21"/>
      <c r="K12" s="110"/>
      <c r="M12" s="21"/>
      <c r="N12" s="21"/>
      <c r="O12" s="21"/>
      <c r="P12" s="362"/>
      <c r="Q12" s="362"/>
      <c r="R12" s="362"/>
    </row>
    <row r="13" spans="1:18" s="102" customFormat="1" ht="29.5" thickBot="1">
      <c r="A13" s="103"/>
      <c r="B13" s="172"/>
      <c r="C13" s="478" t="s">
        <v>100</v>
      </c>
      <c r="D13" s="479" t="s">
        <v>71</v>
      </c>
      <c r="E13" s="479" t="s">
        <v>113</v>
      </c>
      <c r="F13" s="479" t="s">
        <v>61</v>
      </c>
      <c r="G13" s="479" t="s">
        <v>114</v>
      </c>
      <c r="H13" s="479" t="s">
        <v>101</v>
      </c>
      <c r="I13" s="480" t="s">
        <v>115</v>
      </c>
      <c r="J13" s="21"/>
      <c r="K13" s="110"/>
      <c r="M13" s="481"/>
      <c r="N13" s="482"/>
      <c r="O13" s="482"/>
      <c r="P13" s="482"/>
      <c r="Q13" s="482"/>
      <c r="R13" s="482"/>
    </row>
    <row r="14" spans="1:18">
      <c r="A14" s="180"/>
      <c r="B14" s="14"/>
      <c r="C14" s="939" t="s">
        <v>957</v>
      </c>
      <c r="D14" s="51">
        <f t="shared" ref="D14:D20" si="0">VLOOKUP(CONCATENATE("loanconc_",C14),Assets,3,0)</f>
        <v>504360705.71000093</v>
      </c>
      <c r="E14" s="52">
        <f>D14/$D$21</f>
        <v>0.98331361445749355</v>
      </c>
      <c r="F14" s="483">
        <f>H14*1</f>
        <v>40686</v>
      </c>
      <c r="G14" s="53">
        <f>F14/$F$21</f>
        <v>0.96919888515686414</v>
      </c>
      <c r="H14" s="483">
        <f t="shared" ref="H14:H20" si="1">VLOOKUP(CONCATENATE("loanconc_",C14),Assets,2,0)</f>
        <v>40686</v>
      </c>
      <c r="I14" s="54">
        <f>H14/$H$21</f>
        <v>0.98475167005518438</v>
      </c>
      <c r="J14" s="21"/>
      <c r="K14" s="174"/>
      <c r="M14" s="105"/>
      <c r="N14" s="484"/>
      <c r="O14" s="485"/>
      <c r="P14" s="369"/>
      <c r="Q14" s="105"/>
      <c r="R14" s="369"/>
    </row>
    <row r="15" spans="1:18">
      <c r="A15" s="180"/>
      <c r="B15" s="14"/>
      <c r="C15" s="939" t="s">
        <v>958</v>
      </c>
      <c r="D15" s="55">
        <f t="shared" si="0"/>
        <v>8376563.3300000122</v>
      </c>
      <c r="E15" s="56">
        <f t="shared" ref="E15:E20" si="2">D15/$D$21</f>
        <v>1.6331146878619897E-2</v>
      </c>
      <c r="F15" s="486">
        <f>H15*2</f>
        <v>1204</v>
      </c>
      <c r="G15" s="57">
        <f t="shared" ref="G15:G20" si="3">F15/$F$21</f>
        <v>2.8681007170251793E-2</v>
      </c>
      <c r="H15" s="486">
        <f t="shared" si="1"/>
        <v>602</v>
      </c>
      <c r="I15" s="58">
        <f t="shared" ref="I15:I20" si="4">H15/$H$21</f>
        <v>1.4570626391712653E-2</v>
      </c>
      <c r="J15" s="21"/>
      <c r="K15" s="174"/>
      <c r="M15" s="105"/>
      <c r="N15" s="484"/>
      <c r="O15" s="485"/>
      <c r="P15" s="369"/>
      <c r="Q15" s="105"/>
      <c r="R15" s="369"/>
    </row>
    <row r="16" spans="1:18">
      <c r="A16" s="180"/>
      <c r="B16" s="14"/>
      <c r="C16" s="939" t="s">
        <v>959</v>
      </c>
      <c r="D16" s="55">
        <f t="shared" si="0"/>
        <v>154264.55000000008</v>
      </c>
      <c r="E16" s="56">
        <f t="shared" si="2"/>
        <v>3.0075783169828914E-4</v>
      </c>
      <c r="F16" s="486">
        <f>H16*3</f>
        <v>69</v>
      </c>
      <c r="G16" s="57">
        <f t="shared" si="3"/>
        <v>1.643678982348317E-3</v>
      </c>
      <c r="H16" s="486">
        <f t="shared" si="1"/>
        <v>23</v>
      </c>
      <c r="I16" s="58">
        <f t="shared" si="4"/>
        <v>5.5668506147739372E-4</v>
      </c>
      <c r="J16" s="21"/>
      <c r="K16" s="174"/>
      <c r="M16" s="105"/>
      <c r="N16" s="484"/>
      <c r="O16" s="485"/>
      <c r="P16" s="369"/>
      <c r="Q16" s="105"/>
      <c r="R16" s="369"/>
    </row>
    <row r="17" spans="1:18">
      <c r="A17" s="180"/>
      <c r="B17" s="14"/>
      <c r="C17" s="939" t="s">
        <v>960</v>
      </c>
      <c r="D17" s="55">
        <f t="shared" si="0"/>
        <v>27944.28</v>
      </c>
      <c r="E17" s="56">
        <f t="shared" si="2"/>
        <v>5.4480832188405324E-5</v>
      </c>
      <c r="F17" s="486">
        <f>H17*4</f>
        <v>20</v>
      </c>
      <c r="G17" s="57">
        <f t="shared" si="3"/>
        <v>4.7642869053574408E-4</v>
      </c>
      <c r="H17" s="486">
        <f t="shared" si="1"/>
        <v>5</v>
      </c>
      <c r="I17" s="58">
        <f t="shared" si="4"/>
        <v>1.2101849162552038E-4</v>
      </c>
      <c r="J17" s="21"/>
      <c r="K17" s="174"/>
      <c r="M17" s="105"/>
      <c r="N17" s="484"/>
      <c r="O17" s="485"/>
      <c r="P17" s="369"/>
      <c r="Q17" s="105"/>
      <c r="R17" s="369"/>
    </row>
    <row r="18" spans="1:18">
      <c r="A18" s="180"/>
      <c r="B18" s="14"/>
      <c r="C18" s="939" t="s">
        <v>961</v>
      </c>
      <c r="D18" s="55">
        <f t="shared" si="0"/>
        <v>0</v>
      </c>
      <c r="E18" s="56">
        <f t="shared" si="2"/>
        <v>0</v>
      </c>
      <c r="F18" s="486">
        <f>H18*5</f>
        <v>0</v>
      </c>
      <c r="G18" s="57">
        <f t="shared" si="3"/>
        <v>0</v>
      </c>
      <c r="H18" s="486">
        <f t="shared" si="1"/>
        <v>0</v>
      </c>
      <c r="I18" s="58">
        <f t="shared" si="4"/>
        <v>0</v>
      </c>
      <c r="J18" s="21"/>
      <c r="K18" s="174"/>
      <c r="M18" s="105"/>
      <c r="N18" s="484"/>
      <c r="O18" s="485"/>
      <c r="P18" s="369"/>
      <c r="Q18" s="105"/>
      <c r="R18" s="369"/>
    </row>
    <row r="19" spans="1:18">
      <c r="A19" s="180"/>
      <c r="B19" s="14"/>
      <c r="C19" s="939" t="s">
        <v>962</v>
      </c>
      <c r="D19" s="55">
        <f t="shared" si="0"/>
        <v>0</v>
      </c>
      <c r="E19" s="56">
        <f t="shared" si="2"/>
        <v>0</v>
      </c>
      <c r="F19" s="486">
        <f>H19*6</f>
        <v>0</v>
      </c>
      <c r="G19" s="57">
        <f t="shared" si="3"/>
        <v>0</v>
      </c>
      <c r="H19" s="486">
        <f t="shared" si="1"/>
        <v>0</v>
      </c>
      <c r="I19" s="58">
        <f t="shared" si="4"/>
        <v>0</v>
      </c>
      <c r="J19" s="21"/>
      <c r="K19" s="174"/>
      <c r="M19" s="105"/>
      <c r="N19" s="484"/>
      <c r="O19" s="485"/>
      <c r="P19" s="369"/>
      <c r="Q19" s="105"/>
      <c r="R19" s="369"/>
    </row>
    <row r="20" spans="1:18" ht="13" thickBot="1">
      <c r="A20" s="180"/>
      <c r="B20" s="14"/>
      <c r="C20" s="939" t="s">
        <v>1014</v>
      </c>
      <c r="D20" s="55">
        <f t="shared" si="0"/>
        <v>0</v>
      </c>
      <c r="E20" s="56">
        <f t="shared" si="2"/>
        <v>0</v>
      </c>
      <c r="F20" s="486">
        <f>H20*7</f>
        <v>0</v>
      </c>
      <c r="G20" s="57">
        <f t="shared" si="3"/>
        <v>0</v>
      </c>
      <c r="H20" s="486">
        <f t="shared" si="1"/>
        <v>0</v>
      </c>
      <c r="I20" s="58">
        <f t="shared" si="4"/>
        <v>0</v>
      </c>
      <c r="J20" s="21"/>
      <c r="K20" s="174"/>
      <c r="M20" s="105"/>
      <c r="N20" s="484"/>
      <c r="O20" s="485"/>
      <c r="P20" s="369"/>
      <c r="Q20" s="105"/>
      <c r="R20" s="369"/>
    </row>
    <row r="21" spans="1:18" ht="14" thickTop="1" thickBot="1">
      <c r="A21" s="180"/>
      <c r="B21" s="14"/>
      <c r="C21" s="487" t="s">
        <v>102</v>
      </c>
      <c r="D21" s="488">
        <f t="shared" ref="D21:I21" si="5">SUM(D14:D20)</f>
        <v>512919477.8700009</v>
      </c>
      <c r="E21" s="489">
        <f t="shared" si="5"/>
        <v>1.0000000000000002</v>
      </c>
      <c r="F21" s="490">
        <f t="shared" si="5"/>
        <v>41979</v>
      </c>
      <c r="G21" s="489">
        <f t="shared" si="5"/>
        <v>1</v>
      </c>
      <c r="H21" s="490">
        <f t="shared" si="5"/>
        <v>41316</v>
      </c>
      <c r="I21" s="491">
        <f t="shared" si="5"/>
        <v>1</v>
      </c>
      <c r="J21" s="21"/>
      <c r="K21" s="174"/>
      <c r="M21" s="105"/>
      <c r="N21" s="484"/>
      <c r="O21" s="485"/>
      <c r="P21" s="369"/>
      <c r="Q21" s="105"/>
      <c r="R21" s="369"/>
    </row>
    <row r="22" spans="1:18" ht="13">
      <c r="A22" s="180"/>
      <c r="B22" s="14"/>
      <c r="C22" s="142"/>
      <c r="D22" s="492"/>
      <c r="E22" s="227"/>
      <c r="F22" s="493"/>
      <c r="G22" s="227"/>
      <c r="H22" s="493"/>
      <c r="I22" s="227"/>
      <c r="J22" s="21"/>
      <c r="K22" s="174"/>
      <c r="M22" s="105"/>
      <c r="N22" s="484"/>
      <c r="O22" s="485"/>
      <c r="P22" s="369"/>
      <c r="Q22" s="105"/>
      <c r="R22" s="369"/>
    </row>
    <row r="23" spans="1:18" ht="13">
      <c r="A23" s="180"/>
      <c r="B23" s="14"/>
      <c r="C23" s="142"/>
      <c r="D23" s="492"/>
      <c r="E23" s="227"/>
      <c r="F23" s="493"/>
      <c r="G23" s="227"/>
      <c r="H23" s="493"/>
      <c r="I23" s="227"/>
      <c r="J23" s="21"/>
      <c r="K23" s="174"/>
      <c r="M23" s="105"/>
      <c r="N23" s="484"/>
      <c r="O23" s="485"/>
      <c r="P23" s="369"/>
      <c r="Q23" s="105"/>
      <c r="R23" s="369"/>
    </row>
    <row r="24" spans="1:18" ht="13">
      <c r="A24" s="180"/>
      <c r="B24" s="14"/>
      <c r="C24" s="142"/>
      <c r="D24" s="492"/>
      <c r="E24" s="227"/>
      <c r="F24" s="493"/>
      <c r="G24" s="227"/>
      <c r="H24" s="493"/>
      <c r="I24" s="227"/>
      <c r="J24" s="21"/>
      <c r="K24" s="174"/>
      <c r="M24" s="105"/>
      <c r="N24" s="484"/>
      <c r="O24" s="485"/>
      <c r="P24" s="369"/>
      <c r="Q24" s="105"/>
      <c r="R24" s="369"/>
    </row>
    <row r="25" spans="1:18" ht="13">
      <c r="A25" s="180"/>
      <c r="B25" s="14"/>
      <c r="C25" s="142"/>
      <c r="D25" s="492"/>
      <c r="E25" s="227"/>
      <c r="F25" s="493"/>
      <c r="G25" s="227"/>
      <c r="H25" s="493"/>
      <c r="I25" s="227"/>
      <c r="J25" s="21"/>
      <c r="K25" s="174"/>
      <c r="M25" s="105"/>
      <c r="N25" s="484"/>
      <c r="O25" s="485"/>
      <c r="P25" s="369"/>
      <c r="Q25" s="105"/>
      <c r="R25" s="369"/>
    </row>
    <row r="26" spans="1:18" ht="13">
      <c r="A26" s="180"/>
      <c r="B26" s="14"/>
      <c r="C26" s="142"/>
      <c r="D26" s="492"/>
      <c r="E26" s="227"/>
      <c r="F26" s="493"/>
      <c r="G26" s="227"/>
      <c r="H26" s="493"/>
      <c r="I26" s="227"/>
      <c r="J26" s="21"/>
      <c r="K26" s="174"/>
      <c r="M26" s="105"/>
      <c r="N26" s="484"/>
      <c r="O26" s="485"/>
      <c r="P26" s="369"/>
      <c r="Q26" s="105"/>
      <c r="R26" s="369"/>
    </row>
    <row r="27" spans="1:18" ht="13">
      <c r="A27" s="180"/>
      <c r="B27" s="14"/>
      <c r="C27" s="142"/>
      <c r="D27" s="492"/>
      <c r="E27" s="227"/>
      <c r="F27" s="493"/>
      <c r="G27" s="227"/>
      <c r="H27" s="493"/>
      <c r="I27" s="227"/>
      <c r="J27" s="21"/>
      <c r="K27" s="174"/>
      <c r="M27" s="105"/>
      <c r="N27" s="484"/>
      <c r="O27" s="485"/>
      <c r="P27" s="369"/>
      <c r="Q27" s="105"/>
      <c r="R27" s="369"/>
    </row>
    <row r="28" spans="1:18" ht="13">
      <c r="A28" s="180"/>
      <c r="B28" s="14"/>
      <c r="C28" s="142"/>
      <c r="D28" s="492"/>
      <c r="E28" s="227"/>
      <c r="F28" s="493"/>
      <c r="G28" s="227"/>
      <c r="H28" s="493"/>
      <c r="I28" s="227"/>
      <c r="J28" s="21"/>
      <c r="K28" s="174"/>
      <c r="M28" s="105"/>
      <c r="N28" s="484"/>
      <c r="O28" s="485"/>
      <c r="P28" s="369"/>
      <c r="Q28" s="105"/>
      <c r="R28" s="369"/>
    </row>
    <row r="29" spans="1:18" ht="13">
      <c r="A29" s="180"/>
      <c r="B29" s="14"/>
      <c r="C29" s="142"/>
      <c r="D29" s="492"/>
      <c r="E29" s="227"/>
      <c r="F29" s="493"/>
      <c r="G29" s="227"/>
      <c r="H29" s="493"/>
      <c r="I29" s="227"/>
      <c r="J29" s="21"/>
      <c r="K29" s="174"/>
      <c r="M29" s="105"/>
      <c r="N29" s="484"/>
      <c r="O29" s="485"/>
      <c r="P29" s="369"/>
      <c r="Q29" s="105"/>
      <c r="R29" s="369"/>
    </row>
    <row r="30" spans="1:18">
      <c r="A30" s="180"/>
      <c r="B30" s="14"/>
      <c r="C30" s="13"/>
      <c r="D30" s="21"/>
      <c r="E30" s="21"/>
      <c r="F30" s="21"/>
      <c r="G30" s="21"/>
      <c r="H30" s="21"/>
      <c r="I30" s="21"/>
      <c r="J30" s="21"/>
      <c r="K30" s="174"/>
      <c r="M30" s="21"/>
      <c r="N30" s="21"/>
      <c r="O30" s="21"/>
      <c r="P30" s="21"/>
      <c r="Q30" s="21"/>
      <c r="R30" s="21"/>
    </row>
    <row r="31" spans="1:18">
      <c r="A31" s="180"/>
      <c r="B31" s="14"/>
      <c r="C31" s="13"/>
      <c r="D31" s="21"/>
      <c r="E31" s="21"/>
      <c r="F31" s="21"/>
      <c r="G31" s="21"/>
      <c r="H31" s="21"/>
      <c r="I31" s="21"/>
      <c r="J31" s="21"/>
      <c r="K31" s="174"/>
      <c r="M31" s="21"/>
      <c r="N31" s="21"/>
      <c r="O31" s="21"/>
      <c r="P31" s="21"/>
      <c r="Q31" s="21"/>
      <c r="R31" s="21"/>
    </row>
    <row r="32" spans="1:18">
      <c r="A32" s="180"/>
      <c r="B32" s="14"/>
      <c r="C32" s="13"/>
      <c r="D32" s="21"/>
      <c r="E32" s="21"/>
      <c r="F32" s="21"/>
      <c r="G32" s="21"/>
      <c r="H32" s="21"/>
      <c r="I32" s="21"/>
      <c r="J32" s="21"/>
      <c r="K32" s="174"/>
      <c r="M32" s="21"/>
      <c r="N32" s="21"/>
      <c r="O32" s="21"/>
      <c r="P32" s="21"/>
      <c r="Q32" s="21"/>
      <c r="R32" s="21"/>
    </row>
    <row r="33" spans="1:18">
      <c r="A33" s="180"/>
      <c r="B33" s="14"/>
      <c r="C33" s="13"/>
      <c r="D33" s="21"/>
      <c r="E33" s="21"/>
      <c r="F33" s="21"/>
      <c r="G33" s="21"/>
      <c r="H33" s="21"/>
      <c r="I33" s="21"/>
      <c r="J33" s="21"/>
      <c r="K33" s="174"/>
      <c r="M33" s="21"/>
      <c r="N33" s="21"/>
      <c r="O33" s="21"/>
      <c r="P33" s="21"/>
      <c r="Q33" s="21"/>
      <c r="R33" s="21"/>
    </row>
    <row r="34" spans="1:18">
      <c r="A34" s="180"/>
      <c r="B34" s="14"/>
      <c r="C34" s="13"/>
      <c r="D34" s="21"/>
      <c r="E34" s="21"/>
      <c r="F34" s="21"/>
      <c r="G34" s="21"/>
      <c r="H34" s="21"/>
      <c r="I34" s="21"/>
      <c r="J34" s="21"/>
      <c r="K34" s="174"/>
      <c r="M34" s="21"/>
      <c r="N34" s="21"/>
      <c r="O34" s="21"/>
      <c r="P34" s="21"/>
      <c r="Q34" s="21"/>
      <c r="R34" s="21"/>
    </row>
    <row r="35" spans="1:18">
      <c r="A35" s="180"/>
      <c r="B35" s="14"/>
      <c r="C35" s="13"/>
      <c r="D35" s="21"/>
      <c r="E35" s="21"/>
      <c r="F35" s="21"/>
      <c r="G35" s="21"/>
      <c r="H35" s="21"/>
      <c r="I35" s="21"/>
      <c r="J35" s="21"/>
      <c r="K35" s="174"/>
      <c r="M35" s="21"/>
      <c r="N35" s="21"/>
      <c r="O35" s="21"/>
      <c r="P35" s="21"/>
      <c r="Q35" s="21"/>
      <c r="R35" s="21"/>
    </row>
    <row r="36" spans="1:18">
      <c r="A36" s="180"/>
      <c r="B36" s="14"/>
      <c r="C36" s="13"/>
      <c r="D36" s="21"/>
      <c r="E36" s="21"/>
      <c r="F36" s="21"/>
      <c r="G36" s="21"/>
      <c r="H36" s="21"/>
      <c r="I36" s="21"/>
      <c r="J36" s="21"/>
      <c r="K36" s="174"/>
      <c r="M36" s="21"/>
      <c r="N36" s="21"/>
      <c r="O36" s="21"/>
      <c r="P36" s="21"/>
      <c r="Q36" s="21"/>
      <c r="R36" s="21"/>
    </row>
    <row r="37" spans="1:18">
      <c r="A37" s="180"/>
      <c r="B37" s="14"/>
      <c r="C37" s="13"/>
      <c r="D37" s="21"/>
      <c r="E37" s="21"/>
      <c r="F37" s="21"/>
      <c r="G37" s="21"/>
      <c r="H37" s="21"/>
      <c r="I37" s="21"/>
      <c r="J37" s="21"/>
      <c r="K37" s="174"/>
      <c r="M37" s="21"/>
      <c r="N37" s="21"/>
      <c r="O37" s="21"/>
      <c r="P37" s="21"/>
      <c r="Q37" s="21"/>
      <c r="R37" s="21"/>
    </row>
    <row r="38" spans="1:18">
      <c r="A38" s="180"/>
      <c r="B38" s="14"/>
      <c r="C38" s="13"/>
      <c r="D38" s="21"/>
      <c r="E38" s="21"/>
      <c r="F38" s="21"/>
      <c r="G38" s="21"/>
      <c r="H38" s="21"/>
      <c r="I38" s="21"/>
      <c r="J38" s="21"/>
      <c r="K38" s="174"/>
      <c r="M38" s="21"/>
      <c r="N38" s="21"/>
      <c r="O38" s="21"/>
      <c r="P38" s="21"/>
      <c r="Q38" s="21"/>
      <c r="R38" s="21"/>
    </row>
    <row r="39" spans="1:18">
      <c r="A39" s="180"/>
      <c r="B39" s="14"/>
      <c r="C39" s="13"/>
      <c r="D39" s="21"/>
      <c r="E39" s="21"/>
      <c r="F39" s="21"/>
      <c r="G39" s="21"/>
      <c r="H39" s="21"/>
      <c r="I39" s="21"/>
      <c r="J39" s="21"/>
      <c r="K39" s="174"/>
      <c r="M39" s="21"/>
      <c r="N39" s="21"/>
      <c r="O39" s="21"/>
      <c r="P39" s="21"/>
      <c r="Q39" s="21"/>
      <c r="R39" s="21"/>
    </row>
    <row r="40" spans="1:18">
      <c r="A40" s="180"/>
      <c r="B40" s="14"/>
      <c r="C40" s="13"/>
      <c r="D40" s="21"/>
      <c r="E40" s="21"/>
      <c r="F40" s="21"/>
      <c r="G40" s="21"/>
      <c r="H40" s="21"/>
      <c r="I40" s="21"/>
      <c r="J40" s="21"/>
      <c r="K40" s="174"/>
      <c r="M40" s="21"/>
      <c r="N40" s="21"/>
      <c r="O40" s="21"/>
      <c r="P40" s="21"/>
      <c r="Q40" s="21"/>
      <c r="R40" s="21"/>
    </row>
    <row r="41" spans="1:18">
      <c r="A41" s="180"/>
      <c r="B41" s="14"/>
      <c r="C41" s="13"/>
      <c r="D41" s="21"/>
      <c r="E41" s="21"/>
      <c r="F41" s="21"/>
      <c r="G41" s="21"/>
      <c r="H41" s="21"/>
      <c r="I41" s="21"/>
      <c r="J41" s="21"/>
      <c r="K41" s="174"/>
      <c r="M41" s="21"/>
      <c r="N41" s="21"/>
      <c r="O41" s="21"/>
      <c r="P41" s="21"/>
      <c r="Q41" s="21"/>
      <c r="R41" s="21"/>
    </row>
    <row r="42" spans="1:18">
      <c r="A42" s="180"/>
      <c r="B42" s="14"/>
      <c r="C42" s="13"/>
      <c r="D42" s="21"/>
      <c r="E42" s="21"/>
      <c r="F42" s="21"/>
      <c r="G42" s="21"/>
      <c r="H42" s="21"/>
      <c r="I42" s="21"/>
      <c r="J42" s="21"/>
      <c r="K42" s="174"/>
      <c r="M42" s="21"/>
      <c r="N42" s="21"/>
      <c r="O42" s="21"/>
      <c r="P42" s="21"/>
      <c r="Q42" s="21"/>
      <c r="R42" s="21"/>
    </row>
    <row r="43" spans="1:18">
      <c r="A43" s="180"/>
      <c r="B43" s="14"/>
      <c r="C43" s="13"/>
      <c r="D43" s="21"/>
      <c r="E43" s="21"/>
      <c r="F43" s="21"/>
      <c r="G43" s="21"/>
      <c r="H43" s="21"/>
      <c r="I43" s="21"/>
      <c r="J43" s="21"/>
      <c r="K43" s="174"/>
      <c r="M43" s="21"/>
      <c r="N43" s="21"/>
      <c r="O43" s="21"/>
      <c r="P43" s="21"/>
      <c r="Q43" s="21"/>
      <c r="R43" s="21"/>
    </row>
    <row r="44" spans="1:18">
      <c r="A44" s="180"/>
      <c r="B44" s="14"/>
      <c r="C44" s="13"/>
      <c r="D44" s="21"/>
      <c r="E44" s="21"/>
      <c r="F44" s="21"/>
      <c r="G44" s="21"/>
      <c r="H44" s="21"/>
      <c r="I44" s="21"/>
      <c r="J44" s="21"/>
      <c r="K44" s="174"/>
      <c r="M44" s="21"/>
      <c r="N44" s="21"/>
      <c r="O44" s="21"/>
      <c r="P44" s="21"/>
      <c r="Q44" s="21"/>
      <c r="R44" s="21"/>
    </row>
    <row r="45" spans="1:18">
      <c r="A45" s="180"/>
      <c r="B45" s="14"/>
      <c r="C45" s="13"/>
      <c r="D45" s="21"/>
      <c r="E45" s="21"/>
      <c r="F45" s="21"/>
      <c r="G45" s="21"/>
      <c r="H45" s="21"/>
      <c r="I45" s="21"/>
      <c r="J45" s="21"/>
      <c r="K45" s="174"/>
      <c r="M45" s="21"/>
      <c r="N45" s="21"/>
      <c r="O45" s="21"/>
      <c r="P45" s="21"/>
      <c r="Q45" s="21"/>
      <c r="R45" s="21"/>
    </row>
    <row r="46" spans="1:18">
      <c r="A46" s="195"/>
      <c r="B46" s="29"/>
      <c r="C46" s="11"/>
      <c r="D46" s="349"/>
      <c r="E46" s="11"/>
      <c r="F46" s="316"/>
      <c r="G46" s="350"/>
      <c r="H46" s="316"/>
      <c r="I46" s="350"/>
      <c r="J46" s="50"/>
      <c r="K46" s="196"/>
      <c r="M46" s="197"/>
      <c r="N46" s="13"/>
      <c r="O46" s="198"/>
      <c r="P46" s="199"/>
      <c r="Q46" s="198"/>
      <c r="R46" s="199"/>
    </row>
    <row r="47" spans="1:18">
      <c r="A47" s="49"/>
      <c r="B47" s="14"/>
      <c r="C47" s="13"/>
      <c r="D47" s="197"/>
      <c r="E47" s="13"/>
      <c r="F47" s="198"/>
      <c r="G47" s="199"/>
      <c r="H47" s="198"/>
      <c r="I47" s="199"/>
      <c r="J47" s="21"/>
      <c r="K47" s="21"/>
      <c r="L47" s="21"/>
      <c r="M47" s="197"/>
      <c r="N47" s="13"/>
      <c r="O47" s="198"/>
      <c r="P47" s="199"/>
      <c r="Q47" s="198"/>
      <c r="R47" s="199"/>
    </row>
    <row r="48" spans="1:18" s="21" customFormat="1">
      <c r="B48" s="14"/>
      <c r="C48" s="13"/>
      <c r="D48" s="197"/>
      <c r="E48" s="13"/>
      <c r="F48" s="198"/>
      <c r="G48" s="199"/>
      <c r="H48" s="198"/>
      <c r="I48" s="199"/>
      <c r="M48" s="197"/>
      <c r="N48" s="13"/>
      <c r="O48" s="198"/>
      <c r="P48" s="199"/>
      <c r="Q48" s="198"/>
      <c r="R48" s="199"/>
    </row>
    <row r="49" spans="2:18" s="21" customFormat="1">
      <c r="B49" s="14"/>
      <c r="C49" s="13"/>
      <c r="D49" s="197"/>
      <c r="E49" s="13"/>
      <c r="F49" s="198"/>
      <c r="G49" s="199"/>
      <c r="H49" s="198"/>
      <c r="I49" s="199"/>
      <c r="M49" s="197"/>
      <c r="N49" s="13"/>
      <c r="O49" s="198"/>
      <c r="P49" s="199"/>
      <c r="Q49" s="198"/>
      <c r="R49" s="199"/>
    </row>
    <row r="50" spans="2:18" s="105" customFormat="1" ht="15" customHeight="1">
      <c r="B50" s="14"/>
      <c r="C50" s="13"/>
      <c r="D50" s="197"/>
      <c r="E50" s="13"/>
      <c r="F50" s="198"/>
      <c r="G50" s="199"/>
      <c r="H50" s="198"/>
      <c r="I50" s="199"/>
      <c r="M50" s="197"/>
      <c r="N50" s="13"/>
      <c r="O50" s="198"/>
      <c r="P50" s="199"/>
      <c r="Q50" s="198"/>
      <c r="R50" s="199"/>
    </row>
    <row r="51" spans="2:18" s="105" customFormat="1">
      <c r="B51" s="14"/>
      <c r="C51" s="13"/>
      <c r="D51" s="197"/>
      <c r="E51" s="13"/>
      <c r="F51" s="198"/>
      <c r="G51" s="199"/>
      <c r="H51" s="198"/>
      <c r="I51" s="199"/>
      <c r="M51" s="197"/>
      <c r="N51" s="13"/>
      <c r="O51" s="198"/>
      <c r="P51" s="199"/>
      <c r="Q51" s="198"/>
      <c r="R51" s="199"/>
    </row>
    <row r="52" spans="2:18" s="21" customFormat="1">
      <c r="B52" s="14"/>
      <c r="C52" s="13"/>
      <c r="D52" s="197"/>
      <c r="E52" s="13"/>
      <c r="F52" s="198"/>
      <c r="G52" s="199"/>
      <c r="H52" s="198"/>
      <c r="I52" s="199"/>
      <c r="M52" s="197"/>
      <c r="N52" s="13"/>
      <c r="O52" s="198"/>
      <c r="P52" s="199"/>
      <c r="Q52" s="198"/>
      <c r="R52" s="199"/>
    </row>
    <row r="53" spans="2:18" s="21" customFormat="1">
      <c r="B53" s="14"/>
      <c r="C53" s="13"/>
      <c r="D53" s="197"/>
      <c r="E53" s="13"/>
      <c r="F53" s="198"/>
      <c r="G53" s="199"/>
      <c r="H53" s="198"/>
      <c r="I53" s="199"/>
      <c r="M53" s="197"/>
      <c r="N53" s="13"/>
      <c r="O53" s="198"/>
      <c r="P53" s="199"/>
      <c r="Q53" s="198"/>
      <c r="R53" s="199"/>
    </row>
    <row r="54" spans="2:18" s="21" customFormat="1">
      <c r="B54" s="14"/>
      <c r="C54" s="13"/>
      <c r="D54" s="197"/>
      <c r="E54" s="13"/>
      <c r="F54" s="198"/>
      <c r="G54" s="199"/>
      <c r="H54" s="198"/>
      <c r="I54" s="199"/>
      <c r="M54" s="197"/>
      <c r="N54" s="13"/>
      <c r="O54" s="198"/>
      <c r="P54" s="199"/>
      <c r="Q54" s="198"/>
      <c r="R54" s="199"/>
    </row>
    <row r="55" spans="2:18" s="21" customFormat="1">
      <c r="B55" s="14"/>
      <c r="C55" s="13"/>
      <c r="D55" s="197"/>
      <c r="E55" s="13"/>
      <c r="F55" s="198"/>
      <c r="G55" s="199"/>
      <c r="H55" s="198"/>
      <c r="I55" s="199"/>
      <c r="M55" s="197"/>
      <c r="N55" s="13"/>
      <c r="O55" s="198"/>
      <c r="P55" s="199"/>
      <c r="Q55" s="198"/>
      <c r="R55" s="199"/>
    </row>
    <row r="56" spans="2:18" s="21" customFormat="1">
      <c r="B56" s="14"/>
      <c r="C56" s="13"/>
      <c r="D56" s="197"/>
      <c r="E56" s="13"/>
      <c r="F56" s="198"/>
      <c r="G56" s="199"/>
      <c r="H56" s="198"/>
      <c r="I56" s="199"/>
      <c r="M56" s="197"/>
      <c r="N56" s="13"/>
      <c r="O56" s="198"/>
      <c r="P56" s="199"/>
      <c r="Q56" s="198"/>
      <c r="R56" s="199"/>
    </row>
    <row r="57" spans="2:18" s="21" customFormat="1">
      <c r="B57" s="14"/>
      <c r="C57" s="13"/>
      <c r="D57" s="197"/>
      <c r="E57" s="13"/>
      <c r="F57" s="198"/>
      <c r="G57" s="199"/>
      <c r="H57" s="198"/>
      <c r="I57" s="199"/>
      <c r="M57" s="197"/>
      <c r="N57" s="13"/>
      <c r="O57" s="198"/>
      <c r="P57" s="199"/>
      <c r="Q57" s="198"/>
      <c r="R57" s="199"/>
    </row>
    <row r="58" spans="2:18" s="21" customFormat="1">
      <c r="B58" s="14"/>
      <c r="C58" s="13"/>
      <c r="D58" s="197"/>
      <c r="E58" s="13"/>
      <c r="F58" s="198"/>
      <c r="G58" s="199"/>
      <c r="H58" s="198"/>
      <c r="I58" s="199"/>
      <c r="M58" s="197"/>
      <c r="N58" s="13"/>
      <c r="O58" s="198"/>
      <c r="P58" s="199"/>
      <c r="Q58" s="198"/>
      <c r="R58" s="199"/>
    </row>
    <row r="59" spans="2:18" s="21" customFormat="1">
      <c r="B59" s="14"/>
      <c r="C59" s="13"/>
      <c r="D59" s="197"/>
      <c r="E59" s="13"/>
      <c r="F59" s="198"/>
      <c r="G59" s="199"/>
      <c r="H59" s="198"/>
      <c r="I59" s="199"/>
      <c r="M59" s="197"/>
      <c r="N59" s="13"/>
      <c r="O59" s="198"/>
      <c r="P59" s="199"/>
      <c r="Q59" s="198"/>
      <c r="R59" s="199"/>
    </row>
    <row r="60" spans="2:18" s="21" customFormat="1">
      <c r="B60" s="14"/>
      <c r="C60" s="13"/>
      <c r="D60" s="197"/>
      <c r="E60" s="13"/>
      <c r="F60" s="198"/>
      <c r="G60" s="199"/>
      <c r="H60" s="198"/>
      <c r="I60" s="199"/>
      <c r="M60" s="197"/>
      <c r="N60" s="13"/>
      <c r="O60" s="198"/>
      <c r="P60" s="199"/>
      <c r="Q60" s="198"/>
      <c r="R60" s="199"/>
    </row>
    <row r="61" spans="2:18" s="21" customFormat="1">
      <c r="B61" s="14"/>
      <c r="C61" s="13"/>
      <c r="D61" s="197"/>
      <c r="E61" s="13"/>
      <c r="F61" s="198"/>
      <c r="G61" s="199"/>
      <c r="H61" s="198"/>
      <c r="I61" s="199"/>
      <c r="M61" s="197"/>
      <c r="N61" s="13"/>
      <c r="O61" s="198"/>
      <c r="P61" s="199"/>
      <c r="Q61" s="198"/>
      <c r="R61" s="199"/>
    </row>
    <row r="62" spans="2:18" s="21" customFormat="1">
      <c r="B62" s="14"/>
      <c r="C62" s="13"/>
      <c r="D62" s="197"/>
      <c r="E62" s="13"/>
      <c r="F62" s="198"/>
      <c r="G62" s="199"/>
      <c r="H62" s="198"/>
      <c r="I62" s="199"/>
      <c r="M62" s="197"/>
      <c r="N62" s="13"/>
      <c r="O62" s="198"/>
      <c r="P62" s="199"/>
      <c r="Q62" s="198"/>
      <c r="R62" s="199"/>
    </row>
    <row r="63" spans="2:18" s="21" customFormat="1">
      <c r="B63" s="14"/>
      <c r="C63" s="13"/>
      <c r="D63" s="197"/>
      <c r="E63" s="13"/>
      <c r="F63" s="198"/>
      <c r="G63" s="199"/>
      <c r="H63" s="198"/>
      <c r="I63" s="199"/>
      <c r="M63" s="197"/>
      <c r="N63" s="13"/>
      <c r="O63" s="198"/>
      <c r="P63" s="199"/>
      <c r="Q63" s="198"/>
      <c r="R63" s="199"/>
    </row>
    <row r="64" spans="2:18" s="21" customFormat="1">
      <c r="B64" s="14"/>
      <c r="C64" s="13"/>
      <c r="D64" s="197"/>
      <c r="E64" s="13"/>
      <c r="F64" s="198"/>
      <c r="G64" s="199"/>
      <c r="H64" s="198"/>
      <c r="I64" s="199"/>
      <c r="M64" s="197"/>
      <c r="N64" s="13"/>
      <c r="O64" s="198"/>
      <c r="P64" s="199"/>
      <c r="Q64" s="198"/>
      <c r="R64" s="199"/>
    </row>
    <row r="65" spans="2:18" s="21" customFormat="1">
      <c r="B65" s="14"/>
      <c r="C65" s="13"/>
      <c r="D65" s="197"/>
      <c r="E65" s="13"/>
      <c r="F65" s="198"/>
      <c r="G65" s="199"/>
      <c r="H65" s="198"/>
      <c r="I65" s="199"/>
      <c r="M65" s="197"/>
      <c r="N65" s="13"/>
      <c r="O65" s="198"/>
      <c r="P65" s="199"/>
      <c r="Q65" s="198"/>
      <c r="R65" s="199"/>
    </row>
    <row r="66" spans="2:18" s="21" customFormat="1">
      <c r="B66" s="14"/>
      <c r="C66" s="13"/>
      <c r="D66" s="197"/>
      <c r="E66" s="13"/>
      <c r="F66" s="198"/>
      <c r="G66" s="199"/>
      <c r="H66" s="198"/>
      <c r="I66" s="199"/>
      <c r="M66" s="197"/>
      <c r="N66" s="13"/>
      <c r="O66" s="198"/>
      <c r="P66" s="199"/>
      <c r="Q66" s="198"/>
      <c r="R66" s="199"/>
    </row>
    <row r="67" spans="2:18" s="21" customFormat="1">
      <c r="B67" s="14"/>
      <c r="C67" s="13"/>
      <c r="D67" s="197"/>
      <c r="E67" s="13"/>
      <c r="F67" s="198"/>
      <c r="G67" s="199"/>
      <c r="H67" s="198"/>
      <c r="I67" s="199"/>
      <c r="M67" s="197"/>
      <c r="N67" s="13"/>
      <c r="O67" s="198"/>
      <c r="P67" s="199"/>
      <c r="Q67" s="198"/>
      <c r="R67" s="199"/>
    </row>
    <row r="68" spans="2:18" s="21" customFormat="1">
      <c r="B68" s="14"/>
      <c r="C68" s="13"/>
      <c r="D68" s="197"/>
      <c r="E68" s="13"/>
      <c r="F68" s="198"/>
      <c r="G68" s="199"/>
      <c r="H68" s="198"/>
      <c r="I68" s="199"/>
      <c r="M68" s="197"/>
      <c r="N68" s="13"/>
      <c r="O68" s="198"/>
      <c r="P68" s="199"/>
      <c r="Q68" s="198"/>
      <c r="R68" s="199"/>
    </row>
    <row r="69" spans="2:18" s="21" customFormat="1">
      <c r="B69" s="14"/>
      <c r="C69" s="13"/>
      <c r="D69" s="197"/>
      <c r="E69" s="13"/>
      <c r="F69" s="198"/>
      <c r="G69" s="199"/>
      <c r="H69" s="198"/>
      <c r="I69" s="199"/>
      <c r="M69" s="197"/>
      <c r="N69" s="13"/>
      <c r="O69" s="198"/>
      <c r="P69" s="199"/>
      <c r="Q69" s="198"/>
      <c r="R69" s="199"/>
    </row>
    <row r="70" spans="2:18" s="21" customFormat="1">
      <c r="B70" s="14"/>
      <c r="C70" s="13"/>
      <c r="D70" s="197"/>
      <c r="E70" s="13"/>
      <c r="F70" s="198"/>
      <c r="G70" s="199"/>
      <c r="H70" s="198"/>
      <c r="I70" s="199"/>
      <c r="M70" s="197"/>
      <c r="N70" s="13"/>
      <c r="O70" s="198"/>
      <c r="P70" s="199"/>
      <c r="Q70" s="198"/>
      <c r="R70" s="199"/>
    </row>
    <row r="71" spans="2:18" s="21" customFormat="1">
      <c r="B71" s="14"/>
      <c r="C71" s="13"/>
      <c r="D71" s="197"/>
      <c r="E71" s="13"/>
      <c r="F71" s="198"/>
      <c r="G71" s="199"/>
      <c r="H71" s="198"/>
      <c r="I71" s="199"/>
      <c r="M71" s="197"/>
      <c r="N71" s="13"/>
      <c r="O71" s="198"/>
      <c r="P71" s="199"/>
      <c r="Q71" s="198"/>
      <c r="R71" s="199"/>
    </row>
    <row r="72" spans="2:18" s="21" customFormat="1">
      <c r="B72" s="14"/>
      <c r="C72" s="13"/>
      <c r="D72" s="197"/>
      <c r="E72" s="13"/>
      <c r="F72" s="198"/>
      <c r="G72" s="199"/>
      <c r="H72" s="198"/>
      <c r="I72" s="199"/>
      <c r="M72" s="197"/>
      <c r="N72" s="13"/>
      <c r="O72" s="198"/>
      <c r="P72" s="199"/>
      <c r="Q72" s="198"/>
      <c r="R72" s="199"/>
    </row>
    <row r="73" spans="2:18" s="21" customFormat="1">
      <c r="B73" s="14"/>
      <c r="C73" s="13"/>
      <c r="D73" s="197"/>
      <c r="E73" s="13"/>
      <c r="F73" s="198"/>
      <c r="G73" s="199"/>
      <c r="H73" s="198"/>
      <c r="I73" s="199"/>
      <c r="M73" s="197"/>
      <c r="N73" s="13"/>
      <c r="O73" s="198"/>
      <c r="P73" s="199"/>
      <c r="Q73" s="198"/>
      <c r="R73" s="199"/>
    </row>
    <row r="74" spans="2:18" s="21" customFormat="1">
      <c r="B74" s="14"/>
      <c r="C74" s="13"/>
      <c r="D74" s="197"/>
      <c r="E74" s="13"/>
      <c r="F74" s="198"/>
      <c r="G74" s="199"/>
      <c r="H74" s="198"/>
      <c r="I74" s="199"/>
      <c r="M74" s="197"/>
      <c r="N74" s="13"/>
      <c r="O74" s="198"/>
      <c r="P74" s="199"/>
      <c r="Q74" s="198"/>
      <c r="R74" s="199"/>
    </row>
    <row r="75" spans="2:18" s="21" customFormat="1">
      <c r="B75" s="14"/>
      <c r="C75" s="13"/>
      <c r="D75" s="197"/>
      <c r="E75" s="13"/>
      <c r="F75" s="198"/>
      <c r="G75" s="199"/>
      <c r="H75" s="198"/>
      <c r="I75" s="199"/>
      <c r="M75" s="197"/>
      <c r="N75" s="13"/>
      <c r="O75" s="198"/>
      <c r="P75" s="199"/>
      <c r="Q75" s="198"/>
      <c r="R75" s="199"/>
    </row>
    <row r="76" spans="2:18" s="21" customFormat="1">
      <c r="B76" s="14"/>
      <c r="C76" s="13"/>
      <c r="D76" s="197"/>
      <c r="E76" s="13"/>
      <c r="F76" s="198"/>
      <c r="G76" s="199"/>
      <c r="H76" s="198"/>
      <c r="I76" s="199"/>
      <c r="M76" s="197"/>
      <c r="N76" s="13"/>
      <c r="O76" s="198"/>
      <c r="P76" s="199"/>
      <c r="Q76" s="198"/>
      <c r="R76" s="199"/>
    </row>
    <row r="77" spans="2:18" s="21" customFormat="1">
      <c r="B77" s="14"/>
      <c r="C77" s="13"/>
      <c r="D77" s="197"/>
      <c r="E77" s="13"/>
      <c r="F77" s="198"/>
      <c r="G77" s="199"/>
      <c r="H77" s="198"/>
      <c r="I77" s="199"/>
      <c r="M77" s="197"/>
      <c r="N77" s="13"/>
      <c r="O77" s="198"/>
      <c r="P77" s="199"/>
      <c r="Q77" s="198"/>
      <c r="R77" s="199"/>
    </row>
    <row r="78" spans="2:18" s="21" customFormat="1">
      <c r="B78" s="14"/>
      <c r="C78" s="13"/>
      <c r="D78" s="197"/>
      <c r="E78" s="13"/>
      <c r="F78" s="198"/>
      <c r="G78" s="199"/>
      <c r="H78" s="198"/>
      <c r="I78" s="199"/>
      <c r="M78" s="197"/>
      <c r="N78" s="13"/>
      <c r="O78" s="198"/>
      <c r="P78" s="199"/>
      <c r="Q78" s="198"/>
      <c r="R78" s="199"/>
    </row>
    <row r="79" spans="2:18" s="21" customFormat="1">
      <c r="B79" s="14"/>
      <c r="C79" s="13"/>
      <c r="D79" s="197"/>
      <c r="E79" s="13"/>
      <c r="F79" s="198"/>
      <c r="G79" s="199"/>
      <c r="H79" s="198"/>
      <c r="I79" s="199"/>
      <c r="M79" s="197"/>
      <c r="N79" s="13"/>
      <c r="O79" s="198"/>
      <c r="P79" s="199"/>
      <c r="Q79" s="198"/>
      <c r="R79" s="199"/>
    </row>
    <row r="80" spans="2:18" s="21" customFormat="1">
      <c r="B80" s="14"/>
      <c r="C80" s="13"/>
      <c r="D80" s="200"/>
      <c r="E80" s="201"/>
      <c r="F80" s="232"/>
      <c r="G80" s="203"/>
      <c r="H80" s="232"/>
      <c r="I80" s="203"/>
      <c r="M80" s="200"/>
      <c r="N80" s="201"/>
      <c r="O80" s="232"/>
      <c r="P80" s="203"/>
      <c r="Q80" s="232"/>
      <c r="R80" s="203"/>
    </row>
    <row r="81" spans="2:18" s="21" customFormat="1">
      <c r="B81" s="14"/>
      <c r="C81" s="13"/>
      <c r="D81" s="200"/>
      <c r="E81" s="200"/>
      <c r="F81" s="200"/>
      <c r="G81" s="200"/>
      <c r="H81" s="200"/>
      <c r="I81" s="200"/>
      <c r="M81" s="200"/>
      <c r="N81" s="200"/>
      <c r="O81" s="200"/>
      <c r="P81" s="200"/>
      <c r="Q81" s="200"/>
      <c r="R81" s="200"/>
    </row>
    <row r="82" spans="2:18" s="21" customFormat="1">
      <c r="B82" s="14"/>
      <c r="C82" s="13"/>
      <c r="D82" s="200"/>
      <c r="E82" s="200"/>
      <c r="F82" s="200"/>
      <c r="G82" s="200"/>
      <c r="H82" s="200"/>
      <c r="I82" s="200"/>
      <c r="M82" s="200"/>
      <c r="N82" s="200"/>
      <c r="O82" s="200"/>
      <c r="P82" s="200"/>
      <c r="Q82" s="200"/>
      <c r="R82" s="200"/>
    </row>
    <row r="83" spans="2:18" s="21" customFormat="1">
      <c r="B83" s="14"/>
      <c r="C83" s="13"/>
      <c r="D83" s="204"/>
      <c r="E83" s="233"/>
      <c r="F83" s="200"/>
      <c r="G83" s="200"/>
      <c r="H83" s="200"/>
      <c r="I83" s="200"/>
      <c r="M83" s="204"/>
      <c r="N83" s="233"/>
      <c r="O83" s="200"/>
      <c r="P83" s="200"/>
      <c r="Q83" s="200"/>
      <c r="R83" s="200"/>
    </row>
    <row r="84" spans="2:18" s="21" customFormat="1">
      <c r="B84" s="14"/>
      <c r="C84" s="13"/>
      <c r="D84" s="201"/>
      <c r="E84" s="233"/>
      <c r="F84" s="200"/>
      <c r="G84" s="200"/>
      <c r="H84" s="200"/>
      <c r="I84" s="200"/>
      <c r="M84" s="201"/>
      <c r="N84" s="233"/>
      <c r="O84" s="200"/>
      <c r="P84" s="200"/>
      <c r="Q84" s="200"/>
      <c r="R84" s="200"/>
    </row>
    <row r="85" spans="2:18" s="21" customFormat="1">
      <c r="B85" s="14"/>
      <c r="C85" s="13"/>
      <c r="D85" s="200"/>
      <c r="E85" s="233"/>
      <c r="F85" s="200"/>
      <c r="G85" s="200"/>
      <c r="H85" s="200"/>
      <c r="I85" s="200"/>
      <c r="M85" s="200"/>
      <c r="N85" s="233"/>
      <c r="O85" s="200"/>
      <c r="P85" s="200"/>
      <c r="Q85" s="200"/>
      <c r="R85" s="200"/>
    </row>
    <row r="86" spans="2:18" s="21" customFormat="1" ht="14">
      <c r="B86" s="200"/>
      <c r="C86" s="201"/>
      <c r="D86" s="206"/>
      <c r="E86" s="206"/>
      <c r="F86" s="206"/>
      <c r="G86" s="206"/>
      <c r="H86" s="206"/>
      <c r="I86" s="206"/>
      <c r="M86" s="206"/>
      <c r="N86" s="206"/>
      <c r="O86" s="206"/>
      <c r="P86" s="206"/>
      <c r="Q86" s="206"/>
      <c r="R86" s="206"/>
    </row>
    <row r="87" spans="2:18" s="21" customFormat="1" ht="14">
      <c r="B87" s="105"/>
      <c r="C87" s="105"/>
      <c r="D87" s="206"/>
      <c r="E87" s="206"/>
      <c r="F87" s="206"/>
      <c r="G87" s="206"/>
      <c r="H87" s="206"/>
      <c r="I87" s="206"/>
      <c r="M87" s="206"/>
      <c r="N87" s="206"/>
      <c r="O87" s="206"/>
      <c r="P87" s="206"/>
      <c r="Q87" s="206"/>
      <c r="R87" s="206"/>
    </row>
    <row r="88" spans="2:18" s="21" customFormat="1" ht="14">
      <c r="B88" s="105"/>
      <c r="C88" s="105"/>
      <c r="D88" s="207"/>
      <c r="E88" s="234"/>
      <c r="F88" s="206"/>
      <c r="G88" s="206"/>
      <c r="H88" s="206"/>
      <c r="I88" s="206"/>
      <c r="M88" s="207"/>
      <c r="N88" s="234"/>
      <c r="O88" s="206"/>
      <c r="P88" s="206"/>
      <c r="Q88" s="206"/>
      <c r="R88" s="206"/>
    </row>
    <row r="89" spans="2:18" s="21" customFormat="1" ht="14">
      <c r="B89" s="204"/>
      <c r="C89" s="233"/>
      <c r="D89" s="209"/>
      <c r="E89" s="234"/>
      <c r="F89" s="206"/>
      <c r="G89" s="206"/>
      <c r="H89" s="206"/>
      <c r="I89" s="206"/>
      <c r="M89" s="209"/>
      <c r="N89" s="234"/>
      <c r="O89" s="206"/>
      <c r="P89" s="206"/>
      <c r="Q89" s="206"/>
      <c r="R89" s="206"/>
    </row>
    <row r="90" spans="2:18" s="21" customFormat="1" ht="14">
      <c r="B90" s="210"/>
      <c r="C90" s="233"/>
      <c r="D90" s="206"/>
      <c r="E90" s="234"/>
      <c r="F90" s="206"/>
      <c r="G90" s="206"/>
      <c r="H90" s="206"/>
      <c r="I90" s="206"/>
      <c r="M90" s="206"/>
      <c r="N90" s="234"/>
      <c r="O90" s="206"/>
      <c r="P90" s="206"/>
      <c r="Q90" s="206"/>
      <c r="R90" s="206"/>
    </row>
    <row r="91" spans="2:18" s="21" customFormat="1">
      <c r="C91" s="233"/>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02" customWidth="1"/>
    <col min="4" max="4" width="19" style="102" customWidth="1"/>
    <col min="5" max="5" width="4.81640625" style="102" customWidth="1"/>
    <col min="6" max="6" width="23.1796875" style="102" customWidth="1"/>
    <col min="7" max="7" width="4.81640625" style="102" customWidth="1"/>
    <col min="8" max="8" width="18.81640625" style="102" customWidth="1"/>
    <col min="9" max="9" width="4.81640625" style="102" customWidth="1"/>
    <col min="10" max="10" width="25.81640625" style="102"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tr">
        <f>'Cover Sheet'!B2</f>
        <v>SC Germany Consumer 2022-1</v>
      </c>
      <c r="C2" s="876"/>
      <c r="D2" s="106" t="str">
        <f>'Cover Sheet'!D2</f>
        <v>Calculation Date</v>
      </c>
      <c r="E2" s="107"/>
      <c r="F2" s="108">
        <f>'Cover Sheet'!F2</f>
        <v>45848</v>
      </c>
      <c r="G2" s="107"/>
      <c r="H2" s="107"/>
      <c r="I2" s="107"/>
      <c r="J2" s="109"/>
      <c r="K2" s="110"/>
      <c r="L2" s="877"/>
    </row>
    <row r="3" spans="1:13" ht="18">
      <c r="A3" s="103"/>
      <c r="B3" s="104" t="str">
        <f>'Cover Sheet'!B3</f>
        <v>Monthly Investor Report</v>
      </c>
      <c r="C3" s="876"/>
      <c r="D3" s="112" t="str">
        <f>'Cover Sheet'!D3</f>
        <v>Payment Date</v>
      </c>
      <c r="E3" s="113"/>
      <c r="F3" s="114">
        <f>'Cover Sheet'!F3</f>
        <v>45852</v>
      </c>
      <c r="G3" s="113"/>
      <c r="H3" s="113"/>
      <c r="I3" s="113"/>
      <c r="J3" s="115"/>
      <c r="K3" s="110"/>
      <c r="L3" s="878"/>
    </row>
    <row r="4" spans="1:13" ht="13">
      <c r="A4" s="103"/>
      <c r="B4" s="158"/>
      <c r="C4" s="116"/>
      <c r="D4" s="112" t="str">
        <f>'Cover Sheet'!D4</f>
        <v>Period  No</v>
      </c>
      <c r="E4" s="113"/>
      <c r="F4" s="117">
        <f>'Cover Sheet'!F4</f>
        <v>33</v>
      </c>
      <c r="G4" s="113"/>
      <c r="H4" s="890">
        <f>F4-1</f>
        <v>32</v>
      </c>
      <c r="I4" s="113"/>
      <c r="J4" s="119"/>
      <c r="K4" s="110"/>
      <c r="L4" s="877"/>
    </row>
    <row r="5" spans="1:13" ht="18">
      <c r="A5" s="103"/>
      <c r="B5" s="120" t="s">
        <v>32</v>
      </c>
      <c r="C5" s="879"/>
      <c r="D5" s="112" t="str">
        <f>'Cover Sheet'!D5</f>
        <v>Monthly Period</v>
      </c>
      <c r="E5" s="113"/>
      <c r="F5" s="121">
        <f>'Cover Sheet'!F5</f>
        <v>45852</v>
      </c>
      <c r="G5" s="113"/>
      <c r="H5" s="118"/>
      <c r="I5" s="113"/>
      <c r="J5" s="119"/>
      <c r="K5" s="110"/>
      <c r="L5" s="878"/>
    </row>
    <row r="6" spans="1:13"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ht="13">
      <c r="A7" s="103"/>
      <c r="B7" s="880"/>
      <c r="C7" s="880"/>
      <c r="D7" s="127" t="str">
        <f>'Cover Sheet'!D7</f>
        <v>Collection Period</v>
      </c>
      <c r="E7" s="128" t="str">
        <f>'Cover Sheet'!E7</f>
        <v>from</v>
      </c>
      <c r="F7" s="129" t="str">
        <f>'Cover Sheet'!F7</f>
        <v>01.06.2025</v>
      </c>
      <c r="G7" s="128" t="str">
        <f>'Cover Sheet'!G7</f>
        <v>to</v>
      </c>
      <c r="H7" s="129">
        <f>'Cover Sheet'!H7</f>
        <v>45838</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t="s">
        <v>96</v>
      </c>
      <c r="G11" s="133"/>
      <c r="H11" s="134"/>
      <c r="I11" s="105"/>
      <c r="J11" s="133" t="s">
        <v>97</v>
      </c>
      <c r="K11" s="110"/>
    </row>
    <row r="12" spans="1:13">
      <c r="A12" s="103"/>
      <c r="B12" s="105"/>
      <c r="C12" s="105"/>
      <c r="D12" s="105"/>
      <c r="E12" s="105"/>
      <c r="F12" s="105"/>
      <c r="G12" s="105"/>
      <c r="H12" s="105"/>
      <c r="I12" s="105"/>
      <c r="J12" s="105"/>
      <c r="K12" s="110"/>
    </row>
    <row r="13" spans="1:13" ht="26">
      <c r="A13" s="103"/>
      <c r="B13" s="104" t="s">
        <v>52</v>
      </c>
      <c r="C13" s="881" t="s">
        <v>104</v>
      </c>
      <c r="E13" s="136"/>
      <c r="F13" s="881" t="s">
        <v>98</v>
      </c>
      <c r="G13" s="105"/>
      <c r="H13" s="105"/>
      <c r="I13" s="105"/>
      <c r="J13" s="881" t="s">
        <v>98</v>
      </c>
      <c r="K13" s="110"/>
      <c r="L13" s="882"/>
    </row>
    <row r="14" spans="1:13" ht="18">
      <c r="A14" s="103"/>
      <c r="B14" s="104"/>
      <c r="C14" s="881"/>
      <c r="E14" s="136"/>
      <c r="F14" s="891"/>
      <c r="G14" s="105"/>
      <c r="H14" s="105"/>
      <c r="I14" s="105"/>
      <c r="J14" s="883"/>
      <c r="K14" s="110"/>
    </row>
    <row r="15" spans="1:13" ht="13">
      <c r="A15" s="103"/>
      <c r="B15" s="142" t="s">
        <v>13</v>
      </c>
      <c r="C15" s="892">
        <f>VLOOKUP("Nbr_loans_bop",Assets,3,0)</f>
        <v>42960</v>
      </c>
      <c r="D15" s="59"/>
      <c r="E15" s="142"/>
      <c r="F15" s="893">
        <f>VLOOKUP("Outstanding_bop_current",calcdata_22,2,FALSE)</f>
        <v>530411090.53000003</v>
      </c>
      <c r="G15" s="884"/>
      <c r="H15" s="884"/>
      <c r="I15" s="884"/>
      <c r="J15" s="885">
        <f>VLOOKUP("Outstanding_bop_previous",calcdata_22,2,FALSE)</f>
        <v>549072459.42000008</v>
      </c>
      <c r="K15" s="110"/>
    </row>
    <row r="16" spans="1:13" ht="13">
      <c r="A16" s="103"/>
      <c r="F16" s="894"/>
      <c r="G16" s="872"/>
      <c r="H16" s="872"/>
      <c r="I16" s="872"/>
      <c r="J16" s="871"/>
      <c r="K16" s="110"/>
    </row>
    <row r="17" spans="1:11">
      <c r="A17" s="103"/>
      <c r="B17" s="105" t="s">
        <v>37</v>
      </c>
      <c r="C17" s="895"/>
      <c r="E17" s="105"/>
      <c r="F17" s="874">
        <f>F20-F18</f>
        <v>9884900.6100000031</v>
      </c>
      <c r="G17" s="872"/>
      <c r="H17" s="872"/>
      <c r="I17" s="872"/>
      <c r="J17" s="310">
        <f>J20-J18</f>
        <v>10245999.360000001</v>
      </c>
      <c r="K17" s="110"/>
    </row>
    <row r="18" spans="1:11">
      <c r="A18" s="103"/>
      <c r="B18" s="105" t="s">
        <v>38</v>
      </c>
      <c r="C18" s="105"/>
      <c r="E18" s="105"/>
      <c r="F18" s="310">
        <f>VLOOKUP(F4,'1.1 Portfolio Information p.p.'!B:E,4,FALSE)</f>
        <v>6033684.4699999979</v>
      </c>
      <c r="G18" s="872"/>
      <c r="H18" s="896"/>
      <c r="I18" s="872"/>
      <c r="J18" s="310">
        <f>VLOOKUP(H4,'1.1 Portfolio Information p.p.'!B:E,4,FALSE)</f>
        <v>6762647.2699999977</v>
      </c>
      <c r="K18" s="110"/>
    </row>
    <row r="19" spans="1:11" ht="13">
      <c r="A19" s="103"/>
      <c r="B19" s="105"/>
      <c r="C19" s="105"/>
      <c r="E19" s="105"/>
      <c r="F19" s="874"/>
      <c r="G19" s="872"/>
      <c r="H19" s="872"/>
      <c r="I19" s="872"/>
      <c r="J19" s="871"/>
      <c r="K19" s="110"/>
    </row>
    <row r="20" spans="1:11" ht="13">
      <c r="A20" s="103"/>
      <c r="B20" s="142" t="s">
        <v>39</v>
      </c>
      <c r="C20" s="895"/>
      <c r="E20" s="105"/>
      <c r="F20" s="897">
        <f>VLOOKUP("Total_Principal_Collections_current",calcdata_22,2,FALSE)</f>
        <v>15918585.08</v>
      </c>
      <c r="G20" s="872"/>
      <c r="H20" s="872"/>
      <c r="I20" s="872"/>
      <c r="J20" s="871">
        <f>VLOOKUP("Total_Principal_Collections_previous",calcdata_22,2,FALSE)</f>
        <v>17008646.629999999</v>
      </c>
      <c r="K20" s="110"/>
    </row>
    <row r="21" spans="1:11" ht="13">
      <c r="A21" s="103"/>
      <c r="E21" s="105"/>
      <c r="F21" s="894"/>
      <c r="G21" s="872"/>
      <c r="H21" s="872"/>
      <c r="I21" s="872"/>
      <c r="J21" s="871"/>
      <c r="K21" s="110"/>
    </row>
    <row r="22" spans="1:11" ht="13">
      <c r="A22" s="103"/>
      <c r="B22" s="142" t="s">
        <v>40</v>
      </c>
      <c r="C22" s="898"/>
      <c r="E22" s="105"/>
      <c r="F22" s="897">
        <f>VLOOKUP("Collected_Interest_Portion_current",calcdata_22,2,FALSE)</f>
        <v>2408765.08</v>
      </c>
      <c r="G22" s="872"/>
      <c r="H22" s="872"/>
      <c r="I22" s="872"/>
      <c r="J22" s="871">
        <f>VLOOKUP("Collected_Interest_Portion_previous",calcdata_22,2,FALSE)</f>
        <v>2497140.33</v>
      </c>
      <c r="K22" s="110"/>
    </row>
    <row r="23" spans="1:11" ht="13">
      <c r="A23" s="103"/>
      <c r="B23" s="142"/>
      <c r="C23" s="898"/>
      <c r="E23" s="105"/>
      <c r="F23" s="897"/>
      <c r="G23" s="872"/>
      <c r="H23" s="872"/>
      <c r="I23" s="872"/>
      <c r="J23" s="871"/>
      <c r="K23" s="110"/>
    </row>
    <row r="24" spans="1:11" ht="13">
      <c r="A24" s="103"/>
      <c r="B24" s="142" t="s">
        <v>41</v>
      </c>
      <c r="C24" s="895"/>
      <c r="E24" s="105"/>
      <c r="F24" s="897">
        <f>VLOOKUP("Defaults_current",calcdata_22,2,FALSE)</f>
        <v>1573027.58</v>
      </c>
      <c r="G24" s="872"/>
      <c r="H24" s="872"/>
      <c r="I24" s="872"/>
      <c r="J24" s="871">
        <f>VLOOKUP("Defaults_previous",calcdata_22,2,FALSE)</f>
        <v>1652722.26</v>
      </c>
      <c r="K24" s="110"/>
    </row>
    <row r="25" spans="1:11" ht="13">
      <c r="A25" s="103"/>
      <c r="B25" s="142"/>
      <c r="C25" s="895"/>
      <c r="E25" s="105"/>
      <c r="F25" s="897"/>
      <c r="G25" s="872"/>
      <c r="H25" s="872"/>
      <c r="I25" s="872"/>
      <c r="J25" s="871"/>
      <c r="K25" s="110"/>
    </row>
    <row r="26" spans="1:11" ht="13">
      <c r="A26" s="103"/>
      <c r="B26" s="142" t="s">
        <v>135</v>
      </c>
      <c r="C26" s="895"/>
      <c r="E26" s="105"/>
      <c r="F26" s="897">
        <f>VLOOKUP("Replenishment_current",calcdata_22,2,FALSE)</f>
        <v>0</v>
      </c>
      <c r="G26" s="872"/>
      <c r="H26" s="872"/>
      <c r="I26" s="872"/>
      <c r="J26" s="871">
        <f>VLOOKUP("Replenishment_previous",calcdata_22,2,FALSE)</f>
        <v>0</v>
      </c>
      <c r="K26" s="110"/>
    </row>
    <row r="27" spans="1:11" ht="13">
      <c r="A27" s="103"/>
      <c r="B27" s="143"/>
      <c r="C27" s="105"/>
      <c r="E27" s="105"/>
      <c r="F27" s="874"/>
      <c r="G27" s="872"/>
      <c r="H27" s="872"/>
      <c r="I27" s="872"/>
      <c r="J27" s="871"/>
      <c r="K27" s="110"/>
    </row>
    <row r="28" spans="1:11" s="59" customFormat="1" ht="13">
      <c r="A28" s="886"/>
      <c r="B28" s="142" t="s">
        <v>14</v>
      </c>
      <c r="C28" s="892"/>
      <c r="E28" s="142"/>
      <c r="F28" s="899">
        <f>VLOOKUP("Outstanding_eop_current",calcdata_22,2,FALSE)</f>
        <v>512919477.87</v>
      </c>
      <c r="G28" s="887"/>
      <c r="H28" s="887"/>
      <c r="I28" s="887"/>
      <c r="J28" s="899">
        <f>VLOOKUP("Outstanding_eop_previous",calcdata_22,2,FALSE)</f>
        <v>530411090.53000003</v>
      </c>
      <c r="K28" s="168"/>
    </row>
    <row r="29" spans="1:11" s="59" customFormat="1" ht="13">
      <c r="A29" s="886"/>
      <c r="B29" s="142"/>
      <c r="C29" s="142"/>
      <c r="E29" s="142"/>
      <c r="F29" s="874"/>
      <c r="G29" s="884"/>
      <c r="H29" s="884"/>
      <c r="I29" s="884"/>
      <c r="J29" s="871"/>
      <c r="K29" s="168"/>
    </row>
    <row r="30" spans="1:11" s="59" customFormat="1" ht="13">
      <c r="A30" s="886"/>
      <c r="B30" s="142" t="s">
        <v>136</v>
      </c>
      <c r="C30" s="142"/>
      <c r="E30" s="142"/>
      <c r="F30" s="897">
        <f>VLOOKUP("Purchase_Shortfall_current",calcdata_22,2,FALSE)</f>
        <v>49.769999725744128</v>
      </c>
      <c r="G30" s="884"/>
      <c r="H30" s="884"/>
      <c r="I30" s="884"/>
      <c r="J30" s="871">
        <f>VLOOKUP("Purchase_Shortfall_previous",calcdata_22,2,FALSE)</f>
        <v>18.499999724328518</v>
      </c>
      <c r="K30" s="168"/>
    </row>
    <row r="31" spans="1:11">
      <c r="A31" s="103"/>
      <c r="F31" s="894"/>
      <c r="G31" s="896"/>
      <c r="H31" s="896"/>
      <c r="I31" s="896"/>
      <c r="J31" s="894"/>
      <c r="K31" s="110"/>
    </row>
    <row r="32" spans="1:11" s="59" customFormat="1" ht="13">
      <c r="A32" s="886"/>
      <c r="B32" s="59" t="s">
        <v>137</v>
      </c>
      <c r="C32" s="892">
        <f>VLOOKUP("Total",'7. Current Principal Balance'!D:G,4,FALSE)</f>
        <v>41979</v>
      </c>
      <c r="F32" s="897">
        <f>VLOOKUP("Total_Assets_current",calcdata_22,2,FALSE)</f>
        <v>512919527.63999975</v>
      </c>
      <c r="G32" s="900"/>
      <c r="H32" s="900"/>
      <c r="I32" s="900"/>
      <c r="J32" s="897">
        <f>VLOOKUP("Total_Assets_previous",calcdata_22,2,FALSE)</f>
        <v>530411109.02999973</v>
      </c>
      <c r="K32" s="168"/>
    </row>
    <row r="33" spans="1:11">
      <c r="A33" s="103"/>
      <c r="F33" s="891"/>
      <c r="J33" s="891"/>
      <c r="K33" s="110"/>
    </row>
    <row r="34" spans="1:11" ht="13">
      <c r="A34" s="103"/>
      <c r="B34" s="142" t="s">
        <v>9</v>
      </c>
      <c r="C34" s="105"/>
      <c r="E34" s="105"/>
      <c r="F34" s="873">
        <f>IF(F15=0,0,1-(1-(F18/F15))^12)</f>
        <v>0.12828103343464037</v>
      </c>
      <c r="G34" s="105"/>
      <c r="H34" s="105"/>
      <c r="I34" s="105"/>
      <c r="J34" s="158"/>
      <c r="K34" s="110"/>
    </row>
    <row r="35" spans="1:11">
      <c r="A35" s="103"/>
      <c r="F35" s="891"/>
      <c r="J35" s="891"/>
      <c r="K35" s="110"/>
    </row>
    <row r="36" spans="1:11" ht="13">
      <c r="A36" s="103"/>
      <c r="B36" s="59" t="s">
        <v>296</v>
      </c>
      <c r="F36" s="873">
        <f>'5. Outstanding Notes'!C35</f>
        <v>0.52683945463999982</v>
      </c>
      <c r="J36" s="891"/>
      <c r="K36" s="110"/>
    </row>
    <row r="37" spans="1:11">
      <c r="A37" s="103"/>
      <c r="F37" s="891"/>
      <c r="J37" s="891"/>
      <c r="K37" s="110"/>
    </row>
    <row r="38" spans="1:11">
      <c r="A38" s="103"/>
      <c r="F38" s="891"/>
      <c r="J38" s="891"/>
      <c r="K38" s="110"/>
    </row>
    <row r="39" spans="1:11">
      <c r="A39" s="103"/>
      <c r="F39" s="891"/>
      <c r="J39" s="891"/>
      <c r="K39" s="110"/>
    </row>
    <row r="40" spans="1:11">
      <c r="A40" s="103"/>
      <c r="F40" s="891"/>
      <c r="J40" s="891"/>
      <c r="K40" s="110"/>
    </row>
    <row r="41" spans="1:11">
      <c r="A41" s="103"/>
      <c r="F41" s="891"/>
      <c r="J41" s="891"/>
      <c r="K41" s="110"/>
    </row>
    <row r="42" spans="1:11">
      <c r="A42" s="103"/>
      <c r="F42" s="891"/>
      <c r="J42" s="891"/>
      <c r="K42" s="110"/>
    </row>
    <row r="43" spans="1:11">
      <c r="A43" s="103"/>
      <c r="F43" s="891"/>
      <c r="J43" s="891"/>
      <c r="K43" s="110"/>
    </row>
    <row r="44" spans="1:11">
      <c r="A44" s="103"/>
      <c r="J44" s="891"/>
      <c r="K44" s="110"/>
    </row>
    <row r="45" spans="1:11">
      <c r="A45" s="103"/>
      <c r="J45" s="891"/>
      <c r="K45" s="110"/>
    </row>
    <row r="46" spans="1:11">
      <c r="A46" s="103"/>
      <c r="J46" s="891"/>
      <c r="K46" s="110"/>
    </row>
    <row r="47" spans="1:11">
      <c r="A47" s="103"/>
      <c r="J47" s="891"/>
      <c r="K47" s="110"/>
    </row>
    <row r="48" spans="1:11">
      <c r="A48" s="103"/>
      <c r="J48" s="891"/>
      <c r="K48" s="110"/>
    </row>
    <row r="49" spans="1:11">
      <c r="A49" s="103"/>
      <c r="J49" s="891"/>
      <c r="K49" s="110"/>
    </row>
    <row r="50" spans="1:11">
      <c r="A50" s="103"/>
      <c r="J50" s="891"/>
      <c r="K50" s="110"/>
    </row>
    <row r="51" spans="1:11" ht="12.75" customHeight="1">
      <c r="A51" s="146"/>
      <c r="B51" s="148"/>
      <c r="C51" s="148"/>
      <c r="D51" s="148"/>
      <c r="E51" s="148"/>
      <c r="F51" s="148"/>
      <c r="G51" s="148"/>
      <c r="H51" s="148"/>
      <c r="I51" s="148"/>
      <c r="J51" s="148"/>
      <c r="K51" s="149"/>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99" customWidth="1"/>
    <col min="2" max="2" width="25" style="399" customWidth="1"/>
    <col min="3" max="3" width="23" style="399" customWidth="1"/>
    <col min="4" max="4" width="22.81640625" style="399" bestFit="1" customWidth="1"/>
    <col min="5" max="5" width="15.81640625" style="399" customWidth="1"/>
    <col min="6" max="7" width="22.81640625" style="399" bestFit="1" customWidth="1"/>
    <col min="8" max="8" width="21.54296875" style="399" customWidth="1"/>
    <col min="9" max="10" width="22.81640625" style="399" bestFit="1" customWidth="1"/>
    <col min="11" max="11" width="1.81640625" style="399" customWidth="1"/>
    <col min="12" max="12" width="1.453125" style="399" customWidth="1"/>
    <col min="13" max="13" width="18.81640625" style="399" customWidth="1"/>
    <col min="14" max="14" width="2" style="399" customWidth="1"/>
    <col min="15" max="16384" width="9.1796875" style="399"/>
  </cols>
  <sheetData>
    <row r="1" spans="1:14" ht="6" customHeight="1">
      <c r="A1" s="395"/>
      <c r="B1" s="396"/>
      <c r="C1" s="396"/>
      <c r="D1" s="396"/>
      <c r="E1" s="396"/>
      <c r="F1" s="396"/>
      <c r="G1" s="396"/>
      <c r="H1" s="396"/>
      <c r="I1" s="396"/>
      <c r="J1" s="396"/>
      <c r="K1" s="397"/>
      <c r="L1" s="398"/>
    </row>
    <row r="2" spans="1:14" ht="18">
      <c r="A2" s="398"/>
      <c r="B2" s="400" t="str">
        <f>'Cover Sheet'!B2</f>
        <v>SC Germany Consumer 2022-1</v>
      </c>
      <c r="C2" s="401"/>
      <c r="D2" s="402" t="str">
        <f>'Cover Sheet'!D2</f>
        <v>Calculation Date</v>
      </c>
      <c r="E2" s="403"/>
      <c r="F2" s="404">
        <f>'Cover Sheet'!F2</f>
        <v>45848</v>
      </c>
      <c r="G2" s="403"/>
      <c r="H2" s="403"/>
      <c r="I2" s="403"/>
      <c r="J2" s="405"/>
      <c r="K2" s="406"/>
      <c r="L2" s="407"/>
    </row>
    <row r="3" spans="1:14" ht="18">
      <c r="A3" s="398"/>
      <c r="B3" s="408" t="str">
        <f>'Cover Sheet'!B3</f>
        <v>Monthly Investor Report</v>
      </c>
      <c r="C3" s="409"/>
      <c r="D3" s="410" t="str">
        <f>'Cover Sheet'!D3</f>
        <v>Payment Date</v>
      </c>
      <c r="E3" s="411"/>
      <c r="F3" s="412">
        <f>'Cover Sheet'!F3</f>
        <v>45852</v>
      </c>
      <c r="G3" s="411"/>
      <c r="H3" s="411"/>
      <c r="I3" s="411"/>
      <c r="J3" s="413"/>
      <c r="K3" s="406"/>
      <c r="L3" s="407"/>
    </row>
    <row r="4" spans="1:14">
      <c r="A4" s="398"/>
      <c r="B4" s="414"/>
      <c r="C4" s="415"/>
      <c r="D4" s="410" t="str">
        <f>'Cover Sheet'!D4</f>
        <v>Period  No</v>
      </c>
      <c r="E4" s="411"/>
      <c r="F4" s="416">
        <f>'Cover Sheet'!F4</f>
        <v>33</v>
      </c>
      <c r="G4" s="411"/>
      <c r="H4" s="417"/>
      <c r="I4" s="411"/>
      <c r="J4" s="413"/>
      <c r="K4" s="418"/>
      <c r="L4" s="419"/>
    </row>
    <row r="5" spans="1:14" ht="18">
      <c r="A5" s="398"/>
      <c r="B5" s="420" t="s">
        <v>380</v>
      </c>
      <c r="C5" s="421"/>
      <c r="D5" s="410" t="str">
        <f>'Cover Sheet'!D5</f>
        <v>Monthly Period</v>
      </c>
      <c r="E5" s="411"/>
      <c r="F5" s="121">
        <f>'Cover Sheet'!F5</f>
        <v>45852</v>
      </c>
      <c r="G5" s="411"/>
      <c r="H5" s="417"/>
      <c r="I5" s="411"/>
      <c r="J5" s="413"/>
      <c r="K5" s="418"/>
      <c r="L5" s="419"/>
    </row>
    <row r="6" spans="1:14" s="429" customFormat="1" ht="15" customHeight="1">
      <c r="A6" s="398"/>
      <c r="B6" s="422"/>
      <c r="C6" s="423"/>
      <c r="D6" s="410" t="str">
        <f>'Cover Sheet'!D6</f>
        <v>Interest Period</v>
      </c>
      <c r="E6" s="424" t="str">
        <f>'Cover Sheet'!E6</f>
        <v>from</v>
      </c>
      <c r="F6" s="412">
        <f>'Cover Sheet'!F6</f>
        <v>45824</v>
      </c>
      <c r="G6" s="424" t="str">
        <f>'Cover Sheet'!G6</f>
        <v>to</v>
      </c>
      <c r="H6" s="412">
        <f>'Cover Sheet'!H6</f>
        <v>45852</v>
      </c>
      <c r="I6" s="424" t="str">
        <f>'Cover Sheet'!I6</f>
        <v>=</v>
      </c>
      <c r="J6" s="425" t="str">
        <f>'Cover Sheet'!J6</f>
        <v>28 days</v>
      </c>
      <c r="K6" s="426"/>
      <c r="L6" s="427"/>
      <c r="M6" s="399"/>
      <c r="N6" s="428"/>
    </row>
    <row r="7" spans="1:14">
      <c r="A7" s="398"/>
      <c r="B7" s="103"/>
      <c r="D7" s="430" t="str">
        <f>'Cover Sheet'!D7</f>
        <v>Collection Period</v>
      </c>
      <c r="E7" s="431" t="str">
        <f>'Cover Sheet'!E7</f>
        <v>from</v>
      </c>
      <c r="F7" s="432" t="str">
        <f>'Cover Sheet'!F7</f>
        <v>01.06.2025</v>
      </c>
      <c r="G7" s="431" t="str">
        <f>'Cover Sheet'!G7</f>
        <v>to</v>
      </c>
      <c r="H7" s="432">
        <f>'Cover Sheet'!H7</f>
        <v>45838</v>
      </c>
      <c r="I7" s="433"/>
      <c r="J7" s="434"/>
      <c r="K7" s="406"/>
      <c r="L7" s="407"/>
    </row>
    <row r="8" spans="1:14" ht="13">
      <c r="A8" s="398"/>
      <c r="B8" s="398"/>
      <c r="F8" s="435"/>
      <c r="G8" s="436"/>
      <c r="H8" s="437"/>
      <c r="J8" s="438"/>
      <c r="K8" s="439"/>
      <c r="L8" s="440"/>
      <c r="M8" s="428"/>
    </row>
    <row r="9" spans="1:14">
      <c r="A9" s="398"/>
      <c r="B9" s="398"/>
      <c r="F9" s="415"/>
      <c r="J9" s="439"/>
      <c r="K9" s="439"/>
      <c r="L9" s="398"/>
    </row>
    <row r="10" spans="1:14">
      <c r="A10" s="398"/>
      <c r="B10" s="398"/>
      <c r="F10" s="441"/>
      <c r="J10" s="439"/>
      <c r="K10" s="439"/>
      <c r="L10" s="398"/>
    </row>
    <row r="11" spans="1:14" ht="18" customHeight="1">
      <c r="A11" s="398"/>
      <c r="B11" s="398"/>
      <c r="F11" s="415"/>
      <c r="J11" s="439"/>
      <c r="K11" s="439"/>
      <c r="L11" s="398"/>
    </row>
    <row r="12" spans="1:14">
      <c r="A12" s="398"/>
      <c r="B12" s="398"/>
      <c r="F12" s="415"/>
      <c r="J12" s="439"/>
      <c r="K12" s="439"/>
      <c r="L12" s="398"/>
    </row>
    <row r="13" spans="1:14">
      <c r="A13" s="398"/>
      <c r="B13" s="398"/>
      <c r="F13" s="442"/>
      <c r="J13" s="406"/>
      <c r="K13" s="406"/>
      <c r="L13" s="407"/>
      <c r="M13" s="443"/>
    </row>
    <row r="14" spans="1:14" ht="18">
      <c r="A14" s="398"/>
      <c r="B14" s="444" t="s">
        <v>328</v>
      </c>
      <c r="C14" s="445"/>
      <c r="D14" s="446"/>
      <c r="E14" s="446"/>
      <c r="F14" s="447"/>
      <c r="G14" s="447"/>
      <c r="H14" s="448"/>
      <c r="J14" s="449"/>
      <c r="K14" s="406"/>
      <c r="L14" s="450"/>
      <c r="M14" s="446"/>
    </row>
    <row r="15" spans="1:14" ht="12.75" customHeight="1">
      <c r="A15" s="398"/>
      <c r="B15" s="408"/>
      <c r="C15" s="445"/>
      <c r="D15" s="451"/>
      <c r="E15" s="443"/>
      <c r="F15" s="452"/>
      <c r="G15" s="443"/>
      <c r="H15" s="452"/>
      <c r="I15" s="443"/>
      <c r="J15" s="453"/>
      <c r="K15" s="406"/>
      <c r="L15" s="407"/>
      <c r="M15" s="446"/>
    </row>
    <row r="16" spans="1:14" ht="13" thickBot="1">
      <c r="A16" s="398"/>
      <c r="B16" s="454"/>
      <c r="F16" s="452"/>
      <c r="H16" s="455"/>
      <c r="I16" s="443"/>
      <c r="J16" s="453"/>
      <c r="K16" s="406"/>
      <c r="L16" s="407"/>
      <c r="M16" s="443"/>
    </row>
    <row r="17" spans="1:13" ht="15" customHeight="1">
      <c r="A17" s="398"/>
      <c r="B17" s="398"/>
      <c r="C17" s="992" t="s">
        <v>110</v>
      </c>
      <c r="D17" s="995" t="s">
        <v>329</v>
      </c>
      <c r="E17" s="456"/>
      <c r="F17" s="992" t="s">
        <v>110</v>
      </c>
      <c r="G17" s="995" t="s">
        <v>329</v>
      </c>
      <c r="H17" s="428"/>
      <c r="I17" s="443"/>
      <c r="J17" s="453"/>
      <c r="K17" s="406"/>
      <c r="L17" s="457"/>
      <c r="M17" s="443"/>
    </row>
    <row r="18" spans="1:13" ht="13.5" customHeight="1" thickBot="1">
      <c r="A18" s="398"/>
      <c r="B18" s="398"/>
      <c r="C18" s="993"/>
      <c r="D18" s="996"/>
      <c r="E18" s="436"/>
      <c r="F18" s="993"/>
      <c r="G18" s="996"/>
      <c r="H18" s="436"/>
      <c r="I18" s="443"/>
      <c r="J18" s="453"/>
      <c r="K18" s="453"/>
      <c r="L18" s="458"/>
      <c r="M18" s="443"/>
    </row>
    <row r="19" spans="1:13" ht="13">
      <c r="A19" s="398"/>
      <c r="B19" s="398"/>
      <c r="C19" s="459" t="s">
        <v>472</v>
      </c>
      <c r="D19" s="460">
        <f t="shared" ref="D19:D50" si="0">VLOOKUP(CONCATENATE("period_",C19),Assets,3,0)</f>
        <v>512919477.87000144</v>
      </c>
      <c r="E19" s="436"/>
      <c r="F19" s="459" t="s">
        <v>473</v>
      </c>
      <c r="G19" s="460">
        <f t="shared" ref="G19:G50" si="1">VLOOKUP(CONCATENATE("period_",F19),Assets,3,0)</f>
        <v>76743685.599999994</v>
      </c>
      <c r="H19" s="436"/>
      <c r="I19" s="443"/>
      <c r="J19" s="453"/>
      <c r="K19" s="453"/>
      <c r="L19" s="407"/>
      <c r="M19" s="443"/>
    </row>
    <row r="20" spans="1:13" ht="13">
      <c r="A20" s="398"/>
      <c r="B20" s="398"/>
      <c r="C20" s="459" t="s">
        <v>474</v>
      </c>
      <c r="D20" s="460">
        <f t="shared" si="0"/>
        <v>503608893.48000002</v>
      </c>
      <c r="E20" s="461"/>
      <c r="F20" s="459" t="s">
        <v>475</v>
      </c>
      <c r="G20" s="460">
        <f t="shared" si="1"/>
        <v>69924572.239999995</v>
      </c>
      <c r="H20" s="436"/>
      <c r="I20" s="459"/>
      <c r="J20" s="462"/>
      <c r="K20" s="453"/>
      <c r="L20" s="407"/>
      <c r="M20" s="443"/>
    </row>
    <row r="21" spans="1:13" ht="13">
      <c r="A21" s="398"/>
      <c r="B21" s="398"/>
      <c r="C21" s="459" t="s">
        <v>476</v>
      </c>
      <c r="D21" s="460">
        <f t="shared" si="0"/>
        <v>494188878.86000001</v>
      </c>
      <c r="E21" s="436"/>
      <c r="F21" s="459" t="s">
        <v>477</v>
      </c>
      <c r="G21" s="460">
        <f t="shared" si="1"/>
        <v>63205533.25</v>
      </c>
      <c r="H21" s="436"/>
      <c r="I21" s="459"/>
      <c r="J21" s="462"/>
      <c r="K21" s="406"/>
      <c r="L21" s="407"/>
      <c r="M21" s="443"/>
    </row>
    <row r="22" spans="1:13" ht="13">
      <c r="A22" s="398"/>
      <c r="B22" s="398"/>
      <c r="C22" s="459" t="s">
        <v>478</v>
      </c>
      <c r="D22" s="460">
        <f t="shared" si="0"/>
        <v>484789628.92000002</v>
      </c>
      <c r="E22" s="456"/>
      <c r="F22" s="459" t="s">
        <v>479</v>
      </c>
      <c r="G22" s="460">
        <f t="shared" si="1"/>
        <v>56600634.479999997</v>
      </c>
      <c r="H22" s="428"/>
      <c r="I22" s="459"/>
      <c r="J22" s="462"/>
      <c r="K22" s="463"/>
      <c r="L22" s="457"/>
      <c r="M22" s="464"/>
    </row>
    <row r="23" spans="1:13" ht="13">
      <c r="A23" s="398"/>
      <c r="B23" s="398"/>
      <c r="C23" s="459" t="s">
        <v>480</v>
      </c>
      <c r="D23" s="460">
        <f t="shared" si="0"/>
        <v>475384613.41000003</v>
      </c>
      <c r="E23" s="436"/>
      <c r="F23" s="459" t="s">
        <v>481</v>
      </c>
      <c r="G23" s="460">
        <f t="shared" si="1"/>
        <v>50229090.469999999</v>
      </c>
      <c r="H23" s="436"/>
      <c r="I23" s="459"/>
      <c r="J23" s="462"/>
      <c r="K23" s="453"/>
      <c r="L23" s="407"/>
      <c r="M23" s="465"/>
    </row>
    <row r="24" spans="1:13" ht="13">
      <c r="A24" s="398"/>
      <c r="B24" s="398"/>
      <c r="C24" s="459" t="s">
        <v>482</v>
      </c>
      <c r="D24" s="460">
        <f t="shared" si="0"/>
        <v>465977033.80000001</v>
      </c>
      <c r="E24" s="436"/>
      <c r="F24" s="459" t="s">
        <v>483</v>
      </c>
      <c r="G24" s="460">
        <f t="shared" si="1"/>
        <v>44120381.969999999</v>
      </c>
      <c r="H24" s="436"/>
      <c r="I24" s="459"/>
      <c r="J24" s="462"/>
      <c r="K24" s="453"/>
      <c r="L24" s="407"/>
      <c r="M24" s="443"/>
    </row>
    <row r="25" spans="1:13" ht="13">
      <c r="A25" s="398"/>
      <c r="B25" s="398"/>
      <c r="C25" s="459" t="s">
        <v>484</v>
      </c>
      <c r="D25" s="460">
        <f t="shared" si="0"/>
        <v>456585460.31999999</v>
      </c>
      <c r="E25" s="461"/>
      <c r="F25" s="459" t="s">
        <v>485</v>
      </c>
      <c r="G25" s="460">
        <f t="shared" si="1"/>
        <v>38216741.149999999</v>
      </c>
      <c r="H25" s="436"/>
      <c r="I25" s="459"/>
      <c r="J25" s="462"/>
      <c r="K25" s="453"/>
      <c r="L25" s="407"/>
      <c r="M25" s="443"/>
    </row>
    <row r="26" spans="1:13" ht="13">
      <c r="A26" s="398"/>
      <c r="B26" s="398"/>
      <c r="C26" s="459" t="s">
        <v>486</v>
      </c>
      <c r="D26" s="460">
        <f t="shared" si="0"/>
        <v>447202948.58999997</v>
      </c>
      <c r="E26" s="436"/>
      <c r="F26" s="459" t="s">
        <v>487</v>
      </c>
      <c r="G26" s="460">
        <f t="shared" si="1"/>
        <v>32625816.960000001</v>
      </c>
      <c r="H26" s="436"/>
      <c r="I26" s="459"/>
      <c r="J26" s="462"/>
      <c r="K26" s="406"/>
      <c r="L26" s="407"/>
      <c r="M26" s="443"/>
    </row>
    <row r="27" spans="1:13" ht="13">
      <c r="A27" s="398"/>
      <c r="B27" s="398"/>
      <c r="C27" s="459" t="s">
        <v>488</v>
      </c>
      <c r="D27" s="460">
        <f t="shared" si="0"/>
        <v>437827142.94999999</v>
      </c>
      <c r="E27" s="456"/>
      <c r="F27" s="459" t="s">
        <v>489</v>
      </c>
      <c r="G27" s="460">
        <f t="shared" si="1"/>
        <v>27432326.649999999</v>
      </c>
      <c r="H27" s="428"/>
      <c r="I27" s="459"/>
      <c r="J27" s="462"/>
      <c r="K27" s="406"/>
      <c r="L27" s="407"/>
      <c r="M27" s="464"/>
    </row>
    <row r="28" spans="1:13" ht="13">
      <c r="A28" s="398"/>
      <c r="B28" s="398"/>
      <c r="C28" s="459" t="s">
        <v>490</v>
      </c>
      <c r="D28" s="460">
        <f t="shared" si="0"/>
        <v>428474538.75</v>
      </c>
      <c r="E28" s="436"/>
      <c r="F28" s="459" t="s">
        <v>491</v>
      </c>
      <c r="G28" s="460">
        <f t="shared" si="1"/>
        <v>22721436.719999999</v>
      </c>
      <c r="H28" s="436"/>
      <c r="I28" s="459"/>
      <c r="J28" s="462"/>
      <c r="K28" s="453"/>
      <c r="L28" s="407"/>
      <c r="M28" s="465"/>
    </row>
    <row r="29" spans="1:13" ht="13">
      <c r="A29" s="398"/>
      <c r="B29" s="398"/>
      <c r="C29" s="459" t="s">
        <v>492</v>
      </c>
      <c r="D29" s="460">
        <f t="shared" si="0"/>
        <v>419148558.20999998</v>
      </c>
      <c r="E29" s="436"/>
      <c r="F29" s="459" t="s">
        <v>493</v>
      </c>
      <c r="G29" s="460">
        <f t="shared" si="1"/>
        <v>18557047.84</v>
      </c>
      <c r="H29" s="436"/>
      <c r="I29" s="459"/>
      <c r="J29" s="462"/>
      <c r="K29" s="453"/>
      <c r="L29" s="407"/>
      <c r="M29" s="443"/>
    </row>
    <row r="30" spans="1:13" ht="13">
      <c r="A30" s="398"/>
      <c r="B30" s="398"/>
      <c r="C30" s="459" t="s">
        <v>494</v>
      </c>
      <c r="D30" s="460">
        <f t="shared" si="0"/>
        <v>409845785.06</v>
      </c>
      <c r="E30" s="461"/>
      <c r="F30" s="459" t="s">
        <v>495</v>
      </c>
      <c r="G30" s="460">
        <f t="shared" si="1"/>
        <v>15105543.869999999</v>
      </c>
      <c r="H30" s="436"/>
      <c r="I30" s="459"/>
      <c r="J30" s="462"/>
      <c r="K30" s="453"/>
      <c r="L30" s="407"/>
      <c r="M30" s="443"/>
    </row>
    <row r="31" spans="1:13" ht="13">
      <c r="A31" s="398"/>
      <c r="B31" s="398"/>
      <c r="C31" s="459" t="s">
        <v>496</v>
      </c>
      <c r="D31" s="460">
        <f t="shared" si="0"/>
        <v>400564878.87</v>
      </c>
      <c r="E31" s="436"/>
      <c r="F31" s="459" t="s">
        <v>497</v>
      </c>
      <c r="G31" s="460">
        <f t="shared" si="1"/>
        <v>12331257.4</v>
      </c>
      <c r="H31" s="436"/>
      <c r="I31" s="459"/>
      <c r="J31" s="462"/>
      <c r="K31" s="406"/>
      <c r="L31" s="407"/>
      <c r="M31" s="443"/>
    </row>
    <row r="32" spans="1:13" ht="13">
      <c r="A32" s="398"/>
      <c r="B32" s="398"/>
      <c r="C32" s="459" t="s">
        <v>498</v>
      </c>
      <c r="D32" s="460">
        <f t="shared" si="0"/>
        <v>391316147.63</v>
      </c>
      <c r="E32" s="466"/>
      <c r="F32" s="459" t="s">
        <v>499</v>
      </c>
      <c r="G32" s="460">
        <f t="shared" si="1"/>
        <v>10294910.710000001</v>
      </c>
      <c r="H32" s="459"/>
      <c r="I32" s="459"/>
      <c r="J32" s="462"/>
      <c r="K32" s="406"/>
      <c r="L32" s="407"/>
      <c r="M32" s="443"/>
    </row>
    <row r="33" spans="1:13" ht="13">
      <c r="A33" s="398"/>
      <c r="B33" s="398"/>
      <c r="C33" s="459" t="s">
        <v>500</v>
      </c>
      <c r="D33" s="460">
        <f t="shared" si="0"/>
        <v>382105413.35000002</v>
      </c>
      <c r="E33" s="459"/>
      <c r="F33" s="459" t="s">
        <v>501</v>
      </c>
      <c r="G33" s="460">
        <f t="shared" si="1"/>
        <v>8530035.6699999999</v>
      </c>
      <c r="H33" s="459"/>
      <c r="I33" s="459"/>
      <c r="J33" s="462"/>
      <c r="K33" s="453"/>
      <c r="L33" s="407"/>
      <c r="M33" s="443"/>
    </row>
    <row r="34" spans="1:13" ht="13">
      <c r="A34" s="398"/>
      <c r="B34" s="398"/>
      <c r="C34" s="459" t="s">
        <v>502</v>
      </c>
      <c r="D34" s="460">
        <f t="shared" si="0"/>
        <v>372930476.82999998</v>
      </c>
      <c r="E34" s="459"/>
      <c r="F34" s="459" t="s">
        <v>503</v>
      </c>
      <c r="G34" s="460">
        <f t="shared" si="1"/>
        <v>6991614.54</v>
      </c>
      <c r="H34" s="459"/>
      <c r="I34" s="459"/>
      <c r="J34" s="462"/>
      <c r="K34" s="453"/>
      <c r="L34" s="407"/>
      <c r="M34" s="443"/>
    </row>
    <row r="35" spans="1:13" ht="13">
      <c r="A35" s="398"/>
      <c r="B35" s="398"/>
      <c r="C35" s="459" t="s">
        <v>504</v>
      </c>
      <c r="D35" s="460">
        <f t="shared" si="0"/>
        <v>363764521.54000002</v>
      </c>
      <c r="E35" s="467"/>
      <c r="F35" s="459" t="s">
        <v>505</v>
      </c>
      <c r="G35" s="460">
        <f t="shared" si="1"/>
        <v>5668223.75</v>
      </c>
      <c r="H35" s="459"/>
      <c r="I35" s="459"/>
      <c r="J35" s="462"/>
      <c r="K35" s="453"/>
      <c r="L35" s="407"/>
      <c r="M35" s="443"/>
    </row>
    <row r="36" spans="1:13" ht="13">
      <c r="A36" s="398"/>
      <c r="B36" s="398"/>
      <c r="C36" s="459" t="s">
        <v>506</v>
      </c>
      <c r="D36" s="460">
        <f t="shared" si="0"/>
        <v>354608227.83999997</v>
      </c>
      <c r="E36" s="459"/>
      <c r="F36" s="459" t="s">
        <v>507</v>
      </c>
      <c r="G36" s="460">
        <f t="shared" si="1"/>
        <v>4537359.79</v>
      </c>
      <c r="H36" s="459"/>
      <c r="I36" s="459"/>
      <c r="J36" s="462"/>
      <c r="K36" s="406"/>
      <c r="L36" s="407"/>
      <c r="M36" s="443"/>
    </row>
    <row r="37" spans="1:13" ht="13">
      <c r="A37" s="398"/>
      <c r="B37" s="398"/>
      <c r="C37" s="459" t="s">
        <v>508</v>
      </c>
      <c r="D37" s="460">
        <f t="shared" si="0"/>
        <v>345484303.19</v>
      </c>
      <c r="E37" s="466"/>
      <c r="F37" s="459" t="s">
        <v>509</v>
      </c>
      <c r="G37" s="460">
        <f t="shared" si="1"/>
        <v>3556783.38</v>
      </c>
      <c r="H37" s="459"/>
      <c r="I37" s="459"/>
      <c r="J37" s="462"/>
      <c r="K37" s="406"/>
      <c r="L37" s="407"/>
      <c r="M37" s="443"/>
    </row>
    <row r="38" spans="1:13" ht="13">
      <c r="A38" s="398"/>
      <c r="B38" s="398"/>
      <c r="C38" s="459" t="s">
        <v>510</v>
      </c>
      <c r="D38" s="460">
        <f t="shared" si="0"/>
        <v>336395531.73000002</v>
      </c>
      <c r="E38" s="459"/>
      <c r="F38" s="459" t="s">
        <v>511</v>
      </c>
      <c r="G38" s="460">
        <f t="shared" si="1"/>
        <v>2733008.8</v>
      </c>
      <c r="H38" s="459"/>
      <c r="I38" s="459"/>
      <c r="J38" s="439"/>
      <c r="K38" s="453"/>
      <c r="L38" s="407"/>
      <c r="M38" s="443"/>
    </row>
    <row r="39" spans="1:13" ht="13">
      <c r="A39" s="398"/>
      <c r="B39" s="398"/>
      <c r="C39" s="459" t="s">
        <v>512</v>
      </c>
      <c r="D39" s="460">
        <f t="shared" si="0"/>
        <v>327318681.45999998</v>
      </c>
      <c r="E39" s="459"/>
      <c r="F39" s="459" t="s">
        <v>513</v>
      </c>
      <c r="G39" s="460">
        <f t="shared" si="1"/>
        <v>2077464.26</v>
      </c>
      <c r="H39" s="459"/>
      <c r="I39" s="459"/>
      <c r="J39" s="439"/>
      <c r="K39" s="453"/>
      <c r="L39" s="407"/>
      <c r="M39" s="443"/>
    </row>
    <row r="40" spans="1:13" ht="13">
      <c r="A40" s="398"/>
      <c r="B40" s="398"/>
      <c r="C40" s="459" t="s">
        <v>514</v>
      </c>
      <c r="D40" s="460">
        <f t="shared" si="0"/>
        <v>318285646.5</v>
      </c>
      <c r="E40" s="467"/>
      <c r="F40" s="459" t="s">
        <v>515</v>
      </c>
      <c r="G40" s="460">
        <f t="shared" si="1"/>
        <v>1557155.32</v>
      </c>
      <c r="H40" s="459"/>
      <c r="I40" s="459"/>
      <c r="J40" s="439"/>
      <c r="K40" s="453"/>
      <c r="L40" s="407"/>
      <c r="M40" s="443"/>
    </row>
    <row r="41" spans="1:13" ht="13">
      <c r="A41" s="398"/>
      <c r="B41" s="398"/>
      <c r="C41" s="459" t="s">
        <v>516</v>
      </c>
      <c r="D41" s="460">
        <f t="shared" si="0"/>
        <v>309301076.85000002</v>
      </c>
      <c r="E41" s="468"/>
      <c r="F41" s="459" t="s">
        <v>517</v>
      </c>
      <c r="G41" s="460">
        <f t="shared" si="1"/>
        <v>1146451.77</v>
      </c>
      <c r="H41" s="436"/>
      <c r="I41" s="459"/>
      <c r="J41" s="439"/>
      <c r="K41" s="439"/>
      <c r="L41" s="398"/>
    </row>
    <row r="42" spans="1:13" ht="13">
      <c r="A42" s="398"/>
      <c r="B42" s="398"/>
      <c r="C42" s="459" t="s">
        <v>518</v>
      </c>
      <c r="D42" s="460">
        <f t="shared" si="0"/>
        <v>300347623.55000001</v>
      </c>
      <c r="E42" s="436"/>
      <c r="F42" s="459" t="s">
        <v>519</v>
      </c>
      <c r="G42" s="460">
        <f t="shared" si="1"/>
        <v>841297.06</v>
      </c>
      <c r="H42" s="436"/>
      <c r="I42" s="459"/>
      <c r="J42" s="439"/>
      <c r="K42" s="439"/>
      <c r="L42" s="398"/>
    </row>
    <row r="43" spans="1:13" ht="13">
      <c r="A43" s="398"/>
      <c r="B43" s="398"/>
      <c r="C43" s="459" t="s">
        <v>520</v>
      </c>
      <c r="D43" s="460">
        <f t="shared" si="0"/>
        <v>291429742.32999998</v>
      </c>
      <c r="E43" s="468"/>
      <c r="F43" s="459" t="s">
        <v>521</v>
      </c>
      <c r="G43" s="460">
        <f t="shared" si="1"/>
        <v>649311.12</v>
      </c>
      <c r="H43" s="468"/>
      <c r="I43" s="459"/>
      <c r="J43" s="439"/>
      <c r="K43" s="439"/>
      <c r="L43" s="398"/>
    </row>
    <row r="44" spans="1:13" ht="13">
      <c r="A44" s="398"/>
      <c r="B44" s="398"/>
      <c r="C44" s="459" t="s">
        <v>522</v>
      </c>
      <c r="D44" s="460">
        <f t="shared" si="0"/>
        <v>282558043.38</v>
      </c>
      <c r="E44" s="436"/>
      <c r="F44" s="459" t="s">
        <v>523</v>
      </c>
      <c r="G44" s="460">
        <f t="shared" si="1"/>
        <v>514349.05</v>
      </c>
      <c r="H44" s="436"/>
      <c r="I44" s="459"/>
      <c r="J44" s="439"/>
      <c r="K44" s="439"/>
      <c r="L44" s="398"/>
    </row>
    <row r="45" spans="1:13" ht="13">
      <c r="A45" s="398"/>
      <c r="B45" s="398"/>
      <c r="C45" s="459" t="s">
        <v>524</v>
      </c>
      <c r="D45" s="460">
        <f t="shared" si="0"/>
        <v>273751188.02999997</v>
      </c>
      <c r="E45" s="436"/>
      <c r="F45" s="459" t="s">
        <v>525</v>
      </c>
      <c r="G45" s="460">
        <f t="shared" si="1"/>
        <v>398238.84</v>
      </c>
      <c r="H45" s="436"/>
      <c r="I45" s="459"/>
      <c r="J45" s="439"/>
      <c r="K45" s="439"/>
      <c r="L45" s="398"/>
    </row>
    <row r="46" spans="1:13" ht="13">
      <c r="A46" s="398"/>
      <c r="B46" s="398"/>
      <c r="C46" s="459" t="s">
        <v>526</v>
      </c>
      <c r="D46" s="460">
        <f t="shared" si="0"/>
        <v>265007368.91</v>
      </c>
      <c r="E46" s="436"/>
      <c r="F46" s="459" t="s">
        <v>527</v>
      </c>
      <c r="G46" s="460">
        <f t="shared" si="1"/>
        <v>313077.05</v>
      </c>
      <c r="H46" s="436"/>
      <c r="I46" s="459"/>
      <c r="J46" s="439"/>
      <c r="K46" s="439"/>
      <c r="L46" s="398"/>
    </row>
    <row r="47" spans="1:13" ht="13">
      <c r="A47" s="398"/>
      <c r="B47" s="398"/>
      <c r="C47" s="459" t="s">
        <v>528</v>
      </c>
      <c r="D47" s="460">
        <f t="shared" si="0"/>
        <v>256275801.97999999</v>
      </c>
      <c r="E47" s="436"/>
      <c r="F47" s="459" t="s">
        <v>529</v>
      </c>
      <c r="G47" s="460">
        <f t="shared" si="1"/>
        <v>255559.34</v>
      </c>
      <c r="H47" s="436"/>
      <c r="I47" s="459"/>
      <c r="J47" s="439"/>
      <c r="K47" s="439"/>
      <c r="L47" s="398"/>
    </row>
    <row r="48" spans="1:13" ht="13">
      <c r="A48" s="398"/>
      <c r="B48" s="398"/>
      <c r="C48" s="459" t="s">
        <v>530</v>
      </c>
      <c r="D48" s="460">
        <f t="shared" si="0"/>
        <v>247557449.84</v>
      </c>
      <c r="E48" s="436"/>
      <c r="F48" s="459" t="s">
        <v>531</v>
      </c>
      <c r="G48" s="460">
        <f t="shared" si="1"/>
        <v>212785.76</v>
      </c>
      <c r="H48" s="436"/>
      <c r="I48" s="459"/>
      <c r="J48" s="439"/>
      <c r="K48" s="439"/>
      <c r="L48" s="398"/>
    </row>
    <row r="49" spans="1:12" ht="13">
      <c r="A49" s="398"/>
      <c r="B49" s="398"/>
      <c r="C49" s="459" t="s">
        <v>532</v>
      </c>
      <c r="D49" s="460">
        <f t="shared" si="0"/>
        <v>238871977.77000001</v>
      </c>
      <c r="E49" s="436"/>
      <c r="F49" s="459" t="s">
        <v>533</v>
      </c>
      <c r="G49" s="460">
        <f t="shared" si="1"/>
        <v>180015.48</v>
      </c>
      <c r="H49" s="436"/>
      <c r="I49" s="436"/>
      <c r="J49" s="469"/>
      <c r="K49" s="439"/>
      <c r="L49" s="398"/>
    </row>
    <row r="50" spans="1:12" ht="13">
      <c r="A50" s="398"/>
      <c r="B50" s="398"/>
      <c r="C50" s="459" t="s">
        <v>534</v>
      </c>
      <c r="D50" s="460">
        <f t="shared" si="0"/>
        <v>230211842.56</v>
      </c>
      <c r="E50" s="436"/>
      <c r="F50" s="459" t="s">
        <v>535</v>
      </c>
      <c r="G50" s="460">
        <f t="shared" si="1"/>
        <v>151741.39000000001</v>
      </c>
      <c r="H50" s="436"/>
      <c r="I50" s="436"/>
      <c r="J50" s="469"/>
      <c r="K50" s="439"/>
      <c r="L50" s="398"/>
    </row>
    <row r="51" spans="1:12" ht="13">
      <c r="A51" s="398"/>
      <c r="B51" s="398"/>
      <c r="C51" s="459" t="s">
        <v>536</v>
      </c>
      <c r="D51" s="460">
        <f t="shared" ref="D51:D68" si="2">VLOOKUP(CONCATENATE("period_",C51),Assets,3,0)</f>
        <v>221582165.78</v>
      </c>
      <c r="E51" s="436"/>
      <c r="F51" s="459" t="s">
        <v>537</v>
      </c>
      <c r="G51" s="460">
        <f t="shared" ref="G51:G68" si="3">VLOOKUP(CONCATENATE("period_",F51),Assets,3,0)</f>
        <v>130246.13</v>
      </c>
      <c r="H51" s="436"/>
      <c r="I51" s="436"/>
      <c r="J51" s="469"/>
      <c r="K51" s="439"/>
      <c r="L51" s="398"/>
    </row>
    <row r="52" spans="1:12" ht="13">
      <c r="A52" s="398"/>
      <c r="B52" s="398"/>
      <c r="C52" s="459" t="s">
        <v>538</v>
      </c>
      <c r="D52" s="460">
        <f t="shared" si="2"/>
        <v>212986007.80000001</v>
      </c>
      <c r="E52" s="436"/>
      <c r="F52" s="459" t="s">
        <v>539</v>
      </c>
      <c r="G52" s="460">
        <f t="shared" si="3"/>
        <v>113507.37</v>
      </c>
      <c r="H52" s="436"/>
      <c r="I52" s="436"/>
      <c r="J52" s="469"/>
      <c r="K52" s="439"/>
      <c r="L52" s="398"/>
    </row>
    <row r="53" spans="1:12" ht="13">
      <c r="A53" s="398"/>
      <c r="B53" s="398"/>
      <c r="C53" s="459" t="s">
        <v>540</v>
      </c>
      <c r="D53" s="460">
        <f t="shared" si="2"/>
        <v>204438114.63</v>
      </c>
      <c r="E53" s="436"/>
      <c r="F53" s="459" t="s">
        <v>541</v>
      </c>
      <c r="G53" s="460">
        <f t="shared" si="3"/>
        <v>100299.41</v>
      </c>
      <c r="H53" s="436"/>
      <c r="I53" s="436"/>
      <c r="J53" s="469"/>
      <c r="K53" s="439"/>
      <c r="L53" s="398"/>
    </row>
    <row r="54" spans="1:12" ht="13">
      <c r="A54" s="398"/>
      <c r="B54" s="398"/>
      <c r="C54" s="459" t="s">
        <v>542</v>
      </c>
      <c r="D54" s="460">
        <f t="shared" si="2"/>
        <v>195933308.43000001</v>
      </c>
      <c r="E54" s="436"/>
      <c r="F54" s="459" t="s">
        <v>543</v>
      </c>
      <c r="G54" s="460">
        <f t="shared" si="3"/>
        <v>92161.43</v>
      </c>
      <c r="H54" s="436"/>
      <c r="I54" s="436"/>
      <c r="J54" s="469"/>
      <c r="K54" s="439"/>
      <c r="L54" s="398"/>
    </row>
    <row r="55" spans="1:12" ht="13">
      <c r="A55" s="398"/>
      <c r="B55" s="398"/>
      <c r="C55" s="459" t="s">
        <v>544</v>
      </c>
      <c r="D55" s="460">
        <f t="shared" si="2"/>
        <v>187481855.59999999</v>
      </c>
      <c r="E55" s="436"/>
      <c r="F55" s="459" t="s">
        <v>545</v>
      </c>
      <c r="G55" s="460">
        <f t="shared" si="3"/>
        <v>84946.28</v>
      </c>
      <c r="H55" s="436"/>
      <c r="I55" s="436"/>
      <c r="J55" s="469"/>
      <c r="K55" s="439"/>
      <c r="L55" s="398"/>
    </row>
    <row r="56" spans="1:12" ht="13">
      <c r="A56" s="398"/>
      <c r="B56" s="398"/>
      <c r="C56" s="459" t="s">
        <v>546</v>
      </c>
      <c r="D56" s="460">
        <f t="shared" si="2"/>
        <v>179083349.21000001</v>
      </c>
      <c r="E56" s="436"/>
      <c r="F56" s="459" t="s">
        <v>547</v>
      </c>
      <c r="G56" s="460">
        <f t="shared" si="3"/>
        <v>78419.06</v>
      </c>
      <c r="H56" s="436"/>
      <c r="I56" s="436"/>
      <c r="J56" s="469"/>
      <c r="K56" s="439"/>
      <c r="L56" s="398"/>
    </row>
    <row r="57" spans="1:12" ht="13">
      <c r="A57" s="398"/>
      <c r="B57" s="398"/>
      <c r="C57" s="459" t="s">
        <v>548</v>
      </c>
      <c r="D57" s="460">
        <f t="shared" si="2"/>
        <v>170750281.22999999</v>
      </c>
      <c r="E57" s="436"/>
      <c r="F57" s="459" t="s">
        <v>549</v>
      </c>
      <c r="G57" s="460">
        <f t="shared" si="3"/>
        <v>72986.080000000002</v>
      </c>
      <c r="H57" s="436"/>
      <c r="I57" s="436"/>
      <c r="J57" s="469"/>
      <c r="K57" s="439"/>
      <c r="L57" s="398"/>
    </row>
    <row r="58" spans="1:12" ht="13">
      <c r="A58" s="398"/>
      <c r="B58" s="398"/>
      <c r="C58" s="459" t="s">
        <v>550</v>
      </c>
      <c r="D58" s="460">
        <f t="shared" si="2"/>
        <v>162472670.16</v>
      </c>
      <c r="E58" s="436"/>
      <c r="F58" s="459" t="s">
        <v>551</v>
      </c>
      <c r="G58" s="460">
        <f t="shared" si="3"/>
        <v>67991.199999999997</v>
      </c>
      <c r="H58" s="436"/>
      <c r="I58" s="436"/>
      <c r="J58" s="469"/>
      <c r="K58" s="439"/>
      <c r="L58" s="398"/>
    </row>
    <row r="59" spans="1:12" ht="13">
      <c r="A59" s="398"/>
      <c r="B59" s="398"/>
      <c r="C59" s="459" t="s">
        <v>552</v>
      </c>
      <c r="D59" s="460">
        <f t="shared" si="2"/>
        <v>154216212.16</v>
      </c>
      <c r="E59" s="436"/>
      <c r="F59" s="459" t="s">
        <v>553</v>
      </c>
      <c r="G59" s="460">
        <f t="shared" si="3"/>
        <v>63338.55</v>
      </c>
      <c r="H59" s="436"/>
      <c r="I59" s="436"/>
      <c r="J59" s="469"/>
      <c r="K59" s="439"/>
      <c r="L59" s="398"/>
    </row>
    <row r="60" spans="1:12" ht="13">
      <c r="A60" s="398"/>
      <c r="B60" s="398"/>
      <c r="C60" s="459" t="s">
        <v>554</v>
      </c>
      <c r="D60" s="460">
        <f t="shared" si="2"/>
        <v>145997359.72</v>
      </c>
      <c r="E60" s="436"/>
      <c r="F60" s="459" t="s">
        <v>555</v>
      </c>
      <c r="G60" s="460">
        <f t="shared" si="3"/>
        <v>59224.97</v>
      </c>
      <c r="H60" s="436"/>
      <c r="I60" s="436"/>
      <c r="J60" s="469"/>
      <c r="K60" s="439"/>
      <c r="L60" s="398"/>
    </row>
    <row r="61" spans="1:12" ht="13">
      <c r="A61" s="398"/>
      <c r="B61" s="398"/>
      <c r="C61" s="459" t="s">
        <v>556</v>
      </c>
      <c r="D61" s="460">
        <f t="shared" si="2"/>
        <v>137849046.34999999</v>
      </c>
      <c r="E61" s="436"/>
      <c r="F61" s="459" t="s">
        <v>557</v>
      </c>
      <c r="G61" s="460">
        <f t="shared" si="3"/>
        <v>55090.28</v>
      </c>
      <c r="H61" s="436"/>
      <c r="I61" s="436"/>
      <c r="J61" s="469"/>
      <c r="K61" s="439"/>
      <c r="L61" s="398"/>
    </row>
    <row r="62" spans="1:12" ht="13">
      <c r="A62" s="398"/>
      <c r="B62" s="398"/>
      <c r="C62" s="459" t="s">
        <v>558</v>
      </c>
      <c r="D62" s="460">
        <f t="shared" si="2"/>
        <v>129769018.66</v>
      </c>
      <c r="E62" s="436"/>
      <c r="F62" s="459" t="s">
        <v>559</v>
      </c>
      <c r="G62" s="460">
        <f t="shared" si="3"/>
        <v>50934.37</v>
      </c>
      <c r="H62" s="436"/>
      <c r="I62" s="436"/>
      <c r="J62" s="469"/>
      <c r="K62" s="439"/>
      <c r="L62" s="398"/>
    </row>
    <row r="63" spans="1:12" ht="13">
      <c r="A63" s="398"/>
      <c r="B63" s="398"/>
      <c r="C63" s="459" t="s">
        <v>560</v>
      </c>
      <c r="D63" s="460">
        <f t="shared" si="2"/>
        <v>121751703.76000001</v>
      </c>
      <c r="E63" s="436"/>
      <c r="F63" s="459" t="s">
        <v>561</v>
      </c>
      <c r="G63" s="460">
        <f t="shared" si="3"/>
        <v>46757.11</v>
      </c>
      <c r="H63" s="436"/>
      <c r="I63" s="436"/>
      <c r="J63" s="469"/>
      <c r="K63" s="439"/>
      <c r="L63" s="398"/>
    </row>
    <row r="64" spans="1:12" ht="13">
      <c r="A64" s="398"/>
      <c r="B64" s="398"/>
      <c r="C64" s="459" t="s">
        <v>562</v>
      </c>
      <c r="D64" s="460">
        <f t="shared" si="2"/>
        <v>113838875.36</v>
      </c>
      <c r="E64" s="436"/>
      <c r="F64" s="459" t="s">
        <v>563</v>
      </c>
      <c r="G64" s="460">
        <f t="shared" si="3"/>
        <v>42708.31</v>
      </c>
      <c r="H64" s="436"/>
      <c r="I64" s="436"/>
      <c r="J64" s="469"/>
      <c r="K64" s="439"/>
      <c r="L64" s="398"/>
    </row>
    <row r="65" spans="1:12" ht="13">
      <c r="A65" s="398"/>
      <c r="B65" s="398"/>
      <c r="C65" s="459" t="s">
        <v>564</v>
      </c>
      <c r="D65" s="460">
        <f t="shared" si="2"/>
        <v>106071204.64</v>
      </c>
      <c r="E65" s="436"/>
      <c r="F65" s="459" t="s">
        <v>565</v>
      </c>
      <c r="G65" s="460">
        <f t="shared" si="3"/>
        <v>38638.75</v>
      </c>
      <c r="H65" s="436"/>
      <c r="I65" s="436"/>
      <c r="J65" s="469"/>
      <c r="K65" s="439"/>
      <c r="L65" s="398"/>
    </row>
    <row r="66" spans="1:12" ht="13">
      <c r="A66" s="398"/>
      <c r="B66" s="398"/>
      <c r="C66" s="459" t="s">
        <v>566</v>
      </c>
      <c r="D66" s="460">
        <f t="shared" si="2"/>
        <v>98466753.079999998</v>
      </c>
      <c r="E66" s="436"/>
      <c r="F66" s="459" t="s">
        <v>567</v>
      </c>
      <c r="G66" s="460">
        <f t="shared" si="3"/>
        <v>34548.29</v>
      </c>
      <c r="H66" s="436"/>
      <c r="I66" s="436"/>
      <c r="J66" s="469"/>
      <c r="K66" s="439"/>
      <c r="L66" s="398"/>
    </row>
    <row r="67" spans="1:12" ht="13">
      <c r="A67" s="398"/>
      <c r="B67" s="398"/>
      <c r="C67" s="459" t="s">
        <v>568</v>
      </c>
      <c r="D67" s="460">
        <f t="shared" si="2"/>
        <v>91023197.879999995</v>
      </c>
      <c r="E67" s="436"/>
      <c r="F67" s="459" t="s">
        <v>569</v>
      </c>
      <c r="G67" s="460">
        <f t="shared" si="3"/>
        <v>30792.2</v>
      </c>
      <c r="H67" s="436"/>
      <c r="I67" s="436"/>
      <c r="J67" s="469"/>
      <c r="K67" s="439"/>
      <c r="L67" s="398"/>
    </row>
    <row r="68" spans="1:12" ht="13">
      <c r="A68" s="398"/>
      <c r="B68" s="398"/>
      <c r="C68" s="459">
        <v>50</v>
      </c>
      <c r="D68" s="460">
        <f t="shared" si="2"/>
        <v>83785700.700000003</v>
      </c>
      <c r="E68" s="436"/>
      <c r="F68" s="459">
        <v>100</v>
      </c>
      <c r="G68" s="460">
        <f t="shared" si="3"/>
        <v>27015.85</v>
      </c>
      <c r="H68" s="436"/>
      <c r="I68" s="436"/>
      <c r="J68" s="469"/>
      <c r="K68" s="439"/>
      <c r="L68" s="398"/>
    </row>
    <row r="69" spans="1:12">
      <c r="A69" s="398"/>
      <c r="B69" s="470"/>
      <c r="C69" s="471"/>
      <c r="D69" s="471"/>
      <c r="E69" s="471"/>
      <c r="F69" s="471"/>
      <c r="G69" s="471"/>
      <c r="H69" s="471"/>
      <c r="I69" s="471"/>
      <c r="J69" s="472"/>
      <c r="K69" s="439"/>
      <c r="L69" s="398"/>
    </row>
    <row r="70" spans="1:12">
      <c r="A70" s="470"/>
      <c r="B70" s="471"/>
      <c r="C70" s="471"/>
      <c r="D70" s="471"/>
      <c r="E70" s="471"/>
      <c r="F70" s="471"/>
      <c r="G70" s="471"/>
      <c r="H70" s="471"/>
      <c r="I70" s="471"/>
      <c r="J70" s="471"/>
      <c r="K70" s="472"/>
      <c r="L70" s="398"/>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9"/>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2.1796875" style="144" customWidth="1"/>
    <col min="3" max="3" width="72.1796875" style="144" customWidth="1"/>
    <col min="4" max="4" width="17.1796875" style="394" customWidth="1"/>
    <col min="5" max="5" width="17.1796875" style="144" customWidth="1"/>
    <col min="6" max="6" width="11.81640625" style="144" customWidth="1"/>
    <col min="7" max="7" width="17.1796875" style="144" customWidth="1"/>
    <col min="8" max="8" width="12" style="144" customWidth="1"/>
    <col min="9" max="9" width="17.1796875" style="144" customWidth="1"/>
    <col min="10" max="10" width="12" style="144" customWidth="1"/>
    <col min="11" max="11" width="42.81640625" style="144" customWidth="1"/>
    <col min="12" max="12" width="12" style="144" customWidth="1"/>
    <col min="13" max="13" width="17.1796875" style="144" customWidth="1"/>
    <col min="14" max="14" width="12" style="144" customWidth="1"/>
    <col min="15" max="15" width="17.1796875" style="144" customWidth="1"/>
    <col min="16" max="16" width="12" style="144" customWidth="1"/>
    <col min="17" max="17" width="17.1796875" style="144" customWidth="1"/>
    <col min="18" max="18" width="12" style="144" customWidth="1"/>
    <col min="19" max="19" width="31.1796875" style="21" customWidth="1"/>
    <col min="20" max="20" width="7.81640625" style="144" customWidth="1"/>
    <col min="21" max="21" width="1.1796875" style="144" customWidth="1"/>
    <col min="22" max="16384" width="9.1796875" style="144"/>
  </cols>
  <sheetData>
    <row r="1" spans="1:21" ht="6" customHeight="1">
      <c r="A1" s="153"/>
      <c r="B1" s="49"/>
      <c r="C1" s="49"/>
      <c r="D1" s="371"/>
      <c r="E1" s="49"/>
      <c r="F1" s="49"/>
      <c r="G1" s="49"/>
      <c r="H1" s="49"/>
      <c r="I1" s="49"/>
      <c r="J1" s="49"/>
      <c r="K1" s="49"/>
      <c r="L1" s="49"/>
      <c r="M1" s="49"/>
      <c r="N1" s="49"/>
      <c r="O1" s="49"/>
      <c r="P1" s="49"/>
      <c r="Q1" s="49"/>
      <c r="R1" s="49"/>
      <c r="S1" s="49"/>
      <c r="T1" s="49"/>
      <c r="U1" s="154"/>
    </row>
    <row r="2" spans="1:21" s="102" customFormat="1" ht="18">
      <c r="A2" s="103"/>
      <c r="B2" s="105"/>
      <c r="C2" s="104" t="str">
        <f>'Cover Sheet'!B2</f>
        <v>SC Germany Consumer 2022-1</v>
      </c>
      <c r="D2" s="106" t="str">
        <f>'Cover Sheet'!D2</f>
        <v>Calculation Date</v>
      </c>
      <c r="E2" s="107"/>
      <c r="F2" s="108">
        <f>'Cover Sheet'!F2</f>
        <v>45848</v>
      </c>
      <c r="G2" s="107"/>
      <c r="H2" s="107"/>
      <c r="I2" s="107"/>
      <c r="J2" s="109"/>
      <c r="K2" s="105"/>
      <c r="L2" s="105"/>
      <c r="M2" s="105"/>
      <c r="N2" s="105"/>
      <c r="O2" s="105"/>
      <c r="P2" s="105"/>
      <c r="Q2" s="105"/>
      <c r="R2" s="105"/>
      <c r="S2" s="134"/>
      <c r="T2" s="105"/>
      <c r="U2" s="359"/>
    </row>
    <row r="3" spans="1:21" s="102" customFormat="1" ht="18">
      <c r="A3" s="103"/>
      <c r="B3" s="105"/>
      <c r="C3" s="104" t="str">
        <f>'Cover Sheet'!B3</f>
        <v>Monthly Investor Report</v>
      </c>
      <c r="D3" s="112" t="str">
        <f>'Cover Sheet'!D3</f>
        <v>Payment Date</v>
      </c>
      <c r="E3" s="113"/>
      <c r="F3" s="114">
        <f>'Cover Sheet'!F3</f>
        <v>45852</v>
      </c>
      <c r="G3" s="113"/>
      <c r="H3" s="113"/>
      <c r="I3" s="113"/>
      <c r="J3" s="115"/>
      <c r="K3" s="105"/>
      <c r="L3" s="105"/>
      <c r="M3" s="105"/>
      <c r="N3" s="105"/>
      <c r="O3" s="105"/>
      <c r="P3" s="105"/>
      <c r="Q3" s="105"/>
      <c r="R3" s="105"/>
      <c r="S3" s="135"/>
      <c r="T3" s="105"/>
      <c r="U3" s="125"/>
    </row>
    <row r="4" spans="1:21" s="102" customFormat="1" ht="13">
      <c r="A4" s="103"/>
      <c r="B4" s="105"/>
      <c r="C4" s="157"/>
      <c r="D4" s="112" t="str">
        <f>'Cover Sheet'!D4</f>
        <v>Period  No</v>
      </c>
      <c r="E4" s="113"/>
      <c r="F4" s="117">
        <f>'Cover Sheet'!F4</f>
        <v>33</v>
      </c>
      <c r="G4" s="113"/>
      <c r="H4" s="118"/>
      <c r="I4" s="118"/>
      <c r="J4" s="119"/>
      <c r="K4" s="105"/>
      <c r="L4" s="105"/>
      <c r="M4" s="105"/>
      <c r="N4" s="105"/>
      <c r="O4" s="105"/>
      <c r="P4" s="105"/>
      <c r="Q4" s="105"/>
      <c r="R4" s="105"/>
      <c r="S4" s="134"/>
      <c r="T4" s="105"/>
      <c r="U4" s="359"/>
    </row>
    <row r="5" spans="1:21" s="102" customFormat="1" ht="18">
      <c r="A5" s="103"/>
      <c r="B5" s="105"/>
      <c r="C5" s="160" t="s">
        <v>381</v>
      </c>
      <c r="D5" s="112" t="str">
        <f>'Cover Sheet'!D5</f>
        <v>Monthly Period</v>
      </c>
      <c r="E5" s="113"/>
      <c r="F5" s="121">
        <f>'Cover Sheet'!F5</f>
        <v>45852</v>
      </c>
      <c r="G5" s="113"/>
      <c r="H5" s="118"/>
      <c r="I5" s="118"/>
      <c r="J5" s="119"/>
      <c r="K5" s="105"/>
      <c r="L5" s="105"/>
      <c r="M5" s="105"/>
      <c r="N5" s="105"/>
      <c r="O5" s="105"/>
      <c r="P5" s="105"/>
      <c r="Q5" s="105"/>
      <c r="R5" s="105"/>
      <c r="S5" s="135"/>
      <c r="T5" s="105"/>
      <c r="U5" s="125"/>
    </row>
    <row r="6" spans="1:21" s="102" customFormat="1" ht="15" customHeight="1">
      <c r="A6" s="103"/>
      <c r="B6" s="105"/>
      <c r="C6" s="122"/>
      <c r="D6" s="112" t="str">
        <f>'Cover Sheet'!D6</f>
        <v>Interest Period</v>
      </c>
      <c r="E6" s="121" t="s">
        <v>34</v>
      </c>
      <c r="F6" s="114">
        <f>'Cover Sheet'!F6</f>
        <v>45824</v>
      </c>
      <c r="G6" s="123" t="str">
        <f>'Cover Sheet'!G6</f>
        <v>to</v>
      </c>
      <c r="H6" s="114">
        <f>'Cover Sheet'!H6</f>
        <v>45852</v>
      </c>
      <c r="I6" s="114" t="str">
        <f>'Cover Sheet'!I6</f>
        <v>=</v>
      </c>
      <c r="J6" s="372" t="str">
        <f>'Cover Sheet'!J6</f>
        <v>28 days</v>
      </c>
      <c r="K6" s="105"/>
      <c r="L6" s="105"/>
      <c r="M6" s="105"/>
      <c r="N6" s="105"/>
      <c r="O6" s="105"/>
      <c r="P6" s="105"/>
      <c r="Q6" s="105"/>
      <c r="R6" s="105"/>
      <c r="S6" s="135"/>
      <c r="T6" s="105"/>
      <c r="U6" s="125"/>
    </row>
    <row r="7" spans="1:21" s="102" customFormat="1" ht="13">
      <c r="A7" s="103"/>
      <c r="B7" s="105"/>
      <c r="C7" s="105"/>
      <c r="D7" s="127" t="str">
        <f>'Cover Sheet'!D7</f>
        <v>Collection Period</v>
      </c>
      <c r="E7" s="128" t="s">
        <v>34</v>
      </c>
      <c r="F7" s="129" t="str">
        <f>'Cover Sheet'!F7</f>
        <v>01.06.2025</v>
      </c>
      <c r="G7" s="128" t="str">
        <f>'Cover Sheet'!G7</f>
        <v>to</v>
      </c>
      <c r="H7" s="129">
        <f>'Cover Sheet'!H7</f>
        <v>45838</v>
      </c>
      <c r="I7" s="129"/>
      <c r="J7" s="166"/>
      <c r="K7" s="105"/>
      <c r="L7" s="105"/>
      <c r="M7" s="105"/>
      <c r="N7" s="105"/>
      <c r="O7" s="105"/>
      <c r="P7" s="105"/>
      <c r="Q7" s="105"/>
      <c r="R7" s="105"/>
      <c r="S7" s="135"/>
      <c r="T7" s="105"/>
      <c r="U7" s="125"/>
    </row>
    <row r="8" spans="1:21" s="102" customFormat="1" ht="13">
      <c r="A8" s="103"/>
      <c r="B8" s="105"/>
      <c r="C8" s="105"/>
      <c r="D8" s="158"/>
      <c r="E8" s="105"/>
      <c r="F8" s="134"/>
      <c r="G8" s="133"/>
      <c r="H8" s="134"/>
      <c r="I8" s="105"/>
      <c r="J8" s="105"/>
      <c r="K8" s="105"/>
      <c r="L8" s="105"/>
      <c r="M8" s="167"/>
      <c r="N8" s="167"/>
      <c r="O8" s="167"/>
      <c r="P8" s="167"/>
      <c r="Q8" s="167"/>
      <c r="R8" s="105"/>
      <c r="S8" s="135"/>
      <c r="T8" s="105"/>
      <c r="U8" s="125"/>
    </row>
    <row r="9" spans="1:21" s="102" customFormat="1">
      <c r="A9" s="103"/>
      <c r="B9" s="105"/>
      <c r="C9" s="105"/>
      <c r="D9" s="158"/>
      <c r="E9" s="105"/>
      <c r="F9" s="105"/>
      <c r="G9" s="105"/>
      <c r="H9" s="105"/>
      <c r="I9" s="105"/>
      <c r="J9" s="105"/>
      <c r="K9" s="105"/>
      <c r="L9" s="105"/>
      <c r="M9" s="105"/>
      <c r="N9" s="105"/>
      <c r="O9" s="105"/>
      <c r="P9" s="105"/>
      <c r="Q9" s="105"/>
      <c r="R9" s="105"/>
      <c r="S9" s="105"/>
      <c r="T9" s="105"/>
      <c r="U9" s="110"/>
    </row>
    <row r="10" spans="1:21" s="102" customFormat="1">
      <c r="A10" s="103"/>
      <c r="B10" s="105"/>
      <c r="C10" s="105"/>
      <c r="D10" s="158"/>
      <c r="E10" s="21"/>
      <c r="F10" s="105"/>
      <c r="G10" s="145"/>
      <c r="H10" s="105"/>
      <c r="I10" s="105"/>
      <c r="J10" s="105"/>
      <c r="K10" s="105"/>
      <c r="L10" s="105"/>
      <c r="M10" s="21"/>
      <c r="N10" s="21"/>
      <c r="O10" s="21"/>
      <c r="P10" s="21"/>
      <c r="Q10" s="21"/>
      <c r="R10" s="21"/>
      <c r="S10" s="105"/>
      <c r="T10" s="21"/>
      <c r="U10" s="110"/>
    </row>
    <row r="11" spans="1:21" s="102" customFormat="1" ht="18">
      <c r="A11" s="103"/>
      <c r="B11" s="105"/>
      <c r="C11" s="169"/>
      <c r="D11" s="158"/>
      <c r="E11" s="21"/>
      <c r="F11" s="104"/>
      <c r="G11" s="105"/>
      <c r="H11" s="47"/>
      <c r="I11" s="361"/>
      <c r="J11" s="361"/>
      <c r="K11" s="361"/>
      <c r="L11" s="361"/>
      <c r="M11" s="21"/>
      <c r="N11" s="21"/>
      <c r="O11" s="21"/>
      <c r="P11" s="21"/>
      <c r="Q11" s="21"/>
      <c r="R11" s="105"/>
      <c r="S11" s="105"/>
      <c r="T11" s="105"/>
      <c r="U11" s="110"/>
    </row>
    <row r="12" spans="1:21" s="102" customFormat="1">
      <c r="A12" s="103"/>
      <c r="B12" s="105"/>
      <c r="C12" s="105"/>
      <c r="D12" s="164"/>
      <c r="E12" s="21"/>
      <c r="F12" s="105"/>
      <c r="G12" s="105"/>
      <c r="H12" s="105"/>
      <c r="I12" s="105"/>
      <c r="J12" s="105"/>
      <c r="K12" s="105"/>
      <c r="L12" s="105"/>
      <c r="M12" s="105"/>
      <c r="N12" s="105"/>
      <c r="O12" s="105"/>
      <c r="P12" s="105"/>
      <c r="Q12" s="105"/>
      <c r="R12" s="105"/>
      <c r="S12" s="105"/>
      <c r="T12" s="105"/>
      <c r="U12" s="110"/>
    </row>
    <row r="13" spans="1:21" s="102" customFormat="1" ht="18">
      <c r="A13" s="103"/>
      <c r="B13" s="104" t="s">
        <v>370</v>
      </c>
      <c r="C13" s="104"/>
      <c r="D13" s="164"/>
      <c r="E13" s="21"/>
      <c r="F13" s="105"/>
      <c r="G13" s="104"/>
      <c r="H13" s="105"/>
      <c r="I13" s="104" t="s">
        <v>371</v>
      </c>
      <c r="J13" s="105"/>
      <c r="K13" s="105"/>
      <c r="L13" s="105"/>
      <c r="M13" s="105"/>
      <c r="N13" s="105"/>
      <c r="O13" s="105"/>
      <c r="P13" s="105"/>
      <c r="Q13" s="105"/>
      <c r="R13" s="105"/>
      <c r="S13" s="105"/>
      <c r="T13" s="105"/>
      <c r="U13" s="110"/>
    </row>
    <row r="14" spans="1:21" s="102" customFormat="1" ht="10.5" customHeight="1">
      <c r="A14" s="103"/>
      <c r="B14" s="99"/>
      <c r="C14" s="100"/>
      <c r="D14" s="371"/>
      <c r="E14" s="49"/>
      <c r="F14" s="100"/>
      <c r="G14" s="100"/>
      <c r="H14" s="100"/>
      <c r="I14" s="100"/>
      <c r="J14" s="100"/>
      <c r="K14" s="100"/>
      <c r="L14" s="100"/>
      <c r="M14" s="100"/>
      <c r="N14" s="100"/>
      <c r="O14" s="100"/>
      <c r="P14" s="100"/>
      <c r="Q14" s="100"/>
      <c r="R14" s="100"/>
      <c r="S14" s="100"/>
      <c r="T14" s="101"/>
      <c r="U14" s="110"/>
    </row>
    <row r="15" spans="1:21" s="102" customFormat="1" ht="13.5" customHeight="1">
      <c r="A15" s="103"/>
      <c r="B15" s="103"/>
      <c r="C15" s="105" t="s">
        <v>224</v>
      </c>
      <c r="D15" s="164" t="s">
        <v>225</v>
      </c>
      <c r="E15" s="943">
        <f>VLOOKUP("Interest_collections",calcdata_22,2,FALSE)</f>
        <v>2408765.08</v>
      </c>
      <c r="F15" s="21"/>
      <c r="G15" s="105"/>
      <c r="H15" s="105"/>
      <c r="I15" s="373" t="s">
        <v>318</v>
      </c>
      <c r="J15" s="373"/>
      <c r="K15" s="373"/>
      <c r="L15" s="158" t="s">
        <v>225</v>
      </c>
      <c r="M15" s="943">
        <f>VLOOKUP("Principal_collections",calcdata_22,2,FALSE)</f>
        <v>15918585.08</v>
      </c>
      <c r="N15" s="105"/>
      <c r="O15" s="105"/>
      <c r="P15" s="105"/>
      <c r="Q15" s="105"/>
      <c r="R15" s="105"/>
      <c r="S15" s="105"/>
      <c r="T15" s="110"/>
      <c r="U15" s="110"/>
    </row>
    <row r="16" spans="1:21" ht="13.5" customHeight="1">
      <c r="A16" s="180"/>
      <c r="B16" s="103"/>
      <c r="C16" s="105" t="s">
        <v>408</v>
      </c>
      <c r="D16" s="164" t="s">
        <v>225</v>
      </c>
      <c r="E16" s="943">
        <f>VLOOKUP("Other_interest_payments",calcdata_22,2,FALSE)</f>
        <v>0</v>
      </c>
      <c r="F16" s="21"/>
      <c r="G16" s="105"/>
      <c r="H16" s="105"/>
      <c r="I16" s="373" t="s">
        <v>409</v>
      </c>
      <c r="J16" s="373"/>
      <c r="K16" s="373"/>
      <c r="L16" s="158" t="s">
        <v>225</v>
      </c>
      <c r="M16" s="943">
        <f>VLOOKUP("Other_Principal_amount",calcdata_22,2,FALSE)</f>
        <v>0</v>
      </c>
      <c r="N16" s="105"/>
      <c r="O16" s="105"/>
      <c r="P16" s="105"/>
      <c r="Q16" s="105"/>
      <c r="R16" s="105"/>
      <c r="S16" s="105"/>
      <c r="T16" s="110"/>
      <c r="U16" s="174"/>
    </row>
    <row r="17" spans="1:21" ht="13.5" customHeight="1">
      <c r="A17" s="180"/>
      <c r="B17" s="103"/>
      <c r="C17" s="105" t="s">
        <v>618</v>
      </c>
      <c r="D17" s="164" t="s">
        <v>225</v>
      </c>
      <c r="E17" s="943">
        <f>VLOOKUP("Recoveries_received",calcdata_22,2,FALSE)</f>
        <v>154016.49</v>
      </c>
      <c r="F17" s="21"/>
      <c r="G17" s="105"/>
      <c r="H17" s="105"/>
      <c r="I17" s="373" t="s">
        <v>410</v>
      </c>
      <c r="J17" s="373"/>
      <c r="K17" s="373"/>
      <c r="L17" s="158" t="s">
        <v>225</v>
      </c>
      <c r="M17" s="943">
        <f>VLOOKUP("Final_Repurchase_Price",calcdata_22,2,FALSE)</f>
        <v>0</v>
      </c>
      <c r="N17" s="105"/>
      <c r="O17" s="105"/>
      <c r="P17" s="105"/>
      <c r="Q17" s="105"/>
      <c r="R17" s="105"/>
      <c r="S17" s="105"/>
      <c r="T17" s="110"/>
      <c r="U17" s="174"/>
    </row>
    <row r="18" spans="1:21" ht="13.5" customHeight="1">
      <c r="A18" s="180"/>
      <c r="B18" s="103"/>
      <c r="C18" s="105" t="s">
        <v>619</v>
      </c>
      <c r="D18" s="164" t="s">
        <v>225</v>
      </c>
      <c r="E18" s="943">
        <f>VLOOKUP("Interests_earned_Transaction_Purchase_Shortfall_Account",calcdata_22,2,FALSE)</f>
        <v>0</v>
      </c>
      <c r="F18" s="105"/>
      <c r="G18" s="105"/>
      <c r="H18" s="105"/>
      <c r="I18" s="373" t="s">
        <v>411</v>
      </c>
      <c r="J18" s="373"/>
      <c r="K18" s="373"/>
      <c r="L18" s="158" t="s">
        <v>225</v>
      </c>
      <c r="M18" s="943">
        <f>VLOOKUP("Amounts_credit_Com_Reserve_Account",calcdata_22,2,FALSE)</f>
        <v>0</v>
      </c>
      <c r="N18" s="105"/>
      <c r="O18" s="105"/>
      <c r="P18" s="105"/>
      <c r="Q18" s="105"/>
      <c r="R18" s="105"/>
      <c r="S18" s="105"/>
      <c r="T18" s="110"/>
      <c r="U18" s="174"/>
    </row>
    <row r="19" spans="1:21" ht="13.5" customHeight="1">
      <c r="A19" s="180"/>
      <c r="B19" s="103"/>
      <c r="C19" s="21" t="s">
        <v>620</v>
      </c>
      <c r="D19" s="164" t="s">
        <v>225</v>
      </c>
      <c r="E19" s="943">
        <f>VLOOKUP("Amounts_ComReserve_Account",calcdata_22,2,FALSE)</f>
        <v>0</v>
      </c>
      <c r="F19" s="105"/>
      <c r="G19" s="105"/>
      <c r="H19" s="105"/>
      <c r="I19" s="373" t="s">
        <v>625</v>
      </c>
      <c r="J19" s="373"/>
      <c r="K19" s="373"/>
      <c r="L19" s="158" t="s">
        <v>225</v>
      </c>
      <c r="M19" s="943">
        <f>VLOOKUP("Amounts_credit_Settoff_Reserve_Account",calcdata_22,2,FALSE)</f>
        <v>0</v>
      </c>
      <c r="N19" s="105"/>
      <c r="O19" s="105"/>
      <c r="P19" s="105"/>
      <c r="Q19" s="105"/>
      <c r="R19" s="105"/>
      <c r="S19" s="105"/>
      <c r="T19" s="110"/>
      <c r="U19" s="174"/>
    </row>
    <row r="20" spans="1:21" ht="13.5" customHeight="1">
      <c r="A20" s="180"/>
      <c r="B20" s="103"/>
      <c r="C20" s="105" t="s">
        <v>621</v>
      </c>
      <c r="D20" s="164" t="s">
        <v>225</v>
      </c>
      <c r="E20" s="943">
        <f>VLOOKUP("Amounts_Liqudity_Reserve_Account",calcdata_22,2,FALSE)</f>
        <v>12657910.82</v>
      </c>
      <c r="F20" s="105"/>
      <c r="G20" s="105"/>
      <c r="H20" s="105"/>
      <c r="I20" s="373" t="s">
        <v>136</v>
      </c>
      <c r="J20" s="373"/>
      <c r="K20" s="373"/>
      <c r="L20" s="158" t="s">
        <v>225</v>
      </c>
      <c r="M20" s="943">
        <f>VLOOKUP("Amounts_credit_Purchase_Shortfall_Account",calcdata_22,2,FALSE)</f>
        <v>18.499999724328518</v>
      </c>
      <c r="N20" s="105"/>
      <c r="O20" s="105"/>
      <c r="P20" s="105"/>
      <c r="Q20" s="105"/>
      <c r="R20" s="105"/>
      <c r="S20" s="105"/>
      <c r="T20" s="110"/>
      <c r="U20" s="174"/>
    </row>
    <row r="21" spans="1:21" ht="13.5" customHeight="1">
      <c r="A21" s="180"/>
      <c r="B21" s="103"/>
      <c r="C21" s="105" t="s">
        <v>622</v>
      </c>
      <c r="D21" s="164" t="s">
        <v>225</v>
      </c>
      <c r="E21" s="943">
        <f>VLOOKUP("Interests_paid_Swap_Counterparty",calcdata_22,2,FALSE)</f>
        <v>0</v>
      </c>
      <c r="F21" s="105"/>
      <c r="G21" s="105"/>
      <c r="H21" s="105"/>
      <c r="I21" s="373" t="s">
        <v>412</v>
      </c>
      <c r="J21" s="373"/>
      <c r="K21" s="373"/>
      <c r="L21" s="158" t="s">
        <v>225</v>
      </c>
      <c r="M21" s="943">
        <f>VLOOKUP("Mezzanine_loan_disbursement",calcdata_22,2,FALSE)</f>
        <v>0</v>
      </c>
      <c r="N21" s="105"/>
      <c r="O21" s="105"/>
      <c r="P21" s="105"/>
      <c r="Q21" s="105"/>
      <c r="R21" s="105"/>
      <c r="S21" s="105"/>
      <c r="T21" s="110"/>
      <c r="U21" s="174"/>
    </row>
    <row r="22" spans="1:21" ht="13.5" customHeight="1">
      <c r="A22" s="180"/>
      <c r="B22" s="103"/>
      <c r="C22" s="105" t="s">
        <v>623</v>
      </c>
      <c r="D22" s="164" t="s">
        <v>225</v>
      </c>
      <c r="E22" s="943">
        <f>VLOOKUP("Remaining_PreEnforcement_available_Principal_amount",calcdata_22,2,FALSE)</f>
        <v>0</v>
      </c>
      <c r="F22" s="105"/>
      <c r="G22" s="105"/>
      <c r="H22" s="105"/>
      <c r="I22" s="373" t="s">
        <v>413</v>
      </c>
      <c r="J22" s="373"/>
      <c r="K22" s="373"/>
      <c r="L22" s="158" t="s">
        <v>225</v>
      </c>
      <c r="M22" s="943">
        <f>VLOOKUP("PDL",calcdata_22,2,FALSE)</f>
        <v>813389.3900000006</v>
      </c>
      <c r="N22" s="105"/>
      <c r="O22" s="105"/>
      <c r="P22" s="105"/>
      <c r="Q22" s="105"/>
      <c r="R22" s="105"/>
      <c r="S22" s="105"/>
      <c r="T22" s="110"/>
      <c r="U22" s="174"/>
    </row>
    <row r="23" spans="1:21" ht="13.5" customHeight="1" thickBot="1">
      <c r="A23" s="180"/>
      <c r="B23" s="103"/>
      <c r="C23" s="105" t="s">
        <v>624</v>
      </c>
      <c r="D23" s="164" t="s">
        <v>225</v>
      </c>
      <c r="E23" s="943">
        <f>VLOOKUP("Other_amounts_paid_Interests",calcdata_22,2,FALSE)</f>
        <v>0</v>
      </c>
      <c r="F23" s="105"/>
      <c r="G23" s="105"/>
      <c r="H23" s="105"/>
      <c r="I23" s="373" t="s">
        <v>226</v>
      </c>
      <c r="J23" s="373"/>
      <c r="K23" s="373"/>
      <c r="L23" s="158" t="s">
        <v>225</v>
      </c>
      <c r="M23" s="943">
        <f>VLOOKUP("Rounding_differences_previous",calcdata_22,2,FALSE)</f>
        <v>0</v>
      </c>
      <c r="N23" s="105"/>
      <c r="O23" s="105"/>
      <c r="P23" s="105"/>
      <c r="Q23" s="105"/>
      <c r="R23" s="105"/>
      <c r="S23" s="105"/>
      <c r="T23" s="110"/>
      <c r="U23" s="174"/>
    </row>
    <row r="24" spans="1:21" ht="13.5" customHeight="1" thickTop="1">
      <c r="A24" s="180"/>
      <c r="B24" s="103"/>
      <c r="C24" s="105" t="s">
        <v>222</v>
      </c>
      <c r="D24" s="164" t="s">
        <v>15</v>
      </c>
      <c r="E24" s="944">
        <f>VLOOKUP("Available_Interest_amount",calcdata_22,2,FALSE)</f>
        <v>15220692.390000001</v>
      </c>
      <c r="F24" s="105"/>
      <c r="G24" s="105"/>
      <c r="H24" s="105"/>
      <c r="I24" s="373" t="s">
        <v>223</v>
      </c>
      <c r="J24" s="373"/>
      <c r="K24" s="373"/>
      <c r="L24" s="158" t="s">
        <v>15</v>
      </c>
      <c r="M24" s="944">
        <f>VLOOKUP("Available_Principal_amount",calcdata_22,2,FALSE)</f>
        <v>16731992.969999725</v>
      </c>
      <c r="N24" s="105"/>
      <c r="O24" s="105"/>
      <c r="P24" s="105"/>
      <c r="Q24" s="105"/>
      <c r="R24" s="105"/>
      <c r="S24" s="105"/>
      <c r="T24" s="110"/>
      <c r="U24" s="174"/>
    </row>
    <row r="25" spans="1:21" ht="13.5" customHeight="1">
      <c r="A25" s="180"/>
      <c r="B25" s="103"/>
      <c r="C25" s="105"/>
      <c r="D25" s="164"/>
      <c r="E25" s="945"/>
      <c r="F25" s="105"/>
      <c r="G25" s="105"/>
      <c r="H25" s="105"/>
      <c r="I25" s="373"/>
      <c r="J25" s="373"/>
      <c r="K25" s="373"/>
      <c r="L25" s="158"/>
      <c r="M25" s="945"/>
      <c r="N25" s="105"/>
      <c r="O25" s="105"/>
      <c r="P25" s="105"/>
      <c r="Q25" s="105"/>
      <c r="R25" s="105"/>
      <c r="S25" s="105"/>
      <c r="T25" s="110"/>
      <c r="U25" s="174"/>
    </row>
    <row r="26" spans="1:21">
      <c r="A26" s="180"/>
      <c r="B26" s="146"/>
      <c r="C26" s="148" t="s">
        <v>629</v>
      </c>
      <c r="D26" s="375"/>
      <c r="E26" s="946"/>
      <c r="F26" s="148"/>
      <c r="G26" s="148"/>
      <c r="H26" s="148"/>
      <c r="I26" s="148"/>
      <c r="J26" s="148"/>
      <c r="K26" s="148"/>
      <c r="L26" s="376"/>
      <c r="M26" s="989"/>
      <c r="N26" s="148"/>
      <c r="O26" s="148"/>
      <c r="P26" s="148"/>
      <c r="Q26" s="148"/>
      <c r="R26" s="148"/>
      <c r="S26" s="148"/>
      <c r="T26" s="149"/>
      <c r="U26" s="174"/>
    </row>
    <row r="27" spans="1:21">
      <c r="A27" s="180"/>
      <c r="B27" s="105"/>
      <c r="C27" s="105"/>
      <c r="D27" s="164"/>
      <c r="E27" s="947"/>
      <c r="F27" s="105"/>
      <c r="G27" s="105"/>
      <c r="H27" s="105"/>
      <c r="I27" s="105"/>
      <c r="J27" s="105"/>
      <c r="K27" s="105"/>
      <c r="L27" s="158"/>
      <c r="M27" s="966"/>
      <c r="N27" s="105"/>
      <c r="O27" s="105"/>
      <c r="P27" s="105"/>
      <c r="Q27" s="105"/>
      <c r="R27" s="105"/>
      <c r="S27" s="105"/>
      <c r="T27" s="105"/>
      <c r="U27" s="174"/>
    </row>
    <row r="28" spans="1:21" ht="18">
      <c r="A28" s="180"/>
      <c r="B28" s="104" t="s">
        <v>389</v>
      </c>
      <c r="C28" s="104"/>
      <c r="D28" s="164"/>
      <c r="E28" s="948"/>
      <c r="F28" s="212"/>
      <c r="G28" s="104"/>
      <c r="H28" s="172"/>
      <c r="I28" s="104" t="s">
        <v>390</v>
      </c>
      <c r="J28" s="172"/>
      <c r="K28" s="172"/>
      <c r="L28" s="377"/>
      <c r="M28" s="947"/>
      <c r="N28" s="173"/>
      <c r="O28" s="173"/>
      <c r="P28" s="173"/>
      <c r="Q28" s="173"/>
      <c r="R28" s="173"/>
      <c r="S28" s="173"/>
      <c r="T28" s="21"/>
      <c r="U28" s="174"/>
    </row>
    <row r="29" spans="1:21" ht="10.5" customHeight="1">
      <c r="A29" s="180"/>
      <c r="B29" s="99"/>
      <c r="C29" s="378"/>
      <c r="D29" s="371"/>
      <c r="E29" s="949"/>
      <c r="F29" s="379"/>
      <c r="G29" s="380"/>
      <c r="H29" s="381"/>
      <c r="I29" s="380"/>
      <c r="J29" s="381"/>
      <c r="K29" s="381"/>
      <c r="L29" s="382"/>
      <c r="M29" s="990"/>
      <c r="N29" s="383"/>
      <c r="O29" s="383"/>
      <c r="P29" s="383"/>
      <c r="Q29" s="383"/>
      <c r="R29" s="383"/>
      <c r="S29" s="383"/>
      <c r="T29" s="154"/>
      <c r="U29" s="174"/>
    </row>
    <row r="30" spans="1:21" ht="13.5" customHeight="1">
      <c r="A30" s="180"/>
      <c r="B30" s="103"/>
      <c r="C30" s="85" t="s">
        <v>222</v>
      </c>
      <c r="D30" s="85"/>
      <c r="E30" s="945">
        <f>VLOOKUP("Available_Interest_amount",calcdata_22,2,FALSE)</f>
        <v>15220692.390000001</v>
      </c>
      <c r="F30" s="282"/>
      <c r="G30" s="21"/>
      <c r="H30" s="283"/>
      <c r="I30" s="373" t="s">
        <v>223</v>
      </c>
      <c r="J30" s="373"/>
      <c r="K30" s="373"/>
      <c r="L30" s="284"/>
      <c r="M30" s="945">
        <f>VLOOKUP("Available_Principal_amount",calcdata_22,2,FALSE)</f>
        <v>16731992.969999725</v>
      </c>
      <c r="N30" s="172"/>
      <c r="O30" s="172"/>
      <c r="P30" s="172"/>
      <c r="Q30" s="172"/>
      <c r="R30" s="172"/>
      <c r="S30" s="172"/>
      <c r="T30" s="174"/>
      <c r="U30" s="174"/>
    </row>
    <row r="31" spans="1:21" ht="13.5" customHeight="1">
      <c r="A31" s="180"/>
      <c r="B31" s="180"/>
      <c r="C31" s="85" t="s">
        <v>299</v>
      </c>
      <c r="D31" s="86" t="s">
        <v>35</v>
      </c>
      <c r="E31" s="945">
        <f>VLOOKUP("Senior_Expenses",calcdata_22,2,FALSE)</f>
        <v>0</v>
      </c>
      <c r="F31" s="286"/>
      <c r="G31" s="21"/>
      <c r="H31" s="288"/>
      <c r="I31" s="373" t="s">
        <v>300</v>
      </c>
      <c r="J31" s="373"/>
      <c r="K31" s="373"/>
      <c r="L31" s="287" t="s">
        <v>35</v>
      </c>
      <c r="M31" s="945">
        <f>VLOOKUP("Addition_amounts",calcdata_22,2,FALSE)</f>
        <v>0</v>
      </c>
      <c r="N31" s="219"/>
      <c r="O31" s="219"/>
      <c r="P31" s="219"/>
      <c r="Q31" s="219"/>
      <c r="R31" s="219"/>
      <c r="S31" s="219"/>
      <c r="T31" s="174"/>
      <c r="U31" s="174"/>
    </row>
    <row r="32" spans="1:21" ht="13.5" customHeight="1">
      <c r="A32" s="180"/>
      <c r="B32" s="180"/>
      <c r="C32" s="21" t="s">
        <v>301</v>
      </c>
      <c r="D32" s="86" t="s">
        <v>35</v>
      </c>
      <c r="E32" s="945">
        <f>VLOOKUP("Swap_payment",calcdata_22,2,FALSE)</f>
        <v>91428</v>
      </c>
      <c r="F32" s="286"/>
      <c r="G32" s="21"/>
      <c r="H32" s="288"/>
      <c r="I32" s="373" t="s">
        <v>391</v>
      </c>
      <c r="J32" s="373"/>
      <c r="K32" s="373"/>
      <c r="L32" s="394" t="s">
        <v>15</v>
      </c>
      <c r="M32" s="945">
        <f>VLOOKUP("Net_note_available_Principal_Proceeds",calcdata_22,2,FALSE)</f>
        <v>16731992.969999725</v>
      </c>
      <c r="N32" s="219"/>
      <c r="O32" s="219"/>
      <c r="P32" s="219"/>
      <c r="Q32" s="219"/>
      <c r="R32" s="219"/>
      <c r="S32" s="219"/>
      <c r="T32" s="174"/>
      <c r="U32" s="174"/>
    </row>
    <row r="33" spans="1:21" ht="13.5" customHeight="1">
      <c r="A33" s="180"/>
      <c r="B33" s="180"/>
      <c r="C33" s="85" t="s">
        <v>227</v>
      </c>
      <c r="D33" s="86" t="s">
        <v>35</v>
      </c>
      <c r="E33" s="945">
        <f>VLOOKUP("A_interest_amount_notes",calcdata_22,2,FALSE)</f>
        <v>729918</v>
      </c>
      <c r="F33" s="286"/>
      <c r="G33" s="21"/>
      <c r="H33" s="288"/>
      <c r="I33" s="373" t="s">
        <v>228</v>
      </c>
      <c r="J33" s="373"/>
      <c r="K33" s="373"/>
      <c r="L33" s="287" t="s">
        <v>35</v>
      </c>
      <c r="M33" s="945">
        <f>VLOOKUP("Replenishment",calcdata_22,2,FALSE)</f>
        <v>0</v>
      </c>
      <c r="N33" s="219"/>
      <c r="O33" s="219"/>
      <c r="P33" s="219"/>
      <c r="Q33" s="219"/>
      <c r="R33" s="219"/>
      <c r="S33" s="219"/>
      <c r="T33" s="174"/>
      <c r="U33" s="174"/>
    </row>
    <row r="34" spans="1:21" ht="13.5" customHeight="1">
      <c r="A34" s="180"/>
      <c r="B34" s="180"/>
      <c r="C34" s="85" t="s">
        <v>587</v>
      </c>
      <c r="D34" s="86" t="s">
        <v>35</v>
      </c>
      <c r="E34" s="945">
        <f>VLOOKUP("B_interest_amount_notes",calcdata_22,2,FALSE)</f>
        <v>111412.40000000001</v>
      </c>
      <c r="F34" s="286"/>
      <c r="G34" s="21"/>
      <c r="H34" s="288"/>
      <c r="I34" s="373" t="s">
        <v>136</v>
      </c>
      <c r="J34" s="373"/>
      <c r="K34" s="373"/>
      <c r="L34" s="287" t="s">
        <v>35</v>
      </c>
      <c r="M34" s="945">
        <f>VLOOKUP("Purchase_Shortfall",calcdata_22,2,FALSE)</f>
        <v>0</v>
      </c>
      <c r="N34" s="219"/>
      <c r="O34" s="219"/>
      <c r="P34" s="219"/>
      <c r="Q34" s="219"/>
      <c r="R34" s="219"/>
      <c r="S34" s="219"/>
      <c r="T34" s="174"/>
      <c r="U34" s="174"/>
    </row>
    <row r="35" spans="1:21" ht="13.5" customHeight="1">
      <c r="A35" s="180"/>
      <c r="B35" s="180"/>
      <c r="C35" s="85" t="s">
        <v>302</v>
      </c>
      <c r="D35" s="86" t="s">
        <v>35</v>
      </c>
      <c r="E35" s="945">
        <f>VLOOKUP("C_interest_amount_notes",calcdata_22,2,FALSE)</f>
        <v>169268</v>
      </c>
      <c r="F35" s="286"/>
      <c r="G35" s="21"/>
      <c r="H35" s="288"/>
      <c r="I35" s="373" t="s">
        <v>392</v>
      </c>
      <c r="J35" s="373"/>
      <c r="K35" s="373"/>
      <c r="L35" s="287" t="s">
        <v>35</v>
      </c>
      <c r="M35" s="945">
        <f>VLOOKUP("A_prorata_Principal",calcdata_22,2,FALSE)</f>
        <v>0</v>
      </c>
      <c r="N35" s="219"/>
      <c r="O35" s="219"/>
      <c r="P35" s="219"/>
      <c r="Q35" s="219"/>
      <c r="R35" s="219"/>
      <c r="S35" s="219"/>
      <c r="T35" s="174"/>
      <c r="U35" s="174"/>
    </row>
    <row r="36" spans="1:21" ht="13.5" customHeight="1">
      <c r="A36" s="180"/>
      <c r="B36" s="180"/>
      <c r="C36" s="85" t="s">
        <v>304</v>
      </c>
      <c r="D36" s="86" t="s">
        <v>35</v>
      </c>
      <c r="E36" s="945">
        <f>VLOOKUP("D_interest_amount_notes",calcdata_22,2,FALSE)</f>
        <v>161284</v>
      </c>
      <c r="F36" s="286"/>
      <c r="G36" s="21"/>
      <c r="H36" s="288"/>
      <c r="I36" s="373" t="s">
        <v>393</v>
      </c>
      <c r="J36" s="373"/>
      <c r="K36" s="373"/>
      <c r="L36" s="287" t="s">
        <v>35</v>
      </c>
      <c r="M36" s="945">
        <f>VLOOKUP("B_prorata_Principal",calcdata_22,2,FALSE)</f>
        <v>0</v>
      </c>
      <c r="N36" s="219"/>
      <c r="O36" s="219"/>
      <c r="P36" s="219"/>
      <c r="Q36" s="219"/>
      <c r="R36" s="219"/>
      <c r="S36" s="219"/>
      <c r="T36" s="174"/>
      <c r="U36" s="174"/>
    </row>
    <row r="37" spans="1:21" ht="13.5" customHeight="1">
      <c r="A37" s="180"/>
      <c r="B37" s="180"/>
      <c r="C37" s="85" t="s">
        <v>306</v>
      </c>
      <c r="D37" s="86" t="s">
        <v>35</v>
      </c>
      <c r="E37" s="945">
        <f>VLOOKUP("E_interest_amount_notes",calcdata_22,2,FALSE)</f>
        <v>289098.60000000003</v>
      </c>
      <c r="F37" s="286"/>
      <c r="G37" s="21"/>
      <c r="H37" s="288"/>
      <c r="I37" s="373" t="s">
        <v>394</v>
      </c>
      <c r="J37" s="373"/>
      <c r="K37" s="373"/>
      <c r="L37" s="287" t="s">
        <v>35</v>
      </c>
      <c r="M37" s="945">
        <f>VLOOKUP("C_prorata_Principal",calcdata_22,2,FALSE)</f>
        <v>0</v>
      </c>
      <c r="N37" s="219"/>
      <c r="O37" s="219"/>
      <c r="P37" s="219"/>
      <c r="Q37" s="219"/>
      <c r="R37" s="219"/>
      <c r="S37" s="219"/>
      <c r="T37" s="174"/>
      <c r="U37" s="174"/>
    </row>
    <row r="38" spans="1:21" ht="13.5" customHeight="1">
      <c r="A38" s="180"/>
      <c r="B38" s="180"/>
      <c r="C38" s="85" t="s">
        <v>308</v>
      </c>
      <c r="D38" s="86" t="s">
        <v>35</v>
      </c>
      <c r="E38" s="945">
        <f>VLOOKUP("F_interest_amount_notes",calcdata_22,2,FALSE)</f>
        <v>218894</v>
      </c>
      <c r="F38" s="286"/>
      <c r="G38" s="21"/>
      <c r="H38" s="288"/>
      <c r="I38" s="373" t="s">
        <v>395</v>
      </c>
      <c r="J38" s="373"/>
      <c r="K38" s="373"/>
      <c r="L38" s="287" t="s">
        <v>35</v>
      </c>
      <c r="M38" s="945">
        <f>VLOOKUP("D_prorata_Principal",calcdata_22,2,FALSE)</f>
        <v>0</v>
      </c>
      <c r="N38" s="219"/>
      <c r="O38" s="219"/>
      <c r="P38" s="219"/>
      <c r="Q38" s="219"/>
      <c r="R38" s="219"/>
      <c r="S38" s="219"/>
      <c r="T38" s="174"/>
      <c r="U38" s="174"/>
    </row>
    <row r="39" spans="1:21" ht="13.5" customHeight="1">
      <c r="A39" s="180"/>
      <c r="B39" s="180"/>
      <c r="C39" s="85" t="s">
        <v>612</v>
      </c>
      <c r="D39" s="86" t="s">
        <v>35</v>
      </c>
      <c r="E39" s="945">
        <f>VLOOKUP("Liquidity_Reserve_Account_part1",calcdata_22,2,FALSE)</f>
        <v>12636000</v>
      </c>
      <c r="F39" s="286"/>
      <c r="G39" s="21"/>
      <c r="H39" s="288"/>
      <c r="I39" s="373" t="s">
        <v>396</v>
      </c>
      <c r="J39" s="373"/>
      <c r="K39" s="373"/>
      <c r="L39" s="287" t="s">
        <v>35</v>
      </c>
      <c r="M39" s="945">
        <f>VLOOKUP("E_prorata_Principal",calcdata_22,2,FALSE)</f>
        <v>0</v>
      </c>
      <c r="N39" s="219"/>
      <c r="O39" s="219"/>
      <c r="P39" s="219"/>
      <c r="Q39" s="219"/>
      <c r="R39" s="219"/>
      <c r="S39" s="219"/>
      <c r="T39" s="174"/>
      <c r="U39" s="174"/>
    </row>
    <row r="40" spans="1:21" ht="13.5" customHeight="1">
      <c r="A40" s="180"/>
      <c r="B40" s="180"/>
      <c r="C40" s="85" t="s">
        <v>311</v>
      </c>
      <c r="D40" s="86" t="s">
        <v>35</v>
      </c>
      <c r="E40" s="945">
        <f>VLOOKUP("Elimination_PDL",calcdata_22,2,FALSE)</f>
        <v>813389.3900000006</v>
      </c>
      <c r="F40" s="286"/>
      <c r="G40" s="21"/>
      <c r="H40" s="288"/>
      <c r="I40" s="373" t="s">
        <v>303</v>
      </c>
      <c r="J40" s="373"/>
      <c r="K40" s="373"/>
      <c r="L40" s="287" t="s">
        <v>35</v>
      </c>
      <c r="M40" s="945">
        <f>VLOOKUP("A_sequential_Principal",calcdata_22,2,FALSE)</f>
        <v>16731943.199999999</v>
      </c>
      <c r="N40" s="219"/>
      <c r="O40" s="219"/>
      <c r="P40" s="219"/>
      <c r="Q40" s="219"/>
      <c r="R40" s="219"/>
      <c r="S40" s="219"/>
      <c r="T40" s="174"/>
      <c r="U40" s="174"/>
    </row>
    <row r="41" spans="1:21" ht="13.5" customHeight="1">
      <c r="A41" s="180"/>
      <c r="B41" s="180"/>
      <c r="C41" s="85" t="s">
        <v>571</v>
      </c>
      <c r="D41" s="86" t="s">
        <v>35</v>
      </c>
      <c r="E41" s="945">
        <f>VLOOKUP("Liquidity_Reserve_Account_part2",calcdata_22,2,FALSE)</f>
        <v>0</v>
      </c>
      <c r="F41" s="286"/>
      <c r="G41" s="21"/>
      <c r="H41" s="288"/>
      <c r="I41" s="373" t="s">
        <v>414</v>
      </c>
      <c r="J41" s="373"/>
      <c r="K41" s="373"/>
      <c r="L41" s="287" t="s">
        <v>35</v>
      </c>
      <c r="M41" s="945">
        <f>VLOOKUP("B_to_G_Full_Redemption",calcdata_22,2,FALSE)</f>
        <v>0</v>
      </c>
      <c r="N41" s="219"/>
      <c r="O41" s="219"/>
      <c r="P41" s="219"/>
      <c r="Q41" s="219"/>
      <c r="R41" s="219"/>
      <c r="S41" s="219"/>
      <c r="T41" s="174"/>
      <c r="U41" s="174"/>
    </row>
    <row r="42" spans="1:21" ht="13.5" customHeight="1">
      <c r="A42" s="180"/>
      <c r="B42" s="180"/>
      <c r="C42" s="85" t="s">
        <v>312</v>
      </c>
      <c r="D42" s="86" t="s">
        <v>35</v>
      </c>
      <c r="E42" s="945">
        <f>VLOOKUP("B_Interests_notes",calcdata_22,2,FALSE)</f>
        <v>0</v>
      </c>
      <c r="F42" s="286"/>
      <c r="G42" s="21"/>
      <c r="H42" s="288"/>
      <c r="I42" s="373" t="s">
        <v>305</v>
      </c>
      <c r="J42" s="373"/>
      <c r="K42" s="373"/>
      <c r="L42" s="287" t="s">
        <v>35</v>
      </c>
      <c r="M42" s="945">
        <f>VLOOKUP("B_Redemption_triggerbreach",calcdata_22,2,FALSE)</f>
        <v>0</v>
      </c>
      <c r="N42" s="224"/>
      <c r="O42" s="224"/>
      <c r="P42" s="224"/>
      <c r="Q42" s="224"/>
      <c r="R42" s="224"/>
      <c r="S42" s="224"/>
      <c r="T42" s="174"/>
      <c r="U42" s="174"/>
    </row>
    <row r="43" spans="1:21" ht="13.5" customHeight="1">
      <c r="A43" s="180"/>
      <c r="B43" s="180"/>
      <c r="C43" s="85" t="s">
        <v>313</v>
      </c>
      <c r="D43" s="86" t="s">
        <v>35</v>
      </c>
      <c r="E43" s="945">
        <f>VLOOKUP("C_Interests_notes",calcdata_22,2,FALSE)</f>
        <v>0</v>
      </c>
      <c r="F43" s="286"/>
      <c r="G43" s="21"/>
      <c r="H43" s="288"/>
      <c r="I43" s="373" t="s">
        <v>307</v>
      </c>
      <c r="J43" s="373"/>
      <c r="K43" s="373"/>
      <c r="L43" s="287" t="s">
        <v>35</v>
      </c>
      <c r="M43" s="945">
        <f>VLOOKUP("C_Redemption_triggerbreach",calcdata_22,2,FALSE)</f>
        <v>0</v>
      </c>
      <c r="N43" s="224"/>
      <c r="O43" s="224"/>
      <c r="P43" s="224"/>
      <c r="Q43" s="224"/>
      <c r="R43" s="224"/>
      <c r="S43" s="224"/>
      <c r="T43" s="174"/>
      <c r="U43" s="174"/>
    </row>
    <row r="44" spans="1:21" ht="13.5" customHeight="1">
      <c r="A44" s="180"/>
      <c r="B44" s="180"/>
      <c r="C44" s="85" t="s">
        <v>314</v>
      </c>
      <c r="D44" s="86" t="s">
        <v>35</v>
      </c>
      <c r="E44" s="945">
        <f>VLOOKUP("D_Interests_notes",calcdata_22,2,FALSE)</f>
        <v>0</v>
      </c>
      <c r="F44" s="286"/>
      <c r="G44" s="21"/>
      <c r="H44" s="288"/>
      <c r="I44" s="373" t="s">
        <v>309</v>
      </c>
      <c r="J44" s="373"/>
      <c r="K44" s="373"/>
      <c r="L44" s="287" t="s">
        <v>35</v>
      </c>
      <c r="M44" s="945">
        <f>VLOOKUP("D_Redemption_triggerbreach",calcdata_22,2,FALSE)</f>
        <v>0</v>
      </c>
      <c r="N44" s="224"/>
      <c r="O44" s="224"/>
      <c r="P44" s="224"/>
      <c r="Q44" s="224"/>
      <c r="R44" s="224"/>
      <c r="S44" s="224"/>
      <c r="T44" s="174"/>
      <c r="U44" s="174"/>
    </row>
    <row r="45" spans="1:21" ht="13.5" customHeight="1">
      <c r="A45" s="180"/>
      <c r="B45" s="180"/>
      <c r="C45" s="85" t="s">
        <v>315</v>
      </c>
      <c r="D45" s="86" t="s">
        <v>35</v>
      </c>
      <c r="E45" s="945">
        <f>VLOOKUP("E_Interests_notes",calcdata_22,2,FALSE)</f>
        <v>0</v>
      </c>
      <c r="F45" s="286"/>
      <c r="G45" s="21"/>
      <c r="H45" s="288"/>
      <c r="I45" s="373" t="s">
        <v>310</v>
      </c>
      <c r="J45" s="373"/>
      <c r="K45" s="373"/>
      <c r="L45" s="287" t="s">
        <v>35</v>
      </c>
      <c r="M45" s="945">
        <f>VLOOKUP("E_Redemption_triggerbreach",calcdata_22,2,FALSE)</f>
        <v>0</v>
      </c>
      <c r="N45" s="224"/>
      <c r="O45" s="224"/>
      <c r="P45" s="224"/>
      <c r="Q45" s="224"/>
      <c r="R45" s="224"/>
      <c r="S45" s="224"/>
      <c r="T45" s="174"/>
      <c r="U45" s="174"/>
    </row>
    <row r="46" spans="1:21" ht="13.5" customHeight="1">
      <c r="A46" s="180"/>
      <c r="B46" s="180"/>
      <c r="C46" s="85" t="s">
        <v>316</v>
      </c>
      <c r="D46" s="86" t="s">
        <v>35</v>
      </c>
      <c r="E46" s="945">
        <f>VLOOKUP("F_Interests_notes",calcdata_22,2,FALSE)</f>
        <v>0</v>
      </c>
      <c r="F46" s="286"/>
      <c r="G46" s="21"/>
      <c r="H46" s="288"/>
      <c r="I46" s="373" t="s">
        <v>452</v>
      </c>
      <c r="J46" s="373"/>
      <c r="K46" s="373"/>
      <c r="L46" s="287" t="s">
        <v>35</v>
      </c>
      <c r="M46" s="945">
        <f>VLOOKUP("F_prorata_Principal",calcdata_22,2,FALSE)</f>
        <v>0</v>
      </c>
      <c r="N46" s="224"/>
      <c r="O46" s="224"/>
      <c r="P46" s="224"/>
      <c r="Q46" s="224"/>
      <c r="R46" s="224"/>
      <c r="S46" s="224"/>
      <c r="T46" s="174"/>
      <c r="U46" s="174"/>
    </row>
    <row r="47" spans="1:21" ht="13.5" customHeight="1">
      <c r="A47" s="180"/>
      <c r="B47" s="180"/>
      <c r="C47" s="85" t="s">
        <v>588</v>
      </c>
      <c r="D47" s="86" t="s">
        <v>35</v>
      </c>
      <c r="E47" s="945">
        <f>VLOOKUP("F_Principal_Redemption_amount",calcdata_22,2,FALSE)</f>
        <v>0</v>
      </c>
      <c r="F47" s="286"/>
      <c r="G47" s="21"/>
      <c r="H47" s="288"/>
      <c r="I47" s="373" t="s">
        <v>415</v>
      </c>
      <c r="J47" s="373"/>
      <c r="K47" s="373"/>
      <c r="L47" s="287" t="s">
        <v>35</v>
      </c>
      <c r="M47" s="945">
        <f>VLOOKUP("Mezzanine_loan_principal",calcdata_22,2,FALSE)</f>
        <v>0</v>
      </c>
      <c r="N47" s="224"/>
      <c r="O47" s="224"/>
      <c r="P47" s="224"/>
      <c r="Q47" s="224"/>
      <c r="R47" s="224"/>
      <c r="S47" s="224"/>
      <c r="T47" s="174"/>
      <c r="U47" s="174"/>
    </row>
    <row r="48" spans="1:21" ht="13.5" customHeight="1" thickBot="1">
      <c r="A48" s="180"/>
      <c r="B48" s="180"/>
      <c r="C48" s="85" t="s">
        <v>626</v>
      </c>
      <c r="D48" s="86" t="s">
        <v>35</v>
      </c>
      <c r="E48" s="945">
        <f>VLOOKUP("Mezzanine_loan_interests",calcdata_22,2,FALSE)</f>
        <v>0</v>
      </c>
      <c r="F48" s="286"/>
      <c r="G48" s="21"/>
      <c r="H48" s="288"/>
      <c r="I48" s="373" t="s">
        <v>289</v>
      </c>
      <c r="J48" s="373"/>
      <c r="K48" s="373"/>
      <c r="L48" s="287" t="s">
        <v>35</v>
      </c>
      <c r="M48" s="943">
        <f>VLOOKUP("G_prorata_Principal",calcdata_22,2,FALSE)</f>
        <v>0</v>
      </c>
      <c r="N48" s="224"/>
      <c r="O48" s="224"/>
      <c r="P48" s="224"/>
      <c r="Q48" s="224"/>
      <c r="R48" s="224"/>
      <c r="S48" s="224"/>
      <c r="T48" s="174"/>
      <c r="U48" s="174"/>
    </row>
    <row r="49" spans="1:21" ht="13.5" customHeight="1" thickTop="1">
      <c r="A49" s="180"/>
      <c r="B49" s="180"/>
      <c r="C49" s="85" t="s">
        <v>317</v>
      </c>
      <c r="D49" s="86" t="s">
        <v>35</v>
      </c>
      <c r="E49" s="945">
        <f>VLOOKUP("G_Interests_notes",calcdata_22,2,FALSE)</f>
        <v>0</v>
      </c>
      <c r="F49" s="286"/>
      <c r="G49" s="21"/>
      <c r="H49" s="288"/>
      <c r="I49" s="373" t="s">
        <v>617</v>
      </c>
      <c r="J49" s="373"/>
      <c r="K49" s="373"/>
      <c r="L49" s="287" t="s">
        <v>15</v>
      </c>
      <c r="M49" s="944">
        <f>VLOOKUP("Transaction_Account_remaining_amount",calcdata_22,2,FALSE)</f>
        <v>0</v>
      </c>
      <c r="N49" s="224"/>
      <c r="O49" s="224"/>
      <c r="P49" s="224"/>
      <c r="Q49" s="224"/>
      <c r="R49" s="224"/>
      <c r="S49" s="224"/>
      <c r="T49" s="174"/>
      <c r="U49" s="174"/>
    </row>
    <row r="50" spans="1:21" ht="13.5" customHeight="1">
      <c r="A50" s="180"/>
      <c r="B50" s="180"/>
      <c r="C50" s="85" t="s">
        <v>613</v>
      </c>
      <c r="D50" s="86" t="s">
        <v>35</v>
      </c>
      <c r="E50" s="945">
        <f>VLOOKUP("Termination_payment",calcdata_22,2,FALSE)</f>
        <v>0</v>
      </c>
      <c r="F50" s="286"/>
      <c r="G50" s="21"/>
      <c r="H50" s="288"/>
      <c r="I50" s="373"/>
      <c r="J50" s="373"/>
      <c r="K50" s="373"/>
      <c r="L50" s="287"/>
      <c r="M50" s="374"/>
      <c r="N50" s="224"/>
      <c r="O50" s="224"/>
      <c r="P50" s="224"/>
      <c r="Q50" s="224"/>
      <c r="R50" s="224"/>
      <c r="S50" s="224"/>
      <c r="T50" s="174"/>
      <c r="U50" s="174"/>
    </row>
    <row r="51" spans="1:21" ht="13.5" customHeight="1">
      <c r="A51" s="180"/>
      <c r="B51" s="180"/>
      <c r="C51" s="85" t="s">
        <v>614</v>
      </c>
      <c r="D51" s="86" t="s">
        <v>35</v>
      </c>
      <c r="E51" s="945">
        <f>VLOOKUP("Liqudity_Reserve_Interests",calcdata_22,2,FALSE)</f>
        <v>0</v>
      </c>
      <c r="F51" s="286"/>
      <c r="G51" s="21"/>
      <c r="H51" s="288"/>
      <c r="N51" s="224"/>
      <c r="O51" s="224"/>
      <c r="P51" s="224"/>
      <c r="Q51" s="224"/>
      <c r="R51" s="224"/>
      <c r="S51" s="224"/>
      <c r="T51" s="174"/>
      <c r="U51" s="174"/>
    </row>
    <row r="52" spans="1:21" ht="13.5" customHeight="1" thickBot="1">
      <c r="A52" s="180"/>
      <c r="B52" s="180"/>
      <c r="C52" s="85" t="s">
        <v>615</v>
      </c>
      <c r="D52" s="86" t="s">
        <v>35</v>
      </c>
      <c r="E52" s="945">
        <f>VLOOKUP("Liqudity_Reserve_Principal",calcdata_22,2,FALSE)</f>
        <v>0</v>
      </c>
      <c r="F52" s="286"/>
      <c r="G52" s="21"/>
      <c r="H52" s="288"/>
      <c r="I52" s="1007"/>
      <c r="J52" s="1007"/>
      <c r="K52" s="1007"/>
      <c r="L52" s="287"/>
      <c r="M52" s="224"/>
      <c r="N52" s="224"/>
      <c r="O52" s="224"/>
      <c r="P52" s="224"/>
      <c r="Q52" s="224"/>
      <c r="R52" s="224"/>
      <c r="S52" s="224"/>
      <c r="T52" s="174"/>
      <c r="U52" s="174"/>
    </row>
    <row r="53" spans="1:21" ht="13.5" customHeight="1" thickTop="1">
      <c r="A53" s="180"/>
      <c r="B53" s="180"/>
      <c r="C53" s="85" t="s">
        <v>616</v>
      </c>
      <c r="D53" s="86" t="s">
        <v>15</v>
      </c>
      <c r="E53" s="944">
        <f>VLOOKUP("Remaining_amount_seller",calcdata_22,2,FALSE)</f>
        <v>0</v>
      </c>
      <c r="F53" s="286"/>
      <c r="G53" s="21"/>
      <c r="H53" s="288"/>
      <c r="I53" s="384"/>
      <c r="J53" s="287"/>
      <c r="K53" s="287"/>
      <c r="L53" s="287"/>
      <c r="M53" s="224"/>
      <c r="N53" s="224"/>
      <c r="O53" s="224"/>
      <c r="P53" s="224"/>
      <c r="Q53" s="224"/>
      <c r="R53" s="224"/>
      <c r="S53" s="224"/>
      <c r="T53" s="174"/>
      <c r="U53" s="174"/>
    </row>
    <row r="54" spans="1:21" ht="13.5" customHeight="1">
      <c r="A54" s="180"/>
      <c r="B54" s="180"/>
      <c r="C54" s="85"/>
      <c r="D54" s="86"/>
      <c r="E54" s="21"/>
      <c r="F54" s="286"/>
      <c r="G54" s="21"/>
      <c r="H54" s="288"/>
      <c r="I54" s="384"/>
      <c r="J54" s="287"/>
      <c r="K54" s="287"/>
      <c r="L54" s="287"/>
      <c r="M54" s="224"/>
      <c r="N54" s="224"/>
      <c r="O54" s="224"/>
      <c r="P54" s="224"/>
      <c r="Q54" s="224"/>
      <c r="R54" s="224"/>
      <c r="S54" s="224"/>
      <c r="T54" s="174"/>
      <c r="U54" s="174"/>
    </row>
    <row r="55" spans="1:21" ht="13.5" customHeight="1">
      <c r="A55" s="180"/>
      <c r="B55" s="180"/>
      <c r="C55" s="385"/>
      <c r="D55" s="87"/>
      <c r="E55" s="374"/>
      <c r="F55" s="365"/>
      <c r="G55" s="105"/>
      <c r="H55" s="366"/>
      <c r="I55" s="222"/>
      <c r="J55" s="219"/>
      <c r="K55" s="219"/>
      <c r="L55" s="219"/>
      <c r="M55" s="224"/>
      <c r="N55" s="224"/>
      <c r="O55" s="224"/>
      <c r="P55" s="224"/>
      <c r="Q55" s="224"/>
      <c r="R55" s="224"/>
      <c r="S55" s="224"/>
      <c r="T55" s="174"/>
      <c r="U55" s="174"/>
    </row>
    <row r="56" spans="1:21" ht="13.5" customHeight="1">
      <c r="A56" s="180"/>
      <c r="B56" s="195"/>
      <c r="C56" s="29"/>
      <c r="D56" s="11"/>
      <c r="E56" s="50"/>
      <c r="F56" s="50"/>
      <c r="G56" s="50"/>
      <c r="H56" s="50"/>
      <c r="I56" s="50"/>
      <c r="J56" s="50"/>
      <c r="K56" s="50"/>
      <c r="L56" s="50"/>
      <c r="M56" s="50"/>
      <c r="N56" s="50"/>
      <c r="O56" s="50"/>
      <c r="P56" s="50"/>
      <c r="Q56" s="50"/>
      <c r="R56" s="50"/>
      <c r="S56" s="50"/>
      <c r="T56" s="196"/>
      <c r="U56" s="174"/>
    </row>
    <row r="57" spans="1:21" ht="18" customHeight="1">
      <c r="A57" s="180"/>
      <c r="B57" s="21"/>
      <c r="C57" s="83"/>
      <c r="D57" s="84"/>
      <c r="E57" s="49"/>
      <c r="F57" s="49"/>
      <c r="G57" s="49"/>
      <c r="H57" s="49"/>
      <c r="I57" s="49"/>
      <c r="J57" s="49"/>
      <c r="K57" s="49"/>
      <c r="L57" s="49"/>
      <c r="M57" s="49"/>
      <c r="N57" s="49"/>
      <c r="O57" s="49"/>
      <c r="P57" s="49"/>
      <c r="Q57" s="49"/>
      <c r="R57" s="49"/>
      <c r="S57" s="49"/>
      <c r="T57" s="49"/>
      <c r="U57" s="174"/>
    </row>
    <row r="58" spans="1:21" ht="13.5" customHeight="1">
      <c r="A58" s="180"/>
      <c r="B58" s="21"/>
      <c r="C58" s="14"/>
      <c r="D58" s="13"/>
      <c r="E58" s="21"/>
      <c r="F58" s="21"/>
      <c r="G58" s="21"/>
      <c r="H58" s="21"/>
      <c r="I58" s="21"/>
      <c r="J58" s="21"/>
      <c r="K58" s="21"/>
      <c r="L58" s="21"/>
      <c r="M58" s="21"/>
      <c r="N58" s="21"/>
      <c r="O58" s="21"/>
      <c r="P58" s="21"/>
      <c r="Q58" s="21"/>
      <c r="R58" s="21"/>
      <c r="T58" s="21"/>
      <c r="U58" s="174"/>
    </row>
    <row r="59" spans="1:21" ht="12.75" customHeight="1">
      <c r="A59" s="180"/>
      <c r="B59" s="21"/>
      <c r="C59" s="47" t="s">
        <v>85</v>
      </c>
      <c r="D59" s="95" t="s">
        <v>36</v>
      </c>
      <c r="E59" s="48" t="s">
        <v>5</v>
      </c>
      <c r="F59" s="48"/>
      <c r="G59" s="48" t="s">
        <v>6</v>
      </c>
      <c r="H59" s="48"/>
      <c r="I59" s="48" t="s">
        <v>180</v>
      </c>
      <c r="J59" s="48"/>
      <c r="K59" s="48" t="s">
        <v>181</v>
      </c>
      <c r="L59" s="48"/>
      <c r="M59" s="48" t="s">
        <v>182</v>
      </c>
      <c r="N59" s="48"/>
      <c r="O59" s="48" t="s">
        <v>229</v>
      </c>
      <c r="P59" s="48"/>
      <c r="Q59" s="48" t="s">
        <v>240</v>
      </c>
      <c r="R59" s="48"/>
      <c r="S59" s="48" t="s">
        <v>322</v>
      </c>
      <c r="T59" s="48"/>
      <c r="U59" s="174"/>
    </row>
    <row r="60" spans="1:21" ht="13.5" customHeight="1">
      <c r="A60" s="180"/>
      <c r="B60" s="153"/>
      <c r="C60" s="49" t="s">
        <v>78</v>
      </c>
      <c r="D60" s="950">
        <f>E31</f>
        <v>0</v>
      </c>
      <c r="E60" s="951"/>
      <c r="F60" s="951"/>
      <c r="G60" s="951"/>
      <c r="H60" s="952"/>
      <c r="I60" s="951"/>
      <c r="J60" s="952"/>
      <c r="K60" s="951"/>
      <c r="L60" s="952"/>
      <c r="M60" s="951"/>
      <c r="N60" s="951"/>
      <c r="O60" s="951"/>
      <c r="P60" s="951"/>
      <c r="Q60" s="951"/>
      <c r="R60" s="951"/>
      <c r="S60" s="951"/>
      <c r="T60" s="386"/>
      <c r="U60" s="174"/>
    </row>
    <row r="61" spans="1:21" ht="13.5" customHeight="1">
      <c r="A61" s="180"/>
      <c r="B61" s="180"/>
      <c r="C61" s="21" t="s">
        <v>86</v>
      </c>
      <c r="D61" s="950">
        <f>SUM(E61:S61)</f>
        <v>14430797.84</v>
      </c>
      <c r="E61" s="950">
        <f>VLOOKUP("A_Interests_accrued",calcdata_22,2,FALSE)</f>
        <v>729918</v>
      </c>
      <c r="F61" s="953"/>
      <c r="G61" s="950">
        <f>VLOOKUP("B_Interests_accrued",calcdata_22,2,FALSE)</f>
        <v>111412.40000000001</v>
      </c>
      <c r="H61" s="954"/>
      <c r="I61" s="950">
        <f>VLOOKUP("C_Interests_accrued",calcdata_22,2,FALSE)</f>
        <v>169268</v>
      </c>
      <c r="J61" s="954"/>
      <c r="K61" s="950">
        <f>VLOOKUP("D_Interests_accrued",calcdata_22,2,FALSE)</f>
        <v>161284</v>
      </c>
      <c r="L61" s="954"/>
      <c r="M61" s="950">
        <f>VLOOKUP("E_Interests_accrued",calcdata_22,2,FALSE)</f>
        <v>289098.60000000003</v>
      </c>
      <c r="N61" s="950"/>
      <c r="O61" s="950">
        <f>VLOOKUP("F_Interests_accrued",calcdata_22,2,FALSE)</f>
        <v>218894</v>
      </c>
      <c r="P61" s="950"/>
      <c r="Q61" s="950">
        <f>VLOOKUP("G_Interests_accrued",calcdata_22,2,FALSE)</f>
        <v>12440349.6</v>
      </c>
      <c r="R61" s="950"/>
      <c r="S61" s="950">
        <f>VLOOKUP("Reserve_Interests_accrued",calcdata_22,2,FALSE)</f>
        <v>310573.24000000005</v>
      </c>
      <c r="T61" s="387"/>
      <c r="U61" s="174"/>
    </row>
    <row r="62" spans="1:21" ht="13.5" customHeight="1">
      <c r="A62" s="180"/>
      <c r="B62" s="180"/>
      <c r="C62" s="21" t="s">
        <v>87</v>
      </c>
      <c r="D62" s="950">
        <f t="shared" ref="D62:D64" si="0">SUM(E62:S62)</f>
        <v>322670639.94</v>
      </c>
      <c r="E62" s="950">
        <f>VLOOKUP("A_Interests_accrued_cum",calcdata_22,2,FALSE)</f>
        <v>64915830</v>
      </c>
      <c r="F62" s="953"/>
      <c r="G62" s="950">
        <f>VLOOKUP("B_Interests_accrued_cum",calcdata_22,2,FALSE)</f>
        <v>6048182.8000000007</v>
      </c>
      <c r="H62" s="954"/>
      <c r="I62" s="950">
        <f>VLOOKUP("C_Interests_accrued_cum",calcdata_22,2,FALSE)</f>
        <v>8864482</v>
      </c>
      <c r="J62" s="954"/>
      <c r="K62" s="950">
        <f>VLOOKUP("D_Interests_accrued_cum",calcdata_22,2,FALSE)</f>
        <v>8106844</v>
      </c>
      <c r="L62" s="954"/>
      <c r="M62" s="950">
        <f>VLOOKUP("E_Interests_accrued_cum",calcdata_22,2,FALSE)</f>
        <v>13964391.6</v>
      </c>
      <c r="N62" s="950"/>
      <c r="O62" s="950">
        <f>VLOOKUP("F_Interests_accrued_cum",calcdata_22,2,FALSE)</f>
        <v>8498323.5999999978</v>
      </c>
      <c r="P62" s="950"/>
      <c r="Q62" s="950">
        <f>VLOOKUP("G_Interests_accrued_cum",calcdata_22,2,FALSE)</f>
        <v>209188711.19999999</v>
      </c>
      <c r="R62" s="950"/>
      <c r="S62" s="950">
        <f>VLOOKUP("Reserve_Interests_accrued_cum",calcdata_22,2,FALSE)</f>
        <v>3083874.7400000007</v>
      </c>
      <c r="T62" s="387"/>
      <c r="U62" s="174"/>
    </row>
    <row r="63" spans="1:21" ht="13.5" customHeight="1">
      <c r="A63" s="180"/>
      <c r="B63" s="180"/>
      <c r="C63" s="21" t="s">
        <v>88</v>
      </c>
      <c r="D63" s="950">
        <f t="shared" si="0"/>
        <v>1679875</v>
      </c>
      <c r="E63" s="950">
        <f>VLOOKUP("A_Interest_Payments",calcdata_22,2,FALSE)</f>
        <v>729918</v>
      </c>
      <c r="F63" s="953"/>
      <c r="G63" s="950">
        <f>VLOOKUP("B_Interest_Payments",calcdata_22,2,FALSE)</f>
        <v>111412.40000000001</v>
      </c>
      <c r="H63" s="947"/>
      <c r="I63" s="950">
        <f>VLOOKUP("C_Interest_Payments",calcdata_22,2,FALSE)</f>
        <v>169268</v>
      </c>
      <c r="J63" s="947"/>
      <c r="K63" s="950">
        <f>VLOOKUP("D_Interest_Payments",calcdata_22,2,FALSE)</f>
        <v>161284</v>
      </c>
      <c r="L63" s="947"/>
      <c r="M63" s="950">
        <f>VLOOKUP("E_Interest_Payments",calcdata_22,2,FALSE)</f>
        <v>289098.60000000003</v>
      </c>
      <c r="N63" s="950"/>
      <c r="O63" s="950">
        <f>VLOOKUP("F_Interest_Payments",calcdata_22,2,FALSE)</f>
        <v>218894</v>
      </c>
      <c r="P63" s="950"/>
      <c r="Q63" s="950">
        <f>VLOOKUP("G_Interest_Payments",calcdata_22,2,FALSE)</f>
        <v>0</v>
      </c>
      <c r="R63" s="950"/>
      <c r="S63" s="950">
        <f>VLOOKUP("Reserve_Interest_Payments",calcdata_22,2,FALSE)</f>
        <v>0</v>
      </c>
      <c r="T63" s="388"/>
      <c r="U63" s="174"/>
    </row>
    <row r="64" spans="1:21" ht="13.5" customHeight="1">
      <c r="A64" s="180"/>
      <c r="B64" s="180"/>
      <c r="C64" s="21" t="s">
        <v>89</v>
      </c>
      <c r="D64" s="950">
        <f t="shared" si="0"/>
        <v>110398053.99999999</v>
      </c>
      <c r="E64" s="950">
        <f>VLOOKUP("A_Interest_Payments_cum",calcdata_22,2,FALSE)</f>
        <v>64915830</v>
      </c>
      <c r="F64" s="953"/>
      <c r="G64" s="950">
        <f>VLOOKUP("B_Interest_Payments_cum",calcdata_22,2,FALSE)</f>
        <v>6048182.8000000007</v>
      </c>
      <c r="H64" s="947"/>
      <c r="I64" s="950">
        <f>VLOOKUP("C_Interest_Payments_cum",calcdata_22,2,FALSE)</f>
        <v>8864482</v>
      </c>
      <c r="J64" s="947"/>
      <c r="K64" s="950">
        <f>VLOOKUP("D_Interest_Payments_cum",calcdata_22,2,FALSE)</f>
        <v>8106844</v>
      </c>
      <c r="L64" s="947"/>
      <c r="M64" s="950">
        <f>VLOOKUP("E_Interest_Payments_cum",calcdata_22,2,FALSE)</f>
        <v>13964391.6</v>
      </c>
      <c r="N64" s="950"/>
      <c r="O64" s="950">
        <f>VLOOKUP("F_Interest_Payments_cum",calcdata_22,2,FALSE)</f>
        <v>8498323.5999999978</v>
      </c>
      <c r="P64" s="950"/>
      <c r="Q64" s="950">
        <f>VLOOKUP("G_Interest_Payments_cum",calcdata_22,2,FALSE)</f>
        <v>0</v>
      </c>
      <c r="R64" s="950"/>
      <c r="S64" s="950">
        <f>VLOOKUP("Reserve_Interest_Payments_cum",calcdata_22,2,FALSE)</f>
        <v>0</v>
      </c>
      <c r="T64" s="388"/>
      <c r="U64" s="174"/>
    </row>
    <row r="65" spans="1:21" ht="13.5" customHeight="1">
      <c r="A65" s="180"/>
      <c r="B65" s="180"/>
      <c r="C65" s="21" t="s">
        <v>90</v>
      </c>
      <c r="D65" s="950">
        <f>SUM(E65:S65)</f>
        <v>12750922.84</v>
      </c>
      <c r="E65" s="950">
        <f>VLOOKUP("A_Interests_unpaid",calcdata_22,2,FALSE)</f>
        <v>0</v>
      </c>
      <c r="F65" s="953"/>
      <c r="G65" s="950">
        <f>VLOOKUP("B_Interests_unpaid",calcdata_22,2,FALSE)</f>
        <v>0</v>
      </c>
      <c r="H65" s="947"/>
      <c r="I65" s="950">
        <f>VLOOKUP("C_Interests_unpaid",calcdata_22,2,FALSE)</f>
        <v>0</v>
      </c>
      <c r="J65" s="947"/>
      <c r="K65" s="950">
        <f>VLOOKUP("D_Interests_unpaid",calcdata_22,2,FALSE)</f>
        <v>0</v>
      </c>
      <c r="L65" s="947"/>
      <c r="M65" s="950">
        <f>VLOOKUP("E_Interests_unpaid",calcdata_22,2,FALSE)</f>
        <v>0</v>
      </c>
      <c r="N65" s="950"/>
      <c r="O65" s="950">
        <f>VLOOKUP("F_Interests_unpaid",calcdata_22,2,FALSE)</f>
        <v>0</v>
      </c>
      <c r="P65" s="950"/>
      <c r="Q65" s="950">
        <f>VLOOKUP("G_Interests_unpaid",calcdata_22,2,FALSE)</f>
        <v>12440349.6</v>
      </c>
      <c r="R65" s="950"/>
      <c r="S65" s="950">
        <f>VLOOKUP("Reserve_Interests_unpaid",calcdata_22,2,FALSE)</f>
        <v>310573.24000000005</v>
      </c>
      <c r="T65" s="388"/>
      <c r="U65" s="174"/>
    </row>
    <row r="66" spans="1:21" ht="13.5" customHeight="1">
      <c r="A66" s="180"/>
      <c r="B66" s="180"/>
      <c r="C66" s="21" t="s">
        <v>91</v>
      </c>
      <c r="D66" s="950">
        <f>SUM(E66:S66)</f>
        <v>212272585.94</v>
      </c>
      <c r="E66" s="950">
        <f>VLOOKUP("A_Interests_unpaid_cum",calcdata_22,2,FALSE)</f>
        <v>0</v>
      </c>
      <c r="F66" s="953"/>
      <c r="G66" s="950">
        <f>VLOOKUP("B_Interests_unpaid_cum",calcdata_22,2,FALSE)</f>
        <v>0</v>
      </c>
      <c r="H66" s="947"/>
      <c r="I66" s="950">
        <f>VLOOKUP("C_Interests_unpaid_cum",calcdata_22,2,FALSE)</f>
        <v>0</v>
      </c>
      <c r="J66" s="947"/>
      <c r="K66" s="950">
        <f>VLOOKUP("D_Interests_unpaid_cum",calcdata_22,2,FALSE)</f>
        <v>0</v>
      </c>
      <c r="L66" s="947"/>
      <c r="M66" s="950">
        <f>VLOOKUP("E_Interests_unpaid_cum",calcdata_22,2,FALSE)</f>
        <v>0</v>
      </c>
      <c r="N66" s="950"/>
      <c r="O66" s="950">
        <f>VLOOKUP("F_Interests_unpaid_cum",calcdata_22,2,FALSE)</f>
        <v>0</v>
      </c>
      <c r="P66" s="950"/>
      <c r="Q66" s="950">
        <f>VLOOKUP("G_Interests_unpaid_cum",calcdata_22,2,FALSE)</f>
        <v>209188711.19999999</v>
      </c>
      <c r="R66" s="950"/>
      <c r="S66" s="950">
        <f>VLOOKUP("Reserve_Interests_unpaid_cum",calcdata_22,2,FALSE)</f>
        <v>3083874.7400000007</v>
      </c>
      <c r="T66" s="388"/>
      <c r="U66" s="174"/>
    </row>
    <row r="67" spans="1:21" ht="13.5" customHeight="1">
      <c r="A67" s="180"/>
      <c r="B67" s="195"/>
      <c r="C67" s="50" t="s">
        <v>323</v>
      </c>
      <c r="D67" s="955">
        <f>SUM(E67:S67)</f>
        <v>21667900.400000002</v>
      </c>
      <c r="E67" s="955"/>
      <c r="F67" s="956"/>
      <c r="G67" s="955"/>
      <c r="H67" s="946"/>
      <c r="I67" s="955"/>
      <c r="J67" s="946"/>
      <c r="K67" s="955"/>
      <c r="L67" s="946"/>
      <c r="M67" s="955"/>
      <c r="N67" s="955"/>
      <c r="O67" s="955"/>
      <c r="P67" s="955"/>
      <c r="Q67" s="955"/>
      <c r="R67" s="955"/>
      <c r="S67" s="955">
        <f>VLOOKUP("Reserve_outstanding",calcdata_22,2,FALSE)</f>
        <v>21667900.400000002</v>
      </c>
      <c r="T67" s="389"/>
      <c r="U67" s="174"/>
    </row>
    <row r="68" spans="1:21" s="21" customFormat="1">
      <c r="A68" s="180"/>
      <c r="C68" s="14"/>
      <c r="D68" s="13"/>
      <c r="E68" s="197"/>
      <c r="F68" s="13"/>
      <c r="G68" s="198"/>
      <c r="H68" s="199"/>
      <c r="I68" s="198"/>
      <c r="J68" s="198"/>
      <c r="K68" s="198"/>
      <c r="L68" s="198"/>
      <c r="M68" s="173"/>
      <c r="N68" s="173"/>
      <c r="O68" s="173"/>
      <c r="P68" s="173"/>
      <c r="Q68" s="173"/>
      <c r="U68" s="174"/>
    </row>
    <row r="69" spans="1:21" s="21" customFormat="1">
      <c r="A69" s="195"/>
      <c r="B69" s="50"/>
      <c r="C69" s="29"/>
      <c r="D69" s="11"/>
      <c r="E69" s="349"/>
      <c r="F69" s="11"/>
      <c r="G69" s="316"/>
      <c r="H69" s="350"/>
      <c r="I69" s="316"/>
      <c r="J69" s="316"/>
      <c r="K69" s="316"/>
      <c r="L69" s="316"/>
      <c r="M69" s="390"/>
      <c r="N69" s="390"/>
      <c r="O69" s="390"/>
      <c r="P69" s="390"/>
      <c r="Q69" s="390"/>
      <c r="R69" s="50"/>
      <c r="S69" s="50"/>
      <c r="T69" s="50"/>
      <c r="U69" s="196"/>
    </row>
    <row r="70" spans="1:21" s="105" customFormat="1" ht="15" customHeight="1">
      <c r="C70" s="14"/>
      <c r="D70" s="13"/>
      <c r="E70" s="197"/>
      <c r="F70" s="13"/>
      <c r="G70" s="198"/>
      <c r="H70" s="199"/>
      <c r="I70" s="198"/>
      <c r="J70" s="198"/>
      <c r="K70" s="198"/>
      <c r="L70" s="198"/>
      <c r="M70" s="145"/>
      <c r="N70" s="145"/>
      <c r="O70" s="145"/>
      <c r="P70" s="145"/>
      <c r="Q70" s="145"/>
    </row>
    <row r="71" spans="1:21" s="105" customFormat="1">
      <c r="C71" s="14"/>
      <c r="D71" s="13"/>
      <c r="E71" s="197"/>
      <c r="F71" s="13"/>
      <c r="G71" s="198"/>
      <c r="H71" s="199"/>
      <c r="I71" s="198"/>
      <c r="J71" s="198"/>
      <c r="K71" s="198"/>
      <c r="L71" s="198"/>
      <c r="M71" s="145"/>
      <c r="N71" s="145"/>
      <c r="O71" s="145"/>
      <c r="P71" s="145"/>
      <c r="Q71" s="145"/>
    </row>
    <row r="72" spans="1:21" s="21" customFormat="1">
      <c r="C72" s="14"/>
      <c r="D72" s="13"/>
      <c r="E72" s="197"/>
      <c r="F72" s="13"/>
      <c r="G72" s="198"/>
      <c r="H72" s="199"/>
      <c r="I72" s="198"/>
      <c r="J72" s="198"/>
      <c r="K72" s="198"/>
      <c r="L72" s="198"/>
      <c r="M72" s="173"/>
      <c r="N72" s="173"/>
      <c r="O72" s="173"/>
      <c r="P72" s="173"/>
      <c r="Q72" s="173"/>
    </row>
    <row r="73" spans="1:21" s="21" customFormat="1">
      <c r="C73" s="14"/>
      <c r="D73" s="13"/>
      <c r="E73" s="197"/>
      <c r="F73" s="13"/>
      <c r="G73" s="198"/>
      <c r="H73" s="199"/>
      <c r="I73" s="198"/>
      <c r="J73" s="198"/>
      <c r="K73" s="198"/>
      <c r="L73" s="198"/>
      <c r="M73" s="173"/>
      <c r="N73" s="173"/>
      <c r="O73" s="173"/>
      <c r="P73" s="173"/>
      <c r="Q73" s="173"/>
    </row>
    <row r="74" spans="1:21" s="21" customFormat="1">
      <c r="C74" s="14"/>
      <c r="D74" s="13"/>
      <c r="E74" s="197"/>
      <c r="F74" s="13"/>
      <c r="G74" s="198"/>
      <c r="H74" s="199"/>
      <c r="I74" s="198"/>
      <c r="J74" s="198"/>
      <c r="K74" s="198"/>
      <c r="L74" s="198"/>
      <c r="M74" s="173"/>
      <c r="N74" s="173"/>
      <c r="O74" s="173"/>
      <c r="P74" s="173"/>
      <c r="Q74" s="173"/>
    </row>
    <row r="75" spans="1:21" s="21" customFormat="1">
      <c r="C75" s="14"/>
      <c r="D75" s="13"/>
      <c r="E75" s="197"/>
      <c r="F75" s="13"/>
      <c r="G75" s="198"/>
      <c r="H75" s="199"/>
      <c r="I75" s="198"/>
      <c r="J75" s="198"/>
      <c r="K75" s="198"/>
      <c r="L75" s="198"/>
      <c r="M75" s="173"/>
      <c r="N75" s="173"/>
      <c r="O75" s="173"/>
      <c r="P75" s="173"/>
      <c r="Q75" s="173"/>
    </row>
    <row r="76" spans="1:21" s="21" customFormat="1">
      <c r="C76" s="14"/>
      <c r="D76" s="13"/>
      <c r="E76" s="197"/>
      <c r="F76" s="13"/>
      <c r="G76" s="198"/>
      <c r="H76" s="199"/>
      <c r="I76" s="198"/>
      <c r="J76" s="198"/>
      <c r="K76" s="198"/>
      <c r="L76" s="198"/>
      <c r="M76" s="173"/>
      <c r="N76" s="173"/>
      <c r="O76" s="173"/>
      <c r="P76" s="173"/>
      <c r="Q76" s="173"/>
    </row>
    <row r="77" spans="1:21" s="21" customFormat="1">
      <c r="C77" s="14"/>
      <c r="D77" s="13"/>
      <c r="E77" s="197"/>
      <c r="F77" s="13"/>
      <c r="G77" s="198"/>
      <c r="H77" s="199"/>
      <c r="I77" s="198"/>
      <c r="J77" s="198"/>
      <c r="K77" s="198"/>
      <c r="L77" s="198"/>
      <c r="M77" s="173"/>
      <c r="N77" s="173"/>
      <c r="O77" s="173"/>
      <c r="P77" s="173"/>
      <c r="Q77" s="173"/>
    </row>
    <row r="78" spans="1:21" s="21" customFormat="1">
      <c r="C78" s="14"/>
      <c r="D78" s="13"/>
      <c r="E78" s="197"/>
      <c r="F78" s="13"/>
      <c r="G78" s="198"/>
      <c r="H78" s="199"/>
      <c r="I78" s="198"/>
      <c r="J78" s="198"/>
      <c r="K78" s="198"/>
      <c r="L78" s="198"/>
      <c r="M78" s="173"/>
      <c r="N78" s="173"/>
      <c r="O78" s="173"/>
      <c r="P78" s="173"/>
      <c r="Q78" s="173"/>
    </row>
    <row r="79" spans="1:21" s="21" customFormat="1">
      <c r="C79" s="14"/>
      <c r="D79" s="13"/>
      <c r="E79" s="197"/>
      <c r="F79" s="13"/>
      <c r="G79" s="198"/>
      <c r="H79" s="199"/>
      <c r="I79" s="198"/>
      <c r="J79" s="198"/>
      <c r="K79" s="198"/>
      <c r="L79" s="198"/>
      <c r="M79" s="173"/>
      <c r="N79" s="173"/>
      <c r="O79" s="173"/>
      <c r="P79" s="173"/>
      <c r="Q79" s="173"/>
    </row>
    <row r="80" spans="1:21" s="21" customFormat="1">
      <c r="C80" s="14"/>
      <c r="D80" s="13"/>
      <c r="E80" s="197"/>
      <c r="F80" s="13"/>
      <c r="G80" s="198"/>
      <c r="H80" s="199"/>
      <c r="I80" s="198"/>
      <c r="J80" s="198"/>
      <c r="K80" s="198"/>
      <c r="L80" s="198"/>
      <c r="M80" s="173"/>
      <c r="N80" s="173"/>
      <c r="O80" s="173"/>
      <c r="P80" s="173"/>
      <c r="Q80" s="173"/>
    </row>
    <row r="81" spans="3:17" s="21" customFormat="1">
      <c r="C81" s="14"/>
      <c r="D81" s="13"/>
      <c r="E81" s="197"/>
      <c r="F81" s="13"/>
      <c r="G81" s="198"/>
      <c r="H81" s="199"/>
      <c r="I81" s="198"/>
      <c r="J81" s="198"/>
      <c r="K81" s="198"/>
      <c r="L81" s="198"/>
      <c r="M81" s="173"/>
      <c r="N81" s="173"/>
      <c r="O81" s="173"/>
      <c r="P81" s="173"/>
      <c r="Q81" s="173"/>
    </row>
    <row r="82" spans="3:17" s="21" customFormat="1">
      <c r="C82" s="14"/>
      <c r="D82" s="13"/>
      <c r="E82" s="197"/>
      <c r="F82" s="13"/>
      <c r="G82" s="198"/>
      <c r="H82" s="199"/>
      <c r="I82" s="198"/>
      <c r="J82" s="198"/>
      <c r="K82" s="198"/>
      <c r="L82" s="198"/>
      <c r="M82" s="173"/>
      <c r="N82" s="173"/>
      <c r="O82" s="173"/>
      <c r="P82" s="173"/>
      <c r="Q82" s="173"/>
    </row>
    <row r="83" spans="3:17" s="21" customFormat="1">
      <c r="C83" s="14"/>
      <c r="D83" s="13"/>
      <c r="E83" s="197"/>
      <c r="F83" s="13"/>
      <c r="G83" s="198"/>
      <c r="H83" s="199"/>
      <c r="I83" s="198"/>
      <c r="J83" s="198"/>
      <c r="K83" s="198"/>
      <c r="L83" s="198"/>
      <c r="M83" s="173"/>
      <c r="N83" s="173"/>
      <c r="O83" s="173"/>
      <c r="P83" s="173"/>
      <c r="Q83" s="173"/>
    </row>
    <row r="84" spans="3:17" s="21" customFormat="1">
      <c r="C84" s="14"/>
      <c r="D84" s="13"/>
      <c r="E84" s="197"/>
      <c r="F84" s="13"/>
      <c r="G84" s="198"/>
      <c r="H84" s="199"/>
      <c r="I84" s="198"/>
      <c r="J84" s="198"/>
      <c r="K84" s="198"/>
      <c r="L84" s="198"/>
      <c r="M84" s="173"/>
      <c r="N84" s="173"/>
      <c r="O84" s="173"/>
      <c r="P84" s="173"/>
      <c r="Q84" s="173"/>
    </row>
    <row r="85" spans="3:17" s="21" customFormat="1">
      <c r="C85" s="14"/>
      <c r="D85" s="13"/>
      <c r="E85" s="197"/>
      <c r="F85" s="13"/>
      <c r="G85" s="198"/>
      <c r="H85" s="199"/>
      <c r="I85" s="198"/>
      <c r="J85" s="198"/>
      <c r="K85" s="198"/>
      <c r="L85" s="198"/>
      <c r="M85" s="173"/>
      <c r="N85" s="173"/>
      <c r="O85" s="173"/>
      <c r="P85" s="173"/>
      <c r="Q85" s="173"/>
    </row>
    <row r="86" spans="3:17" s="21" customFormat="1">
      <c r="C86" s="14"/>
      <c r="D86" s="13"/>
      <c r="E86" s="197"/>
      <c r="F86" s="13"/>
      <c r="G86" s="198"/>
      <c r="H86" s="199"/>
      <c r="I86" s="198"/>
      <c r="J86" s="198"/>
      <c r="K86" s="198"/>
      <c r="L86" s="198"/>
      <c r="M86" s="173"/>
      <c r="N86" s="173"/>
      <c r="O86" s="173"/>
      <c r="P86" s="173"/>
      <c r="Q86" s="173"/>
    </row>
    <row r="87" spans="3:17" s="21" customFormat="1">
      <c r="C87" s="14"/>
      <c r="D87" s="13"/>
      <c r="E87" s="197"/>
      <c r="F87" s="13"/>
      <c r="G87" s="198"/>
      <c r="H87" s="199"/>
      <c r="I87" s="198"/>
      <c r="J87" s="198"/>
      <c r="K87" s="198"/>
      <c r="L87" s="198"/>
      <c r="M87" s="173"/>
      <c r="N87" s="173"/>
      <c r="O87" s="173"/>
      <c r="P87" s="173"/>
      <c r="Q87" s="173"/>
    </row>
    <row r="88" spans="3:17" s="21" customFormat="1">
      <c r="C88" s="14"/>
      <c r="D88" s="13"/>
      <c r="E88" s="197"/>
      <c r="F88" s="13"/>
      <c r="G88" s="198"/>
      <c r="H88" s="199"/>
      <c r="I88" s="198"/>
      <c r="J88" s="198"/>
      <c r="K88" s="198"/>
      <c r="L88" s="198"/>
      <c r="M88" s="173"/>
      <c r="N88" s="173"/>
      <c r="O88" s="173"/>
      <c r="P88" s="173"/>
      <c r="Q88" s="173"/>
    </row>
    <row r="89" spans="3:17" s="21" customFormat="1">
      <c r="C89" s="14"/>
      <c r="D89" s="13"/>
      <c r="E89" s="197"/>
      <c r="F89" s="13"/>
      <c r="G89" s="198"/>
      <c r="H89" s="199"/>
      <c r="I89" s="198"/>
      <c r="J89" s="198"/>
      <c r="K89" s="198"/>
      <c r="L89" s="198"/>
      <c r="M89" s="173"/>
      <c r="N89" s="173"/>
      <c r="O89" s="173"/>
      <c r="P89" s="173"/>
      <c r="Q89" s="173"/>
    </row>
    <row r="90" spans="3:17" s="21" customFormat="1">
      <c r="C90" s="14"/>
      <c r="D90" s="13"/>
      <c r="E90" s="197"/>
      <c r="F90" s="13"/>
      <c r="G90" s="198"/>
      <c r="H90" s="199"/>
      <c r="I90" s="198"/>
      <c r="J90" s="198"/>
      <c r="K90" s="198"/>
      <c r="L90" s="198"/>
      <c r="M90" s="173"/>
      <c r="N90" s="173"/>
      <c r="O90" s="173"/>
      <c r="P90" s="173"/>
      <c r="Q90" s="173"/>
    </row>
    <row r="91" spans="3:17" s="21" customFormat="1">
      <c r="C91" s="14"/>
      <c r="D91" s="13"/>
      <c r="E91" s="197"/>
      <c r="F91" s="13"/>
      <c r="G91" s="198"/>
      <c r="H91" s="199"/>
      <c r="I91" s="198"/>
      <c r="J91" s="198"/>
      <c r="K91" s="198"/>
      <c r="L91" s="198"/>
      <c r="M91" s="173"/>
      <c r="N91" s="173"/>
      <c r="O91" s="173"/>
      <c r="P91" s="173"/>
      <c r="Q91" s="173"/>
    </row>
    <row r="92" spans="3:17" s="21" customFormat="1">
      <c r="C92" s="14"/>
      <c r="D92" s="13"/>
      <c r="E92" s="197"/>
      <c r="F92" s="13"/>
      <c r="G92" s="198"/>
      <c r="H92" s="199"/>
      <c r="I92" s="198"/>
      <c r="J92" s="198"/>
      <c r="K92" s="198"/>
      <c r="L92" s="198"/>
      <c r="M92" s="173"/>
      <c r="N92" s="173"/>
      <c r="O92" s="173"/>
      <c r="P92" s="173"/>
      <c r="Q92" s="173"/>
    </row>
    <row r="93" spans="3:17" s="21" customFormat="1">
      <c r="C93" s="14"/>
      <c r="D93" s="13"/>
      <c r="E93" s="197"/>
      <c r="F93" s="13"/>
      <c r="G93" s="198"/>
      <c r="H93" s="199"/>
      <c r="I93" s="198"/>
      <c r="J93" s="198"/>
      <c r="K93" s="198"/>
      <c r="L93" s="198"/>
      <c r="M93" s="173"/>
      <c r="N93" s="173"/>
      <c r="O93" s="173"/>
      <c r="P93" s="173"/>
      <c r="Q93" s="173"/>
    </row>
    <row r="94" spans="3:17" s="21" customFormat="1">
      <c r="C94" s="14"/>
      <c r="D94" s="13"/>
      <c r="E94" s="197"/>
      <c r="F94" s="13"/>
      <c r="G94" s="198"/>
      <c r="H94" s="199"/>
      <c r="I94" s="198"/>
      <c r="J94" s="198"/>
      <c r="K94" s="198"/>
      <c r="L94" s="198"/>
      <c r="M94" s="173"/>
      <c r="N94" s="173"/>
      <c r="O94" s="173"/>
      <c r="P94" s="173"/>
      <c r="Q94" s="173"/>
    </row>
    <row r="95" spans="3:17" s="21" customFormat="1">
      <c r="C95" s="14"/>
      <c r="D95" s="13"/>
      <c r="E95" s="197"/>
      <c r="F95" s="13"/>
      <c r="G95" s="198"/>
      <c r="H95" s="199"/>
      <c r="I95" s="198"/>
      <c r="J95" s="198"/>
      <c r="K95" s="198"/>
      <c r="L95" s="198"/>
      <c r="M95" s="173"/>
      <c r="N95" s="173"/>
      <c r="O95" s="173"/>
      <c r="P95" s="173"/>
      <c r="Q95" s="173"/>
    </row>
    <row r="96" spans="3:17" s="21" customFormat="1">
      <c r="C96" s="14"/>
      <c r="D96" s="13"/>
      <c r="E96" s="197"/>
      <c r="F96" s="13"/>
      <c r="G96" s="198"/>
      <c r="H96" s="199"/>
      <c r="I96" s="198"/>
      <c r="J96" s="198"/>
      <c r="K96" s="198"/>
      <c r="L96" s="198"/>
      <c r="M96" s="173"/>
      <c r="N96" s="173"/>
      <c r="O96" s="173"/>
      <c r="P96" s="173"/>
      <c r="Q96" s="173"/>
    </row>
    <row r="97" spans="3:17" s="21" customFormat="1">
      <c r="C97" s="14"/>
      <c r="D97" s="13"/>
      <c r="E97" s="197"/>
      <c r="F97" s="13"/>
      <c r="G97" s="198"/>
      <c r="H97" s="199"/>
      <c r="I97" s="198"/>
      <c r="J97" s="198"/>
      <c r="K97" s="198"/>
      <c r="L97" s="198"/>
      <c r="M97" s="173"/>
      <c r="N97" s="173"/>
      <c r="O97" s="173"/>
      <c r="P97" s="173"/>
      <c r="Q97" s="173"/>
    </row>
    <row r="98" spans="3:17" s="21" customFormat="1">
      <c r="C98" s="14"/>
      <c r="D98" s="13"/>
      <c r="E98" s="197"/>
      <c r="F98" s="13"/>
      <c r="G98" s="198"/>
      <c r="H98" s="199"/>
      <c r="I98" s="198"/>
      <c r="J98" s="198"/>
      <c r="K98" s="198"/>
      <c r="L98" s="198"/>
      <c r="M98" s="173"/>
      <c r="N98" s="173"/>
      <c r="O98" s="173"/>
      <c r="P98" s="173"/>
      <c r="Q98" s="173"/>
    </row>
    <row r="99" spans="3:17" s="21" customFormat="1">
      <c r="C99" s="14"/>
      <c r="D99" s="13"/>
      <c r="E99" s="197"/>
      <c r="F99" s="13"/>
      <c r="G99" s="198"/>
      <c r="H99" s="199"/>
      <c r="I99" s="198"/>
      <c r="J99" s="198"/>
      <c r="K99" s="198"/>
      <c r="L99" s="198"/>
      <c r="M99" s="173"/>
      <c r="N99" s="173"/>
      <c r="O99" s="173"/>
      <c r="P99" s="173"/>
      <c r="Q99" s="173"/>
    </row>
    <row r="100" spans="3:17" s="21" customFormat="1">
      <c r="C100" s="14"/>
      <c r="D100" s="13"/>
      <c r="E100" s="200"/>
      <c r="F100" s="201"/>
      <c r="G100" s="232"/>
      <c r="H100" s="203"/>
      <c r="I100" s="232"/>
      <c r="J100" s="232"/>
      <c r="K100" s="232"/>
      <c r="L100" s="232"/>
      <c r="M100" s="173"/>
      <c r="N100" s="173"/>
      <c r="O100" s="173"/>
      <c r="P100" s="173"/>
      <c r="Q100" s="173"/>
    </row>
    <row r="101" spans="3:17" s="21" customFormat="1">
      <c r="C101" s="14"/>
      <c r="D101" s="13"/>
      <c r="E101" s="200"/>
      <c r="F101" s="200"/>
      <c r="G101" s="200"/>
      <c r="H101" s="200"/>
      <c r="I101" s="200"/>
      <c r="J101" s="200"/>
      <c r="K101" s="200"/>
      <c r="L101" s="200"/>
      <c r="M101" s="173"/>
      <c r="N101" s="173"/>
      <c r="O101" s="173"/>
      <c r="P101" s="173"/>
      <c r="Q101" s="173"/>
    </row>
    <row r="102" spans="3:17" s="21" customFormat="1">
      <c r="C102" s="14"/>
      <c r="D102" s="13"/>
      <c r="E102" s="200"/>
      <c r="F102" s="200"/>
      <c r="G102" s="200"/>
      <c r="H102" s="200"/>
      <c r="I102" s="200"/>
      <c r="J102" s="200"/>
      <c r="K102" s="200"/>
      <c r="L102" s="200"/>
      <c r="M102" s="173"/>
      <c r="N102" s="173"/>
      <c r="O102" s="173"/>
      <c r="P102" s="173"/>
      <c r="Q102" s="173"/>
    </row>
    <row r="103" spans="3:17" s="21" customFormat="1">
      <c r="C103" s="14"/>
      <c r="D103" s="13"/>
      <c r="E103" s="204"/>
      <c r="F103" s="391"/>
      <c r="G103" s="200"/>
      <c r="H103" s="200"/>
      <c r="I103" s="200"/>
      <c r="J103" s="200"/>
      <c r="K103" s="200"/>
      <c r="L103" s="200"/>
      <c r="M103" s="173"/>
      <c r="N103" s="173"/>
      <c r="O103" s="173"/>
      <c r="P103" s="173"/>
      <c r="Q103" s="173"/>
    </row>
    <row r="104" spans="3:17" s="21" customFormat="1">
      <c r="C104" s="14"/>
      <c r="D104" s="13"/>
      <c r="E104" s="201"/>
      <c r="F104" s="391"/>
      <c r="G104" s="200"/>
      <c r="H104" s="200"/>
      <c r="I104" s="200"/>
      <c r="J104" s="200"/>
      <c r="K104" s="200"/>
      <c r="L104" s="200"/>
      <c r="M104" s="173"/>
      <c r="N104" s="173"/>
      <c r="O104" s="173"/>
      <c r="P104" s="173"/>
      <c r="Q104" s="173"/>
    </row>
    <row r="105" spans="3:17" s="21" customFormat="1">
      <c r="C105" s="14"/>
      <c r="D105" s="13"/>
      <c r="E105" s="200"/>
      <c r="F105" s="391"/>
      <c r="G105" s="200"/>
      <c r="H105" s="200"/>
      <c r="I105" s="200"/>
      <c r="J105" s="200"/>
      <c r="K105" s="200"/>
      <c r="L105" s="200"/>
      <c r="M105" s="173"/>
      <c r="N105" s="173"/>
      <c r="O105" s="173"/>
      <c r="P105" s="173"/>
      <c r="Q105" s="173"/>
    </row>
    <row r="106" spans="3:17" s="21" customFormat="1" ht="14">
      <c r="C106" s="200"/>
      <c r="D106" s="392"/>
      <c r="E106" s="206"/>
      <c r="F106" s="206"/>
      <c r="G106" s="206"/>
      <c r="H106" s="206"/>
      <c r="I106" s="206"/>
      <c r="J106" s="206"/>
      <c r="K106" s="206"/>
      <c r="L106" s="206"/>
      <c r="M106" s="173"/>
      <c r="N106" s="173"/>
      <c r="O106" s="173"/>
      <c r="P106" s="173"/>
      <c r="Q106" s="173"/>
    </row>
    <row r="107" spans="3:17" s="21" customFormat="1" ht="14">
      <c r="C107" s="105"/>
      <c r="D107" s="158"/>
      <c r="E107" s="206"/>
      <c r="F107" s="206"/>
      <c r="G107" s="206"/>
      <c r="H107" s="206"/>
      <c r="I107" s="206"/>
      <c r="J107" s="206"/>
      <c r="K107" s="206"/>
      <c r="L107" s="206"/>
      <c r="M107" s="173"/>
      <c r="N107" s="173"/>
      <c r="O107" s="173"/>
      <c r="P107" s="173"/>
      <c r="Q107" s="173"/>
    </row>
    <row r="108" spans="3:17" s="21" customFormat="1" ht="14">
      <c r="C108" s="105"/>
      <c r="D108" s="158"/>
      <c r="E108" s="207"/>
      <c r="F108" s="393"/>
      <c r="G108" s="206"/>
      <c r="H108" s="206"/>
      <c r="I108" s="206"/>
      <c r="J108" s="206"/>
      <c r="K108" s="206"/>
      <c r="L108" s="206"/>
      <c r="M108" s="173"/>
      <c r="N108" s="173"/>
      <c r="O108" s="173"/>
      <c r="P108" s="173"/>
      <c r="Q108" s="173"/>
    </row>
    <row r="109" spans="3:17" s="21" customFormat="1" ht="14">
      <c r="C109" s="204"/>
      <c r="D109" s="391"/>
      <c r="E109" s="209"/>
      <c r="F109" s="393"/>
      <c r="G109" s="206"/>
      <c r="H109" s="206"/>
      <c r="I109" s="206"/>
      <c r="J109" s="206"/>
      <c r="K109" s="206"/>
      <c r="L109" s="206"/>
      <c r="M109" s="173"/>
      <c r="N109" s="173"/>
      <c r="O109" s="173"/>
      <c r="P109" s="173"/>
      <c r="Q109" s="173"/>
    </row>
    <row r="110" spans="3:17" s="21" customFormat="1" ht="14">
      <c r="C110" s="210"/>
      <c r="D110" s="391"/>
      <c r="E110" s="206"/>
      <c r="F110" s="393"/>
      <c r="G110" s="206"/>
      <c r="H110" s="206"/>
      <c r="I110" s="206"/>
      <c r="J110" s="206"/>
      <c r="K110" s="206"/>
      <c r="L110" s="206"/>
      <c r="M110" s="173"/>
      <c r="N110" s="173"/>
      <c r="O110" s="173"/>
      <c r="P110" s="173"/>
      <c r="Q110" s="173"/>
    </row>
    <row r="111" spans="3:17" s="21" customFormat="1">
      <c r="D111" s="391"/>
      <c r="M111" s="173"/>
      <c r="N111" s="173"/>
      <c r="O111" s="173"/>
      <c r="P111" s="173"/>
      <c r="Q111" s="173"/>
    </row>
    <row r="112" spans="3:17" s="21" customFormat="1">
      <c r="D112" s="164"/>
      <c r="M112" s="173"/>
      <c r="N112" s="173"/>
      <c r="O112" s="173"/>
      <c r="P112" s="173"/>
      <c r="Q112" s="173"/>
    </row>
    <row r="113" spans="4:17" s="21" customFormat="1">
      <c r="D113" s="164"/>
      <c r="M113" s="173"/>
      <c r="N113" s="173"/>
      <c r="O113" s="173"/>
      <c r="P113" s="173"/>
      <c r="Q113" s="173"/>
    </row>
    <row r="114" spans="4:17" s="21" customFormat="1">
      <c r="D114" s="164"/>
      <c r="M114" s="173"/>
      <c r="N114" s="173"/>
      <c r="O114" s="173"/>
      <c r="P114" s="173"/>
      <c r="Q114" s="173"/>
    </row>
    <row r="115" spans="4:17" s="21" customFormat="1">
      <c r="D115" s="164"/>
      <c r="M115" s="173"/>
      <c r="N115" s="173"/>
      <c r="O115" s="173"/>
      <c r="P115" s="173"/>
      <c r="Q115" s="173"/>
    </row>
    <row r="116" spans="4:17" s="21" customFormat="1">
      <c r="D116" s="164"/>
      <c r="M116" s="173"/>
      <c r="N116" s="173"/>
      <c r="O116" s="173"/>
      <c r="P116" s="173"/>
      <c r="Q116" s="173"/>
    </row>
    <row r="117" spans="4:17" s="21" customFormat="1">
      <c r="D117" s="164"/>
      <c r="M117" s="173"/>
      <c r="N117" s="173"/>
      <c r="O117" s="173"/>
      <c r="P117" s="173"/>
      <c r="Q117" s="173"/>
    </row>
    <row r="118" spans="4:17" s="21" customFormat="1">
      <c r="D118" s="164"/>
      <c r="M118" s="173"/>
      <c r="N118" s="173"/>
      <c r="O118" s="173"/>
      <c r="P118" s="173"/>
      <c r="Q118" s="173"/>
    </row>
    <row r="119" spans="4:17" s="21" customFormat="1">
      <c r="D119" s="164"/>
      <c r="M119" s="173"/>
      <c r="N119" s="173"/>
      <c r="O119" s="173"/>
      <c r="P119" s="173"/>
      <c r="Q119" s="173"/>
    </row>
    <row r="120" spans="4:17" s="21" customFormat="1">
      <c r="D120" s="164"/>
      <c r="M120" s="173"/>
      <c r="N120" s="173"/>
      <c r="O120" s="173"/>
      <c r="P120" s="173"/>
      <c r="Q120" s="173"/>
    </row>
    <row r="121" spans="4:17" s="21" customFormat="1">
      <c r="D121" s="164"/>
      <c r="M121" s="173"/>
      <c r="N121" s="173"/>
      <c r="O121" s="173"/>
      <c r="P121" s="173"/>
      <c r="Q121" s="173"/>
    </row>
    <row r="122" spans="4:17" s="21" customFormat="1">
      <c r="D122" s="164"/>
      <c r="M122" s="173"/>
      <c r="N122" s="173"/>
      <c r="O122" s="173"/>
      <c r="P122" s="173"/>
      <c r="Q122" s="173"/>
    </row>
    <row r="123" spans="4:17" s="21" customFormat="1">
      <c r="D123" s="164"/>
      <c r="M123" s="173"/>
      <c r="N123" s="173"/>
      <c r="O123" s="173"/>
      <c r="P123" s="173"/>
      <c r="Q123" s="173"/>
    </row>
    <row r="124" spans="4:17" s="21" customFormat="1">
      <c r="D124" s="164"/>
      <c r="M124" s="173"/>
      <c r="N124" s="173"/>
      <c r="O124" s="173"/>
      <c r="P124" s="173"/>
      <c r="Q124" s="173"/>
    </row>
    <row r="125" spans="4:17" s="21" customFormat="1">
      <c r="D125" s="164"/>
      <c r="M125" s="173"/>
      <c r="N125" s="173"/>
      <c r="O125" s="173"/>
      <c r="P125" s="173"/>
      <c r="Q125" s="173"/>
    </row>
    <row r="126" spans="4:17" s="21" customFormat="1">
      <c r="D126" s="164"/>
      <c r="M126" s="173"/>
      <c r="N126" s="173"/>
      <c r="O126" s="173"/>
      <c r="P126" s="173"/>
      <c r="Q126" s="173"/>
    </row>
    <row r="127" spans="4:17" s="21" customFormat="1">
      <c r="D127" s="164"/>
      <c r="M127" s="173"/>
      <c r="N127" s="173"/>
      <c r="O127" s="173"/>
      <c r="P127" s="173"/>
      <c r="Q127" s="173"/>
    </row>
    <row r="128" spans="4:17" s="21" customFormat="1">
      <c r="D128" s="164"/>
      <c r="M128" s="173"/>
      <c r="N128" s="173"/>
      <c r="O128" s="173"/>
      <c r="P128" s="173"/>
      <c r="Q128" s="173"/>
    </row>
    <row r="129" spans="4:17" s="21" customFormat="1">
      <c r="D129" s="164"/>
      <c r="M129" s="173"/>
      <c r="N129" s="173"/>
      <c r="O129" s="173"/>
      <c r="P129" s="173"/>
      <c r="Q129" s="173"/>
    </row>
    <row r="130" spans="4:17" s="21" customFormat="1">
      <c r="D130" s="164"/>
      <c r="M130" s="173"/>
      <c r="N130" s="173"/>
      <c r="O130" s="173"/>
      <c r="P130" s="173"/>
      <c r="Q130" s="173"/>
    </row>
    <row r="131" spans="4:17" s="21" customFormat="1">
      <c r="D131" s="164"/>
      <c r="M131" s="173"/>
      <c r="N131" s="173"/>
      <c r="O131" s="173"/>
      <c r="P131" s="173"/>
      <c r="Q131" s="173"/>
    </row>
    <row r="132" spans="4:17" s="21" customFormat="1">
      <c r="D132" s="164"/>
      <c r="M132" s="173"/>
      <c r="N132" s="173"/>
      <c r="O132" s="173"/>
      <c r="P132" s="173"/>
      <c r="Q132" s="173"/>
    </row>
    <row r="133" spans="4:17" s="21" customFormat="1">
      <c r="D133" s="164"/>
      <c r="M133" s="173"/>
      <c r="N133" s="173"/>
      <c r="O133" s="173"/>
      <c r="P133" s="173"/>
      <c r="Q133" s="173"/>
    </row>
    <row r="134" spans="4:17" s="21" customFormat="1">
      <c r="D134" s="164"/>
      <c r="M134" s="173"/>
      <c r="N134" s="173"/>
      <c r="O134" s="173"/>
      <c r="P134" s="173"/>
      <c r="Q134" s="173"/>
    </row>
    <row r="135" spans="4:17" s="21" customFormat="1">
      <c r="D135" s="164"/>
      <c r="M135" s="173"/>
      <c r="N135" s="173"/>
      <c r="O135" s="173"/>
      <c r="P135" s="173"/>
      <c r="Q135" s="173"/>
    </row>
    <row r="136" spans="4:17" s="21" customFormat="1">
      <c r="D136" s="164"/>
      <c r="M136" s="173"/>
      <c r="N136" s="173"/>
      <c r="O136" s="173"/>
      <c r="P136" s="173"/>
      <c r="Q136" s="173"/>
    </row>
    <row r="137" spans="4:17" s="21" customFormat="1">
      <c r="D137" s="164"/>
      <c r="M137" s="173"/>
      <c r="N137" s="173"/>
      <c r="O137" s="173"/>
      <c r="P137" s="173"/>
      <c r="Q137" s="173"/>
    </row>
    <row r="138" spans="4:17" s="21" customFormat="1">
      <c r="D138" s="164"/>
      <c r="M138" s="173"/>
      <c r="N138" s="173"/>
      <c r="O138" s="173"/>
      <c r="P138" s="173"/>
      <c r="Q138" s="173"/>
    </row>
    <row r="139" spans="4:17" s="21" customFormat="1">
      <c r="D139" s="164"/>
      <c r="M139" s="173"/>
      <c r="N139" s="173"/>
      <c r="O139" s="173"/>
      <c r="P139" s="173"/>
      <c r="Q139" s="173"/>
    </row>
    <row r="140" spans="4:17" s="21" customFormat="1">
      <c r="D140" s="164"/>
      <c r="M140" s="173"/>
      <c r="N140" s="173"/>
      <c r="O140" s="173"/>
      <c r="P140" s="173"/>
      <c r="Q140" s="173"/>
    </row>
    <row r="141" spans="4:17" s="21" customFormat="1">
      <c r="D141" s="164"/>
      <c r="M141" s="173"/>
      <c r="N141" s="173"/>
      <c r="O141" s="173"/>
      <c r="P141" s="173"/>
      <c r="Q141" s="173"/>
    </row>
    <row r="142" spans="4:17" s="21" customFormat="1">
      <c r="D142" s="164"/>
      <c r="M142" s="173"/>
      <c r="N142" s="173"/>
      <c r="O142" s="173"/>
      <c r="P142" s="173"/>
      <c r="Q142" s="173"/>
    </row>
    <row r="143" spans="4:17" s="21" customFormat="1">
      <c r="D143" s="164"/>
      <c r="M143" s="173"/>
      <c r="N143" s="173"/>
      <c r="O143" s="173"/>
      <c r="P143" s="173"/>
      <c r="Q143" s="173"/>
    </row>
    <row r="144" spans="4:17" s="21" customFormat="1">
      <c r="D144" s="164"/>
      <c r="M144" s="173"/>
      <c r="N144" s="173"/>
      <c r="O144" s="173"/>
      <c r="P144" s="173"/>
      <c r="Q144" s="173"/>
    </row>
    <row r="145" spans="4:17" s="21" customFormat="1">
      <c r="D145" s="164"/>
      <c r="M145" s="173"/>
      <c r="N145" s="173"/>
      <c r="O145" s="173"/>
      <c r="P145" s="173"/>
      <c r="Q145" s="173"/>
    </row>
    <row r="146" spans="4:17" s="21" customFormat="1">
      <c r="D146" s="164"/>
      <c r="M146" s="173"/>
      <c r="N146" s="173"/>
      <c r="O146" s="173"/>
      <c r="P146" s="173"/>
      <c r="Q146" s="173"/>
    </row>
    <row r="147" spans="4:17" s="21" customFormat="1">
      <c r="D147" s="164"/>
      <c r="M147" s="173"/>
      <c r="N147" s="173"/>
      <c r="O147" s="173"/>
      <c r="P147" s="173"/>
      <c r="Q147" s="173"/>
    </row>
    <row r="148" spans="4:17" s="21" customFormat="1">
      <c r="D148" s="164"/>
      <c r="M148" s="173"/>
      <c r="N148" s="173"/>
      <c r="O148" s="173"/>
      <c r="P148" s="173"/>
      <c r="Q148" s="173"/>
    </row>
    <row r="149" spans="4:17" s="21" customFormat="1">
      <c r="D149" s="164"/>
      <c r="M149" s="173"/>
      <c r="N149" s="173"/>
      <c r="O149" s="173"/>
      <c r="P149" s="173"/>
      <c r="Q149" s="173"/>
    </row>
    <row r="150" spans="4:17" s="21" customFormat="1">
      <c r="D150" s="164"/>
      <c r="M150" s="173"/>
      <c r="N150" s="173"/>
      <c r="O150" s="173"/>
      <c r="P150" s="173"/>
      <c r="Q150" s="173"/>
    </row>
    <row r="151" spans="4:17" s="21" customFormat="1">
      <c r="D151" s="164"/>
      <c r="M151" s="173"/>
      <c r="N151" s="173"/>
      <c r="O151" s="173"/>
      <c r="P151" s="173"/>
      <c r="Q151" s="173"/>
    </row>
    <row r="152" spans="4:17" s="21" customFormat="1">
      <c r="D152" s="164"/>
      <c r="M152" s="173"/>
      <c r="N152" s="173"/>
      <c r="O152" s="173"/>
      <c r="P152" s="173"/>
      <c r="Q152" s="173"/>
    </row>
    <row r="153" spans="4:17" s="21" customFormat="1">
      <c r="D153" s="164"/>
      <c r="M153" s="173"/>
      <c r="N153" s="173"/>
      <c r="O153" s="173"/>
      <c r="P153" s="173"/>
      <c r="Q153" s="173"/>
    </row>
    <row r="154" spans="4:17" s="21" customFormat="1">
      <c r="D154" s="164"/>
      <c r="M154" s="173"/>
      <c r="N154" s="173"/>
      <c r="O154" s="173"/>
      <c r="P154" s="173"/>
      <c r="Q154" s="173"/>
    </row>
    <row r="155" spans="4:17" s="21" customFormat="1">
      <c r="D155" s="164"/>
      <c r="M155" s="173"/>
      <c r="N155" s="173"/>
      <c r="O155" s="173"/>
      <c r="P155" s="173"/>
      <c r="Q155" s="173"/>
    </row>
    <row r="156" spans="4:17" s="21" customFormat="1">
      <c r="D156" s="164"/>
      <c r="M156" s="173"/>
      <c r="N156" s="173"/>
      <c r="O156" s="173"/>
      <c r="P156" s="173"/>
      <c r="Q156" s="173"/>
    </row>
    <row r="157" spans="4:17" s="21" customFormat="1">
      <c r="D157" s="164"/>
      <c r="M157" s="173"/>
      <c r="N157" s="173"/>
      <c r="O157" s="173"/>
      <c r="P157" s="173"/>
      <c r="Q157" s="173"/>
    </row>
    <row r="158" spans="4:17" s="21" customFormat="1">
      <c r="D158" s="164"/>
      <c r="M158" s="173"/>
      <c r="N158" s="173"/>
      <c r="O158" s="173"/>
      <c r="P158" s="173"/>
      <c r="Q158" s="173"/>
    </row>
    <row r="159" spans="4:17" s="21" customFormat="1">
      <c r="D159" s="164"/>
      <c r="M159" s="173"/>
      <c r="N159" s="173"/>
      <c r="O159" s="173"/>
      <c r="P159" s="173"/>
      <c r="Q159" s="173"/>
    </row>
    <row r="160" spans="4:17" s="21" customFormat="1">
      <c r="D160" s="164"/>
      <c r="M160" s="173"/>
      <c r="N160" s="173"/>
      <c r="O160" s="173"/>
      <c r="P160" s="173"/>
      <c r="Q160" s="173"/>
    </row>
    <row r="161" spans="4:17" s="21" customFormat="1">
      <c r="D161" s="164"/>
      <c r="M161" s="173"/>
      <c r="N161" s="173"/>
      <c r="O161" s="173"/>
      <c r="P161" s="173"/>
      <c r="Q161" s="173"/>
    </row>
    <row r="162" spans="4:17" s="21" customFormat="1">
      <c r="D162" s="164"/>
      <c r="M162" s="173"/>
      <c r="N162" s="173"/>
      <c r="O162" s="173"/>
      <c r="P162" s="173"/>
      <c r="Q162" s="173"/>
    </row>
    <row r="163" spans="4:17" s="21" customFormat="1">
      <c r="D163" s="164"/>
      <c r="M163" s="173"/>
      <c r="N163" s="173"/>
      <c r="O163" s="173"/>
      <c r="P163" s="173"/>
      <c r="Q163" s="173"/>
    </row>
    <row r="164" spans="4:17" s="21" customFormat="1">
      <c r="D164" s="164"/>
      <c r="M164" s="173"/>
      <c r="N164" s="173"/>
      <c r="O164" s="173"/>
      <c r="P164" s="173"/>
      <c r="Q164" s="173"/>
    </row>
    <row r="165" spans="4:17" s="21" customFormat="1">
      <c r="D165" s="164"/>
      <c r="M165" s="173"/>
      <c r="N165" s="173"/>
      <c r="O165" s="173"/>
      <c r="P165" s="173"/>
      <c r="Q165" s="173"/>
    </row>
    <row r="166" spans="4:17" s="21" customFormat="1">
      <c r="D166" s="164"/>
      <c r="M166" s="173"/>
      <c r="N166" s="173"/>
      <c r="O166" s="173"/>
      <c r="P166" s="173"/>
      <c r="Q166" s="173"/>
    </row>
    <row r="167" spans="4:17" s="21" customFormat="1">
      <c r="D167" s="164"/>
      <c r="M167" s="173"/>
      <c r="N167" s="173"/>
      <c r="O167" s="173"/>
      <c r="P167" s="173"/>
      <c r="Q167" s="173"/>
    </row>
    <row r="168" spans="4:17" s="21" customFormat="1">
      <c r="D168" s="164"/>
      <c r="M168" s="173"/>
      <c r="N168" s="173"/>
      <c r="O168" s="173"/>
      <c r="P168" s="173"/>
      <c r="Q168" s="173"/>
    </row>
    <row r="169" spans="4:17" s="21" customFormat="1">
      <c r="D169" s="164"/>
      <c r="M169" s="173"/>
      <c r="N169" s="173"/>
      <c r="O169" s="173"/>
      <c r="P169" s="173"/>
      <c r="Q169" s="173"/>
    </row>
    <row r="170" spans="4:17" s="21" customFormat="1">
      <c r="D170" s="164"/>
      <c r="M170" s="173"/>
      <c r="N170" s="173"/>
      <c r="O170" s="173"/>
      <c r="P170" s="173"/>
      <c r="Q170" s="173"/>
    </row>
    <row r="171" spans="4:17" s="21" customFormat="1">
      <c r="D171" s="164"/>
      <c r="M171" s="173"/>
      <c r="N171" s="173"/>
      <c r="O171" s="173"/>
      <c r="P171" s="173"/>
      <c r="Q171" s="173"/>
    </row>
    <row r="172" spans="4:17" s="21" customFormat="1">
      <c r="D172" s="164"/>
      <c r="M172" s="173"/>
      <c r="N172" s="173"/>
      <c r="O172" s="173"/>
      <c r="P172" s="173"/>
      <c r="Q172" s="173"/>
    </row>
    <row r="173" spans="4:17" s="21" customFormat="1">
      <c r="D173" s="164"/>
      <c r="M173" s="173"/>
      <c r="N173" s="173"/>
      <c r="O173" s="173"/>
      <c r="P173" s="173"/>
      <c r="Q173" s="173"/>
    </row>
    <row r="174" spans="4:17" s="21" customFormat="1">
      <c r="D174" s="164"/>
      <c r="M174" s="173"/>
      <c r="N174" s="173"/>
      <c r="O174" s="173"/>
      <c r="P174" s="173"/>
      <c r="Q174" s="173"/>
    </row>
    <row r="175" spans="4:17" s="21" customFormat="1">
      <c r="D175" s="164"/>
      <c r="M175" s="173"/>
      <c r="N175" s="173"/>
      <c r="O175" s="173"/>
      <c r="P175" s="173"/>
      <c r="Q175" s="173"/>
    </row>
    <row r="176" spans="4:17" s="21" customFormat="1">
      <c r="D176" s="164"/>
      <c r="M176" s="173"/>
      <c r="N176" s="173"/>
      <c r="O176" s="173"/>
      <c r="P176" s="173"/>
      <c r="Q176" s="173"/>
    </row>
    <row r="177" spans="4:17" s="21" customFormat="1">
      <c r="D177" s="164"/>
      <c r="M177" s="173"/>
      <c r="N177" s="173"/>
      <c r="O177" s="173"/>
      <c r="P177" s="173"/>
      <c r="Q177" s="173"/>
    </row>
    <row r="178" spans="4:17" s="21" customFormat="1">
      <c r="D178" s="164"/>
      <c r="M178" s="173"/>
      <c r="N178" s="173"/>
      <c r="O178" s="173"/>
      <c r="P178" s="173"/>
      <c r="Q178" s="173"/>
    </row>
    <row r="179" spans="4:17" s="21" customFormat="1">
      <c r="D179" s="164"/>
      <c r="M179" s="173"/>
      <c r="N179" s="173"/>
      <c r="O179" s="173"/>
      <c r="P179" s="173"/>
      <c r="Q179" s="173"/>
    </row>
    <row r="180" spans="4:17" s="21" customFormat="1">
      <c r="D180" s="164"/>
      <c r="M180" s="173"/>
      <c r="N180" s="173"/>
      <c r="O180" s="173"/>
      <c r="P180" s="173"/>
      <c r="Q180" s="173"/>
    </row>
    <row r="181" spans="4:17" s="21" customFormat="1">
      <c r="D181" s="164"/>
      <c r="M181" s="173"/>
      <c r="N181" s="173"/>
      <c r="O181" s="173"/>
      <c r="P181" s="173"/>
      <c r="Q181" s="173"/>
    </row>
    <row r="182" spans="4:17" s="21" customFormat="1">
      <c r="D182" s="164"/>
      <c r="M182" s="173"/>
      <c r="N182" s="173"/>
      <c r="O182" s="173"/>
      <c r="P182" s="173"/>
      <c r="Q182" s="173"/>
    </row>
    <row r="183" spans="4:17" s="21" customFormat="1">
      <c r="D183" s="164"/>
      <c r="M183" s="173"/>
      <c r="N183" s="173"/>
      <c r="O183" s="173"/>
      <c r="P183" s="173"/>
      <c r="Q183" s="173"/>
    </row>
    <row r="184" spans="4:17" s="21" customFormat="1">
      <c r="D184" s="164"/>
      <c r="M184" s="173"/>
      <c r="N184" s="173"/>
      <c r="O184" s="173"/>
      <c r="P184" s="173"/>
      <c r="Q184" s="173"/>
    </row>
    <row r="185" spans="4:17" s="21" customFormat="1">
      <c r="D185" s="164"/>
      <c r="M185" s="173"/>
      <c r="N185" s="173"/>
      <c r="O185" s="173"/>
      <c r="P185" s="173"/>
      <c r="Q185" s="173"/>
    </row>
    <row r="186" spans="4:17" s="21" customFormat="1">
      <c r="D186" s="164"/>
      <c r="M186" s="173"/>
      <c r="N186" s="173"/>
      <c r="O186" s="173"/>
      <c r="P186" s="173"/>
      <c r="Q186" s="173"/>
    </row>
    <row r="187" spans="4:17" s="21" customFormat="1">
      <c r="D187" s="164"/>
      <c r="M187" s="173"/>
      <c r="N187" s="173"/>
      <c r="O187" s="173"/>
      <c r="P187" s="173"/>
      <c r="Q187" s="173"/>
    </row>
    <row r="188" spans="4:17" s="21" customFormat="1">
      <c r="D188" s="164"/>
      <c r="M188" s="173"/>
      <c r="N188" s="173"/>
      <c r="O188" s="173"/>
      <c r="P188" s="173"/>
      <c r="Q188" s="173"/>
    </row>
    <row r="189" spans="4:17" s="21" customFormat="1">
      <c r="D189" s="164"/>
      <c r="M189" s="173"/>
      <c r="N189" s="173"/>
      <c r="O189" s="173"/>
      <c r="P189" s="173"/>
      <c r="Q189" s="173"/>
    </row>
    <row r="190" spans="4:17" s="21" customFormat="1">
      <c r="D190" s="164"/>
      <c r="M190" s="173"/>
      <c r="N190" s="173"/>
      <c r="O190" s="173"/>
      <c r="P190" s="173"/>
      <c r="Q190" s="173"/>
    </row>
    <row r="191" spans="4:17" s="21" customFormat="1">
      <c r="D191" s="164"/>
      <c r="M191" s="173"/>
      <c r="N191" s="173"/>
      <c r="O191" s="173"/>
      <c r="P191" s="173"/>
      <c r="Q191" s="173"/>
    </row>
    <row r="192" spans="4:17" s="21" customFormat="1">
      <c r="D192" s="164"/>
      <c r="M192" s="173"/>
      <c r="N192" s="173"/>
      <c r="O192" s="173"/>
      <c r="P192" s="173"/>
      <c r="Q192" s="173"/>
    </row>
    <row r="193" spans="4:17" s="21" customFormat="1">
      <c r="D193" s="164"/>
      <c r="M193" s="173"/>
      <c r="N193" s="173"/>
      <c r="O193" s="173"/>
      <c r="P193" s="173"/>
      <c r="Q193" s="173"/>
    </row>
    <row r="194" spans="4:17" s="21" customFormat="1">
      <c r="D194" s="164"/>
      <c r="M194" s="173"/>
      <c r="N194" s="173"/>
      <c r="O194" s="173"/>
      <c r="P194" s="173"/>
      <c r="Q194" s="173"/>
    </row>
    <row r="195" spans="4:17" s="21" customFormat="1">
      <c r="D195" s="164"/>
      <c r="M195" s="173"/>
      <c r="N195" s="173"/>
      <c r="O195" s="173"/>
      <c r="P195" s="173"/>
      <c r="Q195" s="173"/>
    </row>
    <row r="196" spans="4:17" s="21" customFormat="1">
      <c r="D196" s="164"/>
      <c r="M196" s="173"/>
      <c r="N196" s="173"/>
      <c r="O196" s="173"/>
      <c r="P196" s="173"/>
      <c r="Q196" s="173"/>
    </row>
    <row r="197" spans="4:17" s="21" customFormat="1">
      <c r="D197" s="164"/>
      <c r="M197" s="173"/>
      <c r="N197" s="173"/>
      <c r="O197" s="173"/>
      <c r="P197" s="173"/>
      <c r="Q197" s="173"/>
    </row>
    <row r="198" spans="4:17" s="21" customFormat="1">
      <c r="D198" s="164"/>
      <c r="M198" s="173"/>
      <c r="N198" s="173"/>
      <c r="O198" s="173"/>
      <c r="P198" s="173"/>
      <c r="Q198" s="173"/>
    </row>
    <row r="199" spans="4:17" s="21" customFormat="1">
      <c r="D199" s="164"/>
      <c r="M199" s="173"/>
      <c r="N199" s="173"/>
      <c r="O199" s="173"/>
      <c r="P199" s="173"/>
      <c r="Q199" s="173"/>
    </row>
    <row r="200" spans="4:17" s="21" customFormat="1">
      <c r="D200" s="164"/>
      <c r="M200" s="173"/>
      <c r="N200" s="173"/>
      <c r="O200" s="173"/>
      <c r="P200" s="173"/>
      <c r="Q200" s="173"/>
    </row>
    <row r="201" spans="4:17" s="21" customFormat="1">
      <c r="D201" s="164"/>
      <c r="M201" s="173"/>
      <c r="N201" s="173"/>
      <c r="O201" s="173"/>
      <c r="P201" s="173"/>
      <c r="Q201" s="173"/>
    </row>
    <row r="202" spans="4:17" s="21" customFormat="1">
      <c r="D202" s="164"/>
      <c r="M202" s="173"/>
      <c r="N202" s="173"/>
      <c r="O202" s="173"/>
      <c r="P202" s="173"/>
      <c r="Q202" s="173"/>
    </row>
    <row r="203" spans="4:17" s="21" customFormat="1">
      <c r="D203" s="164"/>
      <c r="M203" s="173"/>
      <c r="N203" s="173"/>
      <c r="O203" s="173"/>
      <c r="P203" s="173"/>
      <c r="Q203" s="173"/>
    </row>
    <row r="204" spans="4:17" s="21" customFormat="1">
      <c r="D204" s="164"/>
      <c r="M204" s="173"/>
      <c r="N204" s="173"/>
      <c r="O204" s="173"/>
      <c r="P204" s="173"/>
      <c r="Q204" s="173"/>
    </row>
    <row r="205" spans="4:17" s="21" customFormat="1">
      <c r="D205" s="164"/>
      <c r="M205" s="173"/>
      <c r="N205" s="173"/>
      <c r="O205" s="173"/>
      <c r="P205" s="173"/>
      <c r="Q205" s="173"/>
    </row>
    <row r="206" spans="4:17" s="21" customFormat="1">
      <c r="D206" s="164"/>
      <c r="M206" s="173"/>
      <c r="N206" s="173"/>
      <c r="O206" s="173"/>
      <c r="P206" s="173"/>
      <c r="Q206" s="173"/>
    </row>
    <row r="207" spans="4:17" s="21" customFormat="1">
      <c r="D207" s="164"/>
      <c r="M207" s="173"/>
      <c r="N207" s="173"/>
      <c r="O207" s="173"/>
      <c r="P207" s="173"/>
      <c r="Q207" s="173"/>
    </row>
    <row r="208" spans="4:17" s="21" customFormat="1">
      <c r="D208" s="164"/>
      <c r="M208" s="173"/>
      <c r="N208" s="173"/>
      <c r="O208" s="173"/>
      <c r="P208" s="173"/>
      <c r="Q208" s="173"/>
    </row>
    <row r="209" spans="4:17" s="21" customFormat="1">
      <c r="D209" s="164"/>
      <c r="M209" s="173"/>
      <c r="N209" s="173"/>
      <c r="O209" s="173"/>
      <c r="P209" s="173"/>
      <c r="Q209" s="173"/>
    </row>
    <row r="210" spans="4:17" s="21" customFormat="1">
      <c r="D210" s="164"/>
      <c r="M210" s="173"/>
      <c r="N210" s="173"/>
      <c r="O210" s="173"/>
      <c r="P210" s="173"/>
      <c r="Q210" s="173"/>
    </row>
    <row r="211" spans="4:17" s="21" customFormat="1">
      <c r="D211" s="164"/>
      <c r="M211" s="173"/>
      <c r="N211" s="173"/>
      <c r="O211" s="173"/>
      <c r="P211" s="173"/>
      <c r="Q211" s="173"/>
    </row>
    <row r="212" spans="4:17" s="21" customFormat="1">
      <c r="D212" s="164"/>
      <c r="M212" s="173"/>
      <c r="N212" s="173"/>
      <c r="O212" s="173"/>
      <c r="P212" s="173"/>
      <c r="Q212" s="173"/>
    </row>
    <row r="213" spans="4:17" s="21" customFormat="1">
      <c r="D213" s="164"/>
      <c r="M213" s="173"/>
      <c r="N213" s="173"/>
      <c r="O213" s="173"/>
      <c r="P213" s="173"/>
      <c r="Q213" s="173"/>
    </row>
    <row r="214" spans="4:17" s="21" customFormat="1">
      <c r="D214" s="164"/>
      <c r="M214" s="173"/>
      <c r="N214" s="173"/>
      <c r="O214" s="173"/>
      <c r="P214" s="173"/>
      <c r="Q214" s="173"/>
    </row>
    <row r="215" spans="4:17" s="21" customFormat="1">
      <c r="D215" s="164"/>
      <c r="M215" s="173"/>
      <c r="N215" s="173"/>
      <c r="O215" s="173"/>
      <c r="P215" s="173"/>
      <c r="Q215" s="173"/>
    </row>
    <row r="216" spans="4:17" s="21" customFormat="1">
      <c r="D216" s="164"/>
      <c r="M216" s="173"/>
      <c r="N216" s="173"/>
      <c r="O216" s="173"/>
      <c r="P216" s="173"/>
      <c r="Q216" s="173"/>
    </row>
    <row r="217" spans="4:17" s="21" customFormat="1">
      <c r="D217" s="164"/>
      <c r="M217" s="173"/>
      <c r="N217" s="173"/>
      <c r="O217" s="173"/>
      <c r="P217" s="173"/>
      <c r="Q217" s="173"/>
    </row>
    <row r="218" spans="4:17" s="21" customFormat="1">
      <c r="D218" s="164"/>
      <c r="M218" s="173"/>
      <c r="N218" s="173"/>
      <c r="O218" s="173"/>
      <c r="P218" s="173"/>
      <c r="Q218" s="173"/>
    </row>
    <row r="219" spans="4:17" s="21" customFormat="1">
      <c r="D219" s="164"/>
      <c r="M219" s="173"/>
      <c r="N219" s="173"/>
      <c r="O219" s="173"/>
      <c r="P219" s="173"/>
      <c r="Q219" s="173"/>
    </row>
    <row r="220" spans="4:17" s="21" customFormat="1">
      <c r="D220" s="164"/>
      <c r="M220" s="173"/>
      <c r="N220" s="173"/>
      <c r="O220" s="173"/>
      <c r="P220" s="173"/>
      <c r="Q220" s="173"/>
    </row>
    <row r="221" spans="4:17" s="21" customFormat="1">
      <c r="D221" s="164"/>
      <c r="M221" s="173"/>
      <c r="N221" s="173"/>
      <c r="O221" s="173"/>
      <c r="P221" s="173"/>
      <c r="Q221" s="173"/>
    </row>
    <row r="222" spans="4:17" s="21" customFormat="1">
      <c r="D222" s="164"/>
      <c r="M222" s="173"/>
      <c r="N222" s="173"/>
      <c r="O222" s="173"/>
      <c r="P222" s="173"/>
      <c r="Q222" s="173"/>
    </row>
    <row r="223" spans="4:17" s="21" customFormat="1">
      <c r="D223" s="164"/>
      <c r="M223" s="173"/>
      <c r="N223" s="173"/>
      <c r="O223" s="173"/>
      <c r="P223" s="173"/>
      <c r="Q223" s="173"/>
    </row>
    <row r="224" spans="4:17" s="21" customFormat="1">
      <c r="D224" s="164"/>
      <c r="M224" s="173"/>
      <c r="N224" s="173"/>
      <c r="O224" s="173"/>
      <c r="P224" s="173"/>
      <c r="Q224" s="173"/>
    </row>
    <row r="225" spans="4:17" s="21" customFormat="1">
      <c r="D225" s="164"/>
      <c r="M225" s="173"/>
      <c r="N225" s="173"/>
      <c r="O225" s="173"/>
      <c r="P225" s="173"/>
      <c r="Q225" s="173"/>
    </row>
    <row r="226" spans="4:17" s="21" customFormat="1">
      <c r="D226" s="164"/>
      <c r="M226" s="173"/>
      <c r="N226" s="173"/>
      <c r="O226" s="173"/>
      <c r="P226" s="173"/>
      <c r="Q226" s="173"/>
    </row>
    <row r="227" spans="4:17" s="21" customFormat="1">
      <c r="D227" s="164"/>
      <c r="M227" s="173"/>
      <c r="N227" s="173"/>
      <c r="O227" s="173"/>
      <c r="P227" s="173"/>
      <c r="Q227" s="173"/>
    </row>
    <row r="228" spans="4:17" s="21" customFormat="1">
      <c r="D228" s="164"/>
      <c r="M228" s="173"/>
      <c r="N228" s="173"/>
      <c r="O228" s="173"/>
      <c r="P228" s="173"/>
      <c r="Q228" s="173"/>
    </row>
    <row r="229" spans="4:17" s="21" customFormat="1">
      <c r="D229" s="164"/>
      <c r="M229" s="173"/>
      <c r="N229" s="173"/>
      <c r="O229" s="173"/>
      <c r="P229" s="173"/>
      <c r="Q229" s="173"/>
    </row>
    <row r="230" spans="4:17" s="21" customFormat="1">
      <c r="D230" s="164"/>
      <c r="M230" s="173"/>
      <c r="N230" s="173"/>
      <c r="O230" s="173"/>
      <c r="P230" s="173"/>
      <c r="Q230" s="173"/>
    </row>
    <row r="231" spans="4:17" s="21" customFormat="1">
      <c r="D231" s="164"/>
      <c r="M231" s="173"/>
      <c r="N231" s="173"/>
      <c r="O231" s="173"/>
      <c r="P231" s="173"/>
      <c r="Q231" s="173"/>
    </row>
    <row r="232" spans="4:17" s="21" customFormat="1">
      <c r="D232" s="164"/>
      <c r="M232" s="173"/>
      <c r="N232" s="173"/>
      <c r="O232" s="173"/>
      <c r="P232" s="173"/>
      <c r="Q232" s="173"/>
    </row>
    <row r="233" spans="4:17" s="21" customFormat="1">
      <c r="D233" s="164"/>
      <c r="M233" s="173"/>
      <c r="N233" s="173"/>
      <c r="O233" s="173"/>
      <c r="P233" s="173"/>
      <c r="Q233" s="173"/>
    </row>
    <row r="234" spans="4:17" s="21" customFormat="1">
      <c r="D234" s="164"/>
      <c r="M234" s="173"/>
      <c r="N234" s="173"/>
      <c r="O234" s="173"/>
      <c r="P234" s="173"/>
      <c r="Q234" s="173"/>
    </row>
    <row r="235" spans="4:17" s="21" customFormat="1">
      <c r="D235" s="164"/>
      <c r="M235" s="173"/>
      <c r="N235" s="173"/>
      <c r="O235" s="173"/>
      <c r="P235" s="173"/>
      <c r="Q235" s="173"/>
    </row>
    <row r="236" spans="4:17" s="21" customFormat="1">
      <c r="D236" s="164"/>
      <c r="M236" s="173"/>
      <c r="N236" s="173"/>
      <c r="O236" s="173"/>
      <c r="P236" s="173"/>
      <c r="Q236" s="173"/>
    </row>
    <row r="237" spans="4:17" s="21" customFormat="1">
      <c r="D237" s="164"/>
      <c r="M237" s="173"/>
      <c r="N237" s="173"/>
      <c r="O237" s="173"/>
      <c r="P237" s="173"/>
      <c r="Q237" s="173"/>
    </row>
    <row r="238" spans="4:17" s="21" customFormat="1">
      <c r="D238" s="164"/>
      <c r="M238" s="173"/>
      <c r="N238" s="173"/>
      <c r="O238" s="173"/>
      <c r="P238" s="173"/>
      <c r="Q238" s="173"/>
    </row>
    <row r="239" spans="4:17" s="21" customFormat="1">
      <c r="D239" s="164"/>
      <c r="M239" s="173"/>
      <c r="N239" s="173"/>
      <c r="O239" s="173"/>
      <c r="P239" s="173"/>
      <c r="Q239" s="173"/>
    </row>
    <row r="240" spans="4:17" s="21" customFormat="1">
      <c r="D240" s="164"/>
      <c r="M240" s="173"/>
      <c r="N240" s="173"/>
      <c r="O240" s="173"/>
      <c r="P240" s="173"/>
      <c r="Q240" s="173"/>
    </row>
    <row r="241" spans="4:17" s="21" customFormat="1">
      <c r="D241" s="164"/>
      <c r="M241" s="173"/>
      <c r="N241" s="173"/>
      <c r="O241" s="173"/>
      <c r="P241" s="173"/>
      <c r="Q241" s="173"/>
    </row>
    <row r="242" spans="4:17" s="21" customFormat="1">
      <c r="D242" s="164"/>
      <c r="M242" s="173"/>
      <c r="N242" s="173"/>
      <c r="O242" s="173"/>
      <c r="P242" s="173"/>
      <c r="Q242" s="173"/>
    </row>
    <row r="243" spans="4:17" s="21" customFormat="1">
      <c r="D243" s="164"/>
      <c r="M243" s="173"/>
      <c r="N243" s="173"/>
      <c r="O243" s="173"/>
      <c r="P243" s="173"/>
      <c r="Q243" s="173"/>
    </row>
    <row r="244" spans="4:17" s="21" customFormat="1">
      <c r="D244" s="164"/>
      <c r="M244" s="173"/>
      <c r="N244" s="173"/>
      <c r="O244" s="173"/>
      <c r="P244" s="173"/>
      <c r="Q244" s="173"/>
    </row>
    <row r="245" spans="4:17" s="21" customFormat="1">
      <c r="D245" s="164"/>
      <c r="M245" s="173"/>
      <c r="N245" s="173"/>
      <c r="O245" s="173"/>
      <c r="P245" s="173"/>
      <c r="Q245" s="173"/>
    </row>
    <row r="246" spans="4:17" s="21" customFormat="1">
      <c r="D246" s="164"/>
      <c r="M246" s="173"/>
      <c r="N246" s="173"/>
      <c r="O246" s="173"/>
      <c r="P246" s="173"/>
      <c r="Q246" s="173"/>
    </row>
    <row r="247" spans="4:17" s="21" customFormat="1">
      <c r="D247" s="164"/>
      <c r="M247" s="173"/>
      <c r="N247" s="173"/>
      <c r="O247" s="173"/>
      <c r="P247" s="173"/>
      <c r="Q247" s="173"/>
    </row>
    <row r="248" spans="4:17" s="21" customFormat="1">
      <c r="D248" s="164"/>
      <c r="M248" s="173"/>
      <c r="N248" s="173"/>
      <c r="O248" s="173"/>
      <c r="P248" s="173"/>
      <c r="Q248" s="173"/>
    </row>
    <row r="249" spans="4:17" s="21" customFormat="1">
      <c r="D249" s="164"/>
      <c r="M249" s="173"/>
      <c r="N249" s="173"/>
      <c r="O249" s="173"/>
      <c r="P249" s="173"/>
      <c r="Q249" s="173"/>
    </row>
    <row r="250" spans="4:17" s="21" customFormat="1">
      <c r="D250" s="164"/>
      <c r="M250" s="173"/>
      <c r="N250" s="173"/>
      <c r="O250" s="173"/>
      <c r="P250" s="173"/>
      <c r="Q250" s="173"/>
    </row>
    <row r="251" spans="4:17" s="21" customFormat="1">
      <c r="D251" s="164"/>
      <c r="M251" s="173"/>
      <c r="N251" s="173"/>
      <c r="O251" s="173"/>
      <c r="P251" s="173"/>
      <c r="Q251" s="173"/>
    </row>
    <row r="252" spans="4:17" s="21" customFormat="1">
      <c r="D252" s="164"/>
      <c r="M252" s="173"/>
      <c r="N252" s="173"/>
      <c r="O252" s="173"/>
      <c r="P252" s="173"/>
      <c r="Q252" s="173"/>
    </row>
    <row r="253" spans="4:17" s="21" customFormat="1">
      <c r="D253" s="164"/>
      <c r="M253" s="173"/>
      <c r="N253" s="173"/>
      <c r="O253" s="173"/>
      <c r="P253" s="173"/>
      <c r="Q253" s="173"/>
    </row>
    <row r="254" spans="4:17" s="21" customFormat="1">
      <c r="D254" s="164"/>
      <c r="M254" s="173"/>
      <c r="N254" s="173"/>
      <c r="O254" s="173"/>
      <c r="P254" s="173"/>
      <c r="Q254" s="173"/>
    </row>
    <row r="255" spans="4:17" s="21" customFormat="1">
      <c r="D255" s="164"/>
      <c r="M255" s="173"/>
      <c r="N255" s="173"/>
      <c r="O255" s="173"/>
      <c r="P255" s="173"/>
      <c r="Q255" s="173"/>
    </row>
    <row r="256" spans="4:17" s="21" customFormat="1">
      <c r="D256" s="164"/>
      <c r="M256" s="173"/>
      <c r="N256" s="173"/>
      <c r="O256" s="173"/>
      <c r="P256" s="173"/>
      <c r="Q256" s="173"/>
    </row>
    <row r="257" spans="4:17" s="21" customFormat="1">
      <c r="D257" s="164"/>
      <c r="M257" s="173"/>
      <c r="N257" s="173"/>
      <c r="O257" s="173"/>
      <c r="P257" s="173"/>
      <c r="Q257" s="173"/>
    </row>
    <row r="258" spans="4:17" s="21" customFormat="1">
      <c r="D258" s="164"/>
      <c r="M258" s="173"/>
      <c r="N258" s="173"/>
      <c r="O258" s="173"/>
      <c r="P258" s="173"/>
      <c r="Q258" s="173"/>
    </row>
    <row r="259" spans="4:17" s="21" customFormat="1">
      <c r="D259" s="164"/>
      <c r="M259" s="173"/>
      <c r="N259" s="173"/>
      <c r="O259" s="173"/>
      <c r="P259" s="173"/>
      <c r="Q259" s="173"/>
    </row>
    <row r="260" spans="4:17" s="21" customFormat="1">
      <c r="D260" s="164"/>
      <c r="M260" s="173"/>
      <c r="N260" s="173"/>
      <c r="O260" s="173"/>
      <c r="P260" s="173"/>
      <c r="Q260" s="173"/>
    </row>
    <row r="261" spans="4:17" s="21" customFormat="1">
      <c r="D261" s="164"/>
      <c r="M261" s="173"/>
      <c r="N261" s="173"/>
      <c r="O261" s="173"/>
      <c r="P261" s="173"/>
      <c r="Q261" s="173"/>
    </row>
    <row r="262" spans="4:17" s="21" customFormat="1">
      <c r="D262" s="164"/>
      <c r="M262" s="173"/>
      <c r="N262" s="173"/>
      <c r="O262" s="173"/>
      <c r="P262" s="173"/>
      <c r="Q262" s="173"/>
    </row>
    <row r="263" spans="4:17" s="21" customFormat="1">
      <c r="D263" s="164"/>
      <c r="M263" s="173"/>
      <c r="N263" s="173"/>
      <c r="O263" s="173"/>
      <c r="P263" s="173"/>
      <c r="Q263" s="173"/>
    </row>
    <row r="264" spans="4:17" s="21" customFormat="1">
      <c r="D264" s="164"/>
      <c r="M264" s="173"/>
      <c r="N264" s="173"/>
      <c r="O264" s="173"/>
      <c r="P264" s="173"/>
      <c r="Q264" s="173"/>
    </row>
    <row r="265" spans="4:17" s="21" customFormat="1">
      <c r="D265" s="164"/>
      <c r="M265" s="173"/>
      <c r="N265" s="173"/>
      <c r="O265" s="173"/>
      <c r="P265" s="173"/>
      <c r="Q265" s="173"/>
    </row>
    <row r="266" spans="4:17" s="21" customFormat="1">
      <c r="D266" s="164"/>
      <c r="M266" s="173"/>
      <c r="N266" s="173"/>
      <c r="O266" s="173"/>
      <c r="P266" s="173"/>
      <c r="Q266" s="173"/>
    </row>
    <row r="267" spans="4:17" s="21" customFormat="1">
      <c r="D267" s="164"/>
      <c r="M267" s="173"/>
      <c r="N267" s="173"/>
      <c r="O267" s="173"/>
      <c r="P267" s="173"/>
      <c r="Q267" s="173"/>
    </row>
    <row r="268" spans="4:17" s="21" customFormat="1">
      <c r="D268" s="164"/>
      <c r="M268" s="173"/>
      <c r="N268" s="173"/>
      <c r="O268" s="173"/>
      <c r="P268" s="173"/>
      <c r="Q268" s="173"/>
    </row>
    <row r="269" spans="4:17" s="21" customFormat="1">
      <c r="D269" s="164"/>
      <c r="M269" s="173"/>
      <c r="N269" s="173"/>
      <c r="O269" s="173"/>
      <c r="P269" s="173"/>
      <c r="Q269" s="173"/>
    </row>
    <row r="270" spans="4:17" s="21" customFormat="1">
      <c r="D270" s="164"/>
      <c r="M270" s="173"/>
      <c r="N270" s="173"/>
      <c r="O270" s="173"/>
      <c r="P270" s="173"/>
      <c r="Q270" s="173"/>
    </row>
    <row r="271" spans="4:17" s="21" customFormat="1">
      <c r="D271" s="164"/>
      <c r="M271" s="173"/>
      <c r="N271" s="173"/>
      <c r="O271" s="173"/>
      <c r="P271" s="173"/>
      <c r="Q271" s="173"/>
    </row>
    <row r="272" spans="4:17" s="21" customFormat="1">
      <c r="D272" s="164"/>
      <c r="M272" s="173"/>
      <c r="N272" s="173"/>
      <c r="O272" s="173"/>
      <c r="P272" s="173"/>
      <c r="Q272" s="173"/>
    </row>
    <row r="273" spans="4:17" s="21" customFormat="1">
      <c r="D273" s="164"/>
      <c r="M273" s="173"/>
      <c r="N273" s="173"/>
      <c r="O273" s="173"/>
      <c r="P273" s="173"/>
      <c r="Q273" s="173"/>
    </row>
    <row r="274" spans="4:17" s="21" customFormat="1">
      <c r="D274" s="164"/>
      <c r="M274" s="173"/>
      <c r="N274" s="173"/>
      <c r="O274" s="173"/>
      <c r="P274" s="173"/>
      <c r="Q274" s="173"/>
    </row>
    <row r="275" spans="4:17" s="21" customFormat="1">
      <c r="D275" s="164"/>
      <c r="M275" s="173"/>
      <c r="N275" s="173"/>
      <c r="O275" s="173"/>
      <c r="P275" s="173"/>
      <c r="Q275" s="173"/>
    </row>
    <row r="276" spans="4:17" s="21" customFormat="1">
      <c r="D276" s="164"/>
      <c r="M276" s="173"/>
      <c r="N276" s="173"/>
      <c r="O276" s="173"/>
      <c r="P276" s="173"/>
      <c r="Q276" s="173"/>
    </row>
    <row r="277" spans="4:17" s="21" customFormat="1">
      <c r="D277" s="164"/>
      <c r="M277" s="173"/>
      <c r="N277" s="173"/>
      <c r="O277" s="173"/>
      <c r="P277" s="173"/>
      <c r="Q277" s="173"/>
    </row>
    <row r="278" spans="4:17" s="21" customFormat="1">
      <c r="D278" s="164"/>
      <c r="M278" s="173"/>
      <c r="N278" s="173"/>
      <c r="O278" s="173"/>
      <c r="P278" s="173"/>
      <c r="Q278" s="173"/>
    </row>
    <row r="279" spans="4:17" s="21" customFormat="1">
      <c r="D279" s="164"/>
      <c r="M279" s="173"/>
      <c r="N279" s="173"/>
      <c r="O279" s="173"/>
      <c r="P279" s="173"/>
      <c r="Q279" s="173"/>
    </row>
    <row r="280" spans="4:17" s="21" customFormat="1">
      <c r="D280" s="164"/>
      <c r="M280" s="173"/>
      <c r="N280" s="173"/>
      <c r="O280" s="173"/>
      <c r="P280" s="173"/>
      <c r="Q280" s="173"/>
    </row>
    <row r="281" spans="4:17" s="21" customFormat="1">
      <c r="D281" s="164"/>
      <c r="M281" s="173"/>
      <c r="N281" s="173"/>
      <c r="O281" s="173"/>
      <c r="P281" s="173"/>
      <c r="Q281" s="173"/>
    </row>
    <row r="282" spans="4:17" s="21" customFormat="1">
      <c r="D282" s="164"/>
      <c r="M282" s="173"/>
      <c r="N282" s="173"/>
      <c r="O282" s="173"/>
      <c r="P282" s="173"/>
      <c r="Q282" s="173"/>
    </row>
    <row r="283" spans="4:17" s="21" customFormat="1">
      <c r="D283" s="164"/>
      <c r="M283" s="173"/>
      <c r="N283" s="173"/>
      <c r="O283" s="173"/>
      <c r="P283" s="173"/>
      <c r="Q283" s="173"/>
    </row>
    <row r="284" spans="4:17" s="21" customFormat="1">
      <c r="D284" s="164"/>
      <c r="M284" s="173"/>
      <c r="N284" s="173"/>
      <c r="O284" s="173"/>
      <c r="P284" s="173"/>
      <c r="Q284" s="173"/>
    </row>
    <row r="285" spans="4:17" s="21" customFormat="1">
      <c r="D285" s="164"/>
      <c r="M285" s="173"/>
      <c r="N285" s="173"/>
      <c r="O285" s="173"/>
      <c r="P285" s="173"/>
      <c r="Q285" s="173"/>
    </row>
    <row r="286" spans="4:17" s="21" customFormat="1">
      <c r="D286" s="164"/>
      <c r="M286" s="173"/>
      <c r="N286" s="173"/>
      <c r="O286" s="173"/>
      <c r="P286" s="173"/>
      <c r="Q286" s="173"/>
    </row>
    <row r="287" spans="4:17" s="21" customFormat="1">
      <c r="D287" s="164"/>
      <c r="M287" s="173"/>
      <c r="N287" s="173"/>
      <c r="O287" s="173"/>
      <c r="P287" s="173"/>
      <c r="Q287" s="173"/>
    </row>
    <row r="288" spans="4:17" s="21" customFormat="1">
      <c r="D288" s="164"/>
      <c r="M288" s="173"/>
      <c r="N288" s="173"/>
      <c r="O288" s="173"/>
      <c r="P288" s="173"/>
      <c r="Q288" s="173"/>
    </row>
    <row r="289" spans="4:17" s="21" customFormat="1">
      <c r="D289" s="164"/>
      <c r="M289" s="173"/>
      <c r="N289" s="173"/>
      <c r="O289" s="173"/>
      <c r="P289" s="173"/>
      <c r="Q289" s="173"/>
    </row>
    <row r="290" spans="4:17" s="21" customFormat="1">
      <c r="D290" s="164"/>
      <c r="M290" s="173"/>
      <c r="N290" s="173"/>
      <c r="O290" s="173"/>
      <c r="P290" s="173"/>
      <c r="Q290" s="173"/>
    </row>
    <row r="291" spans="4:17" s="21" customFormat="1">
      <c r="D291" s="164"/>
      <c r="M291" s="173"/>
      <c r="N291" s="173"/>
      <c r="O291" s="173"/>
      <c r="P291" s="173"/>
      <c r="Q291" s="173"/>
    </row>
    <row r="292" spans="4:17" s="21" customFormat="1">
      <c r="D292" s="164"/>
      <c r="M292" s="173"/>
      <c r="N292" s="173"/>
      <c r="O292" s="173"/>
      <c r="P292" s="173"/>
      <c r="Q292" s="173"/>
    </row>
    <row r="293" spans="4:17" s="21" customFormat="1">
      <c r="D293" s="164"/>
      <c r="M293" s="173"/>
      <c r="N293" s="173"/>
      <c r="O293" s="173"/>
      <c r="P293" s="173"/>
      <c r="Q293" s="173"/>
    </row>
    <row r="294" spans="4:17" s="21" customFormat="1">
      <c r="D294" s="164"/>
      <c r="M294" s="173"/>
      <c r="N294" s="173"/>
      <c r="O294" s="173"/>
      <c r="P294" s="173"/>
      <c r="Q294" s="173"/>
    </row>
    <row r="295" spans="4:17" s="21" customFormat="1">
      <c r="D295" s="164"/>
      <c r="M295" s="173"/>
      <c r="N295" s="173"/>
      <c r="O295" s="173"/>
      <c r="P295" s="173"/>
      <c r="Q295" s="173"/>
    </row>
    <row r="296" spans="4:17" s="21" customFormat="1">
      <c r="D296" s="164"/>
      <c r="M296" s="173"/>
      <c r="N296" s="173"/>
      <c r="O296" s="173"/>
      <c r="P296" s="173"/>
      <c r="Q296" s="173"/>
    </row>
    <row r="297" spans="4:17" s="21" customFormat="1">
      <c r="D297" s="164"/>
      <c r="M297" s="173"/>
      <c r="N297" s="173"/>
      <c r="O297" s="173"/>
      <c r="P297" s="173"/>
      <c r="Q297" s="173"/>
    </row>
    <row r="298" spans="4:17" s="21" customFormat="1">
      <c r="D298" s="164"/>
      <c r="M298" s="173"/>
      <c r="N298" s="173"/>
      <c r="O298" s="173"/>
      <c r="P298" s="173"/>
      <c r="Q298" s="173"/>
    </row>
    <row r="299" spans="4:17" s="21" customFormat="1">
      <c r="D299" s="164"/>
      <c r="M299" s="173"/>
      <c r="N299" s="173"/>
      <c r="O299" s="173"/>
      <c r="P299" s="173"/>
      <c r="Q299" s="173"/>
    </row>
    <row r="300" spans="4:17" s="21" customFormat="1">
      <c r="D300" s="164"/>
      <c r="M300" s="173"/>
      <c r="N300" s="173"/>
      <c r="O300" s="173"/>
      <c r="P300" s="173"/>
      <c r="Q300" s="173"/>
    </row>
    <row r="301" spans="4:17" s="21" customFormat="1">
      <c r="D301" s="164"/>
      <c r="M301" s="173"/>
      <c r="N301" s="173"/>
      <c r="O301" s="173"/>
      <c r="P301" s="173"/>
      <c r="Q301" s="173"/>
    </row>
    <row r="302" spans="4:17" s="21" customFormat="1">
      <c r="D302" s="164"/>
      <c r="M302" s="173"/>
      <c r="N302" s="173"/>
      <c r="O302" s="173"/>
      <c r="P302" s="173"/>
      <c r="Q302" s="173"/>
    </row>
    <row r="303" spans="4:17" s="21" customFormat="1">
      <c r="D303" s="164"/>
      <c r="M303" s="173"/>
      <c r="N303" s="173"/>
      <c r="O303" s="173"/>
      <c r="P303" s="173"/>
      <c r="Q303" s="173"/>
    </row>
    <row r="304" spans="4:17" s="21" customFormat="1">
      <c r="D304" s="164"/>
      <c r="M304" s="173"/>
      <c r="N304" s="173"/>
      <c r="O304" s="173"/>
      <c r="P304" s="173"/>
      <c r="Q304" s="173"/>
    </row>
    <row r="305" spans="4:17" s="21" customFormat="1">
      <c r="D305" s="164"/>
      <c r="M305" s="173"/>
      <c r="N305" s="173"/>
      <c r="O305" s="173"/>
      <c r="P305" s="173"/>
      <c r="Q305" s="173"/>
    </row>
    <row r="306" spans="4:17" s="21" customFormat="1">
      <c r="D306" s="164"/>
      <c r="M306" s="173"/>
      <c r="N306" s="173"/>
      <c r="O306" s="173"/>
      <c r="P306" s="173"/>
      <c r="Q306" s="173"/>
    </row>
    <row r="307" spans="4:17" s="21" customFormat="1">
      <c r="D307" s="164"/>
      <c r="M307" s="173"/>
      <c r="N307" s="173"/>
      <c r="O307" s="173"/>
      <c r="P307" s="173"/>
      <c r="Q307" s="173"/>
    </row>
    <row r="308" spans="4:17" s="21" customFormat="1">
      <c r="D308" s="164"/>
      <c r="M308" s="173"/>
      <c r="N308" s="173"/>
      <c r="O308" s="173"/>
      <c r="P308" s="173"/>
      <c r="Q308" s="173"/>
    </row>
    <row r="309" spans="4:17" s="21" customFormat="1">
      <c r="D309" s="164"/>
      <c r="M309" s="173"/>
      <c r="N309" s="173"/>
      <c r="O309" s="173"/>
      <c r="P309" s="173"/>
      <c r="Q309" s="173"/>
    </row>
    <row r="310" spans="4:17" s="21" customFormat="1">
      <c r="D310" s="164"/>
      <c r="M310" s="173"/>
      <c r="N310" s="173"/>
      <c r="O310" s="173"/>
      <c r="P310" s="173"/>
      <c r="Q310" s="173"/>
    </row>
    <row r="311" spans="4:17" s="21" customFormat="1">
      <c r="D311" s="164"/>
      <c r="M311" s="173"/>
      <c r="N311" s="173"/>
      <c r="O311" s="173"/>
      <c r="P311" s="173"/>
      <c r="Q311" s="173"/>
    </row>
    <row r="312" spans="4:17" s="21" customFormat="1">
      <c r="D312" s="164"/>
      <c r="M312" s="173"/>
      <c r="N312" s="173"/>
      <c r="O312" s="173"/>
      <c r="P312" s="173"/>
      <c r="Q312" s="173"/>
    </row>
    <row r="313" spans="4:17" s="21" customFormat="1">
      <c r="D313" s="164"/>
      <c r="M313" s="173"/>
      <c r="N313" s="173"/>
      <c r="O313" s="173"/>
      <c r="P313" s="173"/>
      <c r="Q313" s="173"/>
    </row>
    <row r="314" spans="4:17" s="21" customFormat="1">
      <c r="D314" s="164"/>
      <c r="M314" s="173"/>
      <c r="N314" s="173"/>
      <c r="O314" s="173"/>
      <c r="P314" s="173"/>
      <c r="Q314" s="173"/>
    </row>
    <row r="315" spans="4:17" s="21" customFormat="1">
      <c r="D315" s="164"/>
      <c r="M315" s="173"/>
      <c r="N315" s="173"/>
      <c r="O315" s="173"/>
      <c r="P315" s="173"/>
      <c r="Q315" s="173"/>
    </row>
    <row r="316" spans="4:17" s="21" customFormat="1">
      <c r="D316" s="164"/>
      <c r="M316" s="173"/>
      <c r="N316" s="173"/>
      <c r="O316" s="173"/>
      <c r="P316" s="173"/>
      <c r="Q316" s="173"/>
    </row>
    <row r="317" spans="4:17" s="21" customFormat="1">
      <c r="D317" s="164"/>
      <c r="M317" s="173"/>
      <c r="N317" s="173"/>
      <c r="O317" s="173"/>
      <c r="P317" s="173"/>
      <c r="Q317" s="173"/>
    </row>
    <row r="318" spans="4:17" s="21" customFormat="1">
      <c r="D318" s="164"/>
      <c r="M318" s="173"/>
      <c r="N318" s="173"/>
      <c r="O318" s="173"/>
      <c r="P318" s="173"/>
      <c r="Q318" s="173"/>
    </row>
    <row r="319" spans="4:17" s="21" customFormat="1">
      <c r="D319" s="164"/>
      <c r="M319" s="173"/>
      <c r="N319" s="173"/>
      <c r="O319" s="173"/>
      <c r="P319" s="173"/>
      <c r="Q319" s="173"/>
    </row>
    <row r="320" spans="4:17" s="21" customFormat="1">
      <c r="D320" s="164"/>
      <c r="M320" s="173"/>
      <c r="N320" s="173"/>
      <c r="O320" s="173"/>
      <c r="P320" s="173"/>
      <c r="Q320" s="173"/>
    </row>
    <row r="321" spans="4:17" s="21" customFormat="1">
      <c r="D321" s="164"/>
      <c r="M321" s="173"/>
      <c r="N321" s="173"/>
      <c r="O321" s="173"/>
      <c r="P321" s="173"/>
      <c r="Q321" s="173"/>
    </row>
    <row r="322" spans="4:17" s="21" customFormat="1">
      <c r="D322" s="164"/>
      <c r="M322" s="173"/>
      <c r="N322" s="173"/>
      <c r="O322" s="173"/>
      <c r="P322" s="173"/>
      <c r="Q322" s="173"/>
    </row>
    <row r="323" spans="4:17" s="21" customFormat="1">
      <c r="D323" s="164"/>
      <c r="M323" s="173"/>
      <c r="N323" s="173"/>
      <c r="O323" s="173"/>
      <c r="P323" s="173"/>
      <c r="Q323" s="173"/>
    </row>
    <row r="324" spans="4:17" s="21" customFormat="1">
      <c r="D324" s="164"/>
      <c r="M324" s="173"/>
      <c r="N324" s="173"/>
      <c r="O324" s="173"/>
      <c r="P324" s="173"/>
      <c r="Q324" s="173"/>
    </row>
    <row r="325" spans="4:17" s="21" customFormat="1">
      <c r="D325" s="164"/>
      <c r="M325" s="173"/>
      <c r="N325" s="173"/>
      <c r="O325" s="173"/>
      <c r="P325" s="173"/>
      <c r="Q325" s="173"/>
    </row>
    <row r="326" spans="4:17" s="21" customFormat="1">
      <c r="D326" s="164"/>
      <c r="M326" s="173"/>
      <c r="N326" s="173"/>
      <c r="O326" s="173"/>
      <c r="P326" s="173"/>
      <c r="Q326" s="173"/>
    </row>
    <row r="327" spans="4:17" s="21" customFormat="1">
      <c r="D327" s="164"/>
      <c r="M327" s="173"/>
      <c r="N327" s="173"/>
      <c r="O327" s="173"/>
      <c r="P327" s="173"/>
      <c r="Q327" s="173"/>
    </row>
    <row r="328" spans="4:17" s="21" customFormat="1">
      <c r="D328" s="164"/>
      <c r="M328" s="173"/>
      <c r="N328" s="173"/>
      <c r="O328" s="173"/>
      <c r="P328" s="173"/>
      <c r="Q328" s="173"/>
    </row>
    <row r="329" spans="4:17" s="21" customFormat="1">
      <c r="D329" s="164"/>
      <c r="M329" s="173"/>
      <c r="N329" s="173"/>
      <c r="O329" s="173"/>
      <c r="P329" s="173"/>
      <c r="Q329" s="173"/>
    </row>
    <row r="330" spans="4:17" s="21" customFormat="1">
      <c r="D330" s="164"/>
    </row>
    <row r="331" spans="4:17" s="21" customFormat="1">
      <c r="D331" s="164"/>
    </row>
    <row r="332" spans="4:17" s="21" customFormat="1">
      <c r="D332" s="164"/>
    </row>
    <row r="333" spans="4:17" s="21" customFormat="1">
      <c r="D333" s="164"/>
    </row>
    <row r="334" spans="4:17" s="21" customFormat="1">
      <c r="D334" s="164"/>
    </row>
    <row r="335" spans="4:17" s="21" customFormat="1">
      <c r="D335" s="164"/>
    </row>
    <row r="336" spans="4:17" s="21" customFormat="1">
      <c r="D336" s="164"/>
    </row>
    <row r="337" spans="4:4" s="21" customFormat="1">
      <c r="D337" s="164"/>
    </row>
    <row r="338" spans="4:4" s="21" customFormat="1">
      <c r="D338" s="164"/>
    </row>
    <row r="339" spans="4:4" s="21" customFormat="1">
      <c r="D339" s="164"/>
    </row>
    <row r="340" spans="4:4" s="21" customFormat="1">
      <c r="D340" s="164"/>
    </row>
    <row r="341" spans="4:4" s="21" customFormat="1">
      <c r="D341" s="164"/>
    </row>
    <row r="342" spans="4:4" s="21" customFormat="1">
      <c r="D342" s="164"/>
    </row>
    <row r="343" spans="4:4" s="21" customFormat="1">
      <c r="D343" s="164"/>
    </row>
    <row r="344" spans="4:4" s="21" customFormat="1">
      <c r="D344" s="164"/>
    </row>
    <row r="345" spans="4:4" s="21" customFormat="1">
      <c r="D345" s="164"/>
    </row>
    <row r="346" spans="4:4" s="21" customFormat="1">
      <c r="D346" s="164"/>
    </row>
    <row r="347" spans="4:4" s="21" customFormat="1">
      <c r="D347" s="164"/>
    </row>
    <row r="348" spans="4:4" s="21" customFormat="1">
      <c r="D348" s="164"/>
    </row>
    <row r="349" spans="4:4" s="21" customFormat="1">
      <c r="D349" s="164"/>
    </row>
    <row r="350" spans="4:4" s="21" customFormat="1">
      <c r="D350" s="164"/>
    </row>
    <row r="351" spans="4:4" s="21" customFormat="1">
      <c r="D351" s="164"/>
    </row>
    <row r="352" spans="4:4" s="21" customFormat="1">
      <c r="D352" s="164"/>
    </row>
    <row r="353" spans="4:4" s="21" customFormat="1">
      <c r="D353" s="164"/>
    </row>
    <row r="354" spans="4:4" s="21" customFormat="1">
      <c r="D354" s="164"/>
    </row>
    <row r="355" spans="4:4" s="21" customFormat="1">
      <c r="D355" s="164"/>
    </row>
    <row r="356" spans="4:4" s="21" customFormat="1">
      <c r="D356" s="164"/>
    </row>
    <row r="357" spans="4:4" s="21" customFormat="1">
      <c r="D357" s="164"/>
    </row>
    <row r="358" spans="4:4" s="21" customFormat="1">
      <c r="D358" s="164"/>
    </row>
    <row r="359" spans="4:4" s="21" customFormat="1">
      <c r="D359" s="164"/>
    </row>
    <row r="360" spans="4:4" s="21" customFormat="1">
      <c r="D360" s="164"/>
    </row>
    <row r="361" spans="4:4" s="21" customFormat="1">
      <c r="D361" s="164"/>
    </row>
    <row r="362" spans="4:4" s="21" customFormat="1">
      <c r="D362" s="164"/>
    </row>
    <row r="363" spans="4:4" s="21" customFormat="1">
      <c r="D363" s="164"/>
    </row>
    <row r="364" spans="4:4" s="21" customFormat="1">
      <c r="D364" s="164"/>
    </row>
    <row r="365" spans="4:4" s="21" customFormat="1">
      <c r="D365" s="164"/>
    </row>
    <row r="366" spans="4:4" s="21" customFormat="1">
      <c r="D366" s="164"/>
    </row>
    <row r="367" spans="4:4" s="21" customFormat="1">
      <c r="D367" s="164"/>
    </row>
    <row r="368" spans="4:4" s="21" customFormat="1">
      <c r="D368" s="164"/>
    </row>
    <row r="369" spans="4:4" s="21" customFormat="1">
      <c r="D369" s="164"/>
    </row>
    <row r="370" spans="4:4" s="21" customFormat="1">
      <c r="D370" s="164"/>
    </row>
    <row r="371" spans="4:4" s="21" customFormat="1">
      <c r="D371" s="164"/>
    </row>
    <row r="372" spans="4:4" s="21" customFormat="1">
      <c r="D372" s="164"/>
    </row>
    <row r="373" spans="4:4" s="21" customFormat="1">
      <c r="D373" s="164"/>
    </row>
    <row r="374" spans="4:4" s="21" customFormat="1">
      <c r="D374" s="164"/>
    </row>
    <row r="375" spans="4:4" s="21" customFormat="1">
      <c r="D375" s="164"/>
    </row>
    <row r="376" spans="4:4" s="21" customFormat="1">
      <c r="D376" s="164"/>
    </row>
    <row r="377" spans="4:4" s="21" customFormat="1">
      <c r="D377" s="164"/>
    </row>
    <row r="378" spans="4:4" s="21" customFormat="1">
      <c r="D378" s="164"/>
    </row>
    <row r="379" spans="4:4" s="21" customFormat="1">
      <c r="D379" s="164"/>
    </row>
    <row r="380" spans="4:4" s="21" customFormat="1">
      <c r="D380" s="164"/>
    </row>
    <row r="381" spans="4:4" s="21" customFormat="1">
      <c r="D381" s="164"/>
    </row>
    <row r="382" spans="4:4" s="21" customFormat="1">
      <c r="D382" s="164"/>
    </row>
    <row r="383" spans="4:4" s="21" customFormat="1">
      <c r="D383" s="164"/>
    </row>
    <row r="384" spans="4:4" s="21" customFormat="1">
      <c r="D384" s="164"/>
    </row>
    <row r="385" spans="4:4" s="21" customFormat="1">
      <c r="D385" s="164"/>
    </row>
    <row r="386" spans="4:4" s="21" customFormat="1">
      <c r="D386" s="164"/>
    </row>
    <row r="387" spans="4:4" s="21" customFormat="1">
      <c r="D387" s="164"/>
    </row>
    <row r="388" spans="4:4" s="21" customFormat="1">
      <c r="D388" s="164"/>
    </row>
    <row r="389" spans="4:4" s="21" customFormat="1">
      <c r="D389" s="164"/>
    </row>
    <row r="390" spans="4:4" s="21" customFormat="1">
      <c r="D390" s="164"/>
    </row>
    <row r="391" spans="4:4" s="21" customFormat="1">
      <c r="D391" s="164"/>
    </row>
    <row r="392" spans="4:4" s="21" customFormat="1">
      <c r="D392" s="164"/>
    </row>
    <row r="393" spans="4:4" s="21" customFormat="1">
      <c r="D393" s="164"/>
    </row>
    <row r="394" spans="4:4" s="21" customFormat="1">
      <c r="D394" s="164"/>
    </row>
    <row r="395" spans="4:4" s="21" customFormat="1">
      <c r="D395" s="164"/>
    </row>
    <row r="396" spans="4:4" s="21" customFormat="1">
      <c r="D396" s="164"/>
    </row>
    <row r="397" spans="4:4" s="21" customFormat="1">
      <c r="D397" s="164"/>
    </row>
    <row r="398" spans="4:4" s="21" customFormat="1">
      <c r="D398" s="164"/>
    </row>
    <row r="399" spans="4:4" s="21" customFormat="1">
      <c r="D399" s="164"/>
    </row>
    <row r="400" spans="4:4" s="21" customFormat="1">
      <c r="D400" s="164"/>
    </row>
    <row r="401" spans="4:4" s="21" customFormat="1">
      <c r="D401" s="164"/>
    </row>
    <row r="402" spans="4:4" s="21" customFormat="1">
      <c r="D402" s="164"/>
    </row>
    <row r="403" spans="4:4" s="21" customFormat="1">
      <c r="D403" s="164"/>
    </row>
    <row r="404" spans="4:4" s="21" customFormat="1">
      <c r="D404" s="164"/>
    </row>
    <row r="405" spans="4:4" s="21" customFormat="1">
      <c r="D405" s="164"/>
    </row>
    <row r="406" spans="4:4" s="21" customFormat="1">
      <c r="D406" s="164"/>
    </row>
    <row r="407" spans="4:4" s="21" customFormat="1">
      <c r="D407" s="164"/>
    </row>
    <row r="408" spans="4:4" s="21" customFormat="1">
      <c r="D408" s="164"/>
    </row>
    <row r="409" spans="4:4" s="21" customFormat="1">
      <c r="D409" s="164"/>
    </row>
    <row r="410" spans="4:4" s="21" customFormat="1">
      <c r="D410" s="164"/>
    </row>
    <row r="411" spans="4:4" s="21" customFormat="1">
      <c r="D411" s="164"/>
    </row>
    <row r="412" spans="4:4" s="21" customFormat="1">
      <c r="D412" s="164"/>
    </row>
    <row r="413" spans="4:4" s="21" customFormat="1">
      <c r="D413" s="164"/>
    </row>
    <row r="414" spans="4:4" s="21" customFormat="1">
      <c r="D414" s="164"/>
    </row>
    <row r="415" spans="4:4" s="21" customFormat="1">
      <c r="D415" s="164"/>
    </row>
    <row r="416" spans="4:4" s="21" customFormat="1">
      <c r="D416" s="164"/>
    </row>
    <row r="417" spans="4:4" s="21" customFormat="1">
      <c r="D417" s="164"/>
    </row>
    <row r="418" spans="4:4" s="21" customFormat="1">
      <c r="D418" s="164"/>
    </row>
    <row r="419" spans="4:4" s="21" customFormat="1">
      <c r="D419" s="164"/>
    </row>
    <row r="420" spans="4:4" s="21" customFormat="1">
      <c r="D420" s="164"/>
    </row>
    <row r="421" spans="4:4" s="21" customFormat="1">
      <c r="D421" s="164"/>
    </row>
    <row r="422" spans="4:4" s="21" customFormat="1">
      <c r="D422" s="164"/>
    </row>
    <row r="423" spans="4:4" s="21" customFormat="1">
      <c r="D423" s="164"/>
    </row>
    <row r="424" spans="4:4" s="21" customFormat="1">
      <c r="D424" s="164"/>
    </row>
    <row r="425" spans="4:4" s="21" customFormat="1">
      <c r="D425" s="164"/>
    </row>
    <row r="426" spans="4:4" s="21" customFormat="1">
      <c r="D426" s="164"/>
    </row>
    <row r="427" spans="4:4" s="21" customFormat="1">
      <c r="D427" s="164"/>
    </row>
    <row r="428" spans="4:4" s="21" customFormat="1">
      <c r="D428" s="164"/>
    </row>
    <row r="429" spans="4:4" s="21" customFormat="1">
      <c r="D429" s="164"/>
    </row>
    <row r="430" spans="4:4" s="21" customFormat="1">
      <c r="D430" s="164"/>
    </row>
    <row r="431" spans="4:4" s="21" customFormat="1">
      <c r="D431" s="164"/>
    </row>
    <row r="432" spans="4:4" s="21" customFormat="1">
      <c r="D432" s="164"/>
    </row>
    <row r="433" spans="4:4" s="21" customFormat="1">
      <c r="D433" s="164"/>
    </row>
    <row r="434" spans="4:4" s="21" customFormat="1">
      <c r="D434" s="164"/>
    </row>
    <row r="435" spans="4:4" s="21" customFormat="1">
      <c r="D435" s="164"/>
    </row>
    <row r="436" spans="4:4" s="21" customFormat="1">
      <c r="D436" s="164"/>
    </row>
    <row r="437" spans="4:4" s="21" customFormat="1">
      <c r="D437" s="164"/>
    </row>
    <row r="438" spans="4:4" s="21" customFormat="1">
      <c r="D438" s="164"/>
    </row>
    <row r="439" spans="4:4" s="21" customFormat="1">
      <c r="D439" s="164"/>
    </row>
    <row r="440" spans="4:4" s="21" customFormat="1">
      <c r="D440" s="164"/>
    </row>
    <row r="441" spans="4:4" s="21" customFormat="1">
      <c r="D441" s="164"/>
    </row>
    <row r="442" spans="4:4" s="21" customFormat="1">
      <c r="D442" s="164"/>
    </row>
    <row r="443" spans="4:4" s="21" customFormat="1">
      <c r="D443" s="164"/>
    </row>
    <row r="444" spans="4:4" s="21" customFormat="1">
      <c r="D444" s="164"/>
    </row>
    <row r="445" spans="4:4" s="21" customFormat="1">
      <c r="D445" s="164"/>
    </row>
    <row r="446" spans="4:4" s="21" customFormat="1">
      <c r="D446" s="164"/>
    </row>
    <row r="447" spans="4:4" s="21" customFormat="1">
      <c r="D447" s="164"/>
    </row>
    <row r="448" spans="4:4" s="21" customFormat="1">
      <c r="D448" s="164"/>
    </row>
    <row r="449" spans="4:4" s="21" customFormat="1">
      <c r="D449" s="164"/>
    </row>
    <row r="450" spans="4:4" s="21" customFormat="1">
      <c r="D450" s="164"/>
    </row>
    <row r="451" spans="4:4" s="21" customFormat="1">
      <c r="D451" s="164"/>
    </row>
    <row r="452" spans="4:4" s="21" customFormat="1">
      <c r="D452" s="164"/>
    </row>
    <row r="453" spans="4:4" s="21" customFormat="1">
      <c r="D453" s="164"/>
    </row>
    <row r="454" spans="4:4" s="21" customFormat="1">
      <c r="D454" s="164"/>
    </row>
    <row r="455" spans="4:4" s="21" customFormat="1">
      <c r="D455" s="164"/>
    </row>
    <row r="456" spans="4:4" s="21" customFormat="1">
      <c r="D456" s="164"/>
    </row>
    <row r="457" spans="4:4" s="21" customFormat="1">
      <c r="D457" s="164"/>
    </row>
    <row r="458" spans="4:4" s="21" customFormat="1">
      <c r="D458" s="164"/>
    </row>
    <row r="459" spans="4:4" s="21" customFormat="1">
      <c r="D459" s="164"/>
    </row>
    <row r="460" spans="4:4" s="21" customFormat="1">
      <c r="D460" s="164"/>
    </row>
    <row r="461" spans="4:4" s="21" customFormat="1">
      <c r="D461" s="164"/>
    </row>
    <row r="462" spans="4:4" s="21" customFormat="1">
      <c r="D462" s="164"/>
    </row>
    <row r="463" spans="4:4" s="21" customFormat="1">
      <c r="D463" s="164"/>
    </row>
    <row r="464" spans="4:4" s="21" customFormat="1">
      <c r="D464" s="164"/>
    </row>
    <row r="465" spans="4:4" s="21" customFormat="1">
      <c r="D465" s="164"/>
    </row>
    <row r="466" spans="4:4" s="21" customFormat="1">
      <c r="D466" s="164"/>
    </row>
    <row r="467" spans="4:4" s="21" customFormat="1">
      <c r="D467" s="164"/>
    </row>
    <row r="468" spans="4:4" s="21" customFormat="1">
      <c r="D468" s="164"/>
    </row>
    <row r="469" spans="4:4" s="21" customFormat="1">
      <c r="D469" s="164"/>
    </row>
    <row r="470" spans="4:4" s="21" customFormat="1">
      <c r="D470" s="164"/>
    </row>
    <row r="471" spans="4:4" s="21" customFormat="1">
      <c r="D471" s="164"/>
    </row>
    <row r="472" spans="4:4" s="21" customFormat="1">
      <c r="D472" s="164"/>
    </row>
    <row r="473" spans="4:4" s="21" customFormat="1">
      <c r="D473" s="164"/>
    </row>
    <row r="474" spans="4:4" s="21" customFormat="1">
      <c r="D474" s="164"/>
    </row>
    <row r="475" spans="4:4" s="21" customFormat="1">
      <c r="D475" s="164"/>
    </row>
    <row r="476" spans="4:4" s="21" customFormat="1">
      <c r="D476" s="164"/>
    </row>
    <row r="477" spans="4:4" s="21" customFormat="1">
      <c r="D477" s="164"/>
    </row>
    <row r="478" spans="4:4" s="21" customFormat="1">
      <c r="D478" s="164"/>
    </row>
    <row r="479" spans="4:4" s="21" customFormat="1">
      <c r="D479" s="164"/>
    </row>
    <row r="480" spans="4:4" s="21" customFormat="1">
      <c r="D480" s="164"/>
    </row>
    <row r="481" spans="4:4" s="21" customFormat="1">
      <c r="D481" s="164"/>
    </row>
    <row r="482" spans="4:4" s="21" customFormat="1">
      <c r="D482" s="164"/>
    </row>
    <row r="483" spans="4:4" s="21" customFormat="1">
      <c r="D483" s="164"/>
    </row>
    <row r="484" spans="4:4" s="21" customFormat="1">
      <c r="D484" s="164"/>
    </row>
    <row r="485" spans="4:4" s="21" customFormat="1">
      <c r="D485" s="164"/>
    </row>
    <row r="486" spans="4:4" s="21" customFormat="1">
      <c r="D486" s="164"/>
    </row>
    <row r="487" spans="4:4" s="21" customFormat="1">
      <c r="D487" s="164"/>
    </row>
    <row r="488" spans="4:4" s="21" customFormat="1">
      <c r="D488" s="164"/>
    </row>
    <row r="489" spans="4:4" s="21" customFormat="1">
      <c r="D489" s="164"/>
    </row>
    <row r="490" spans="4:4" s="21" customFormat="1">
      <c r="D490" s="164"/>
    </row>
    <row r="491" spans="4:4" s="21" customFormat="1">
      <c r="D491" s="164"/>
    </row>
    <row r="492" spans="4:4" s="21" customFormat="1">
      <c r="D492" s="164"/>
    </row>
    <row r="493" spans="4:4" s="21" customFormat="1">
      <c r="D493" s="164"/>
    </row>
    <row r="494" spans="4:4" s="21" customFormat="1">
      <c r="D494" s="164"/>
    </row>
    <row r="495" spans="4:4" s="21" customFormat="1">
      <c r="D495" s="164"/>
    </row>
    <row r="496" spans="4:4" s="21" customFormat="1">
      <c r="D496" s="164"/>
    </row>
    <row r="497" spans="4:4" s="21" customFormat="1">
      <c r="D497" s="164"/>
    </row>
    <row r="498" spans="4:4" s="21" customFormat="1">
      <c r="D498" s="164"/>
    </row>
    <row r="499" spans="4:4" s="21" customFormat="1">
      <c r="D499" s="164"/>
    </row>
    <row r="500" spans="4:4" s="21" customFormat="1">
      <c r="D500" s="164"/>
    </row>
    <row r="501" spans="4:4" s="21" customFormat="1">
      <c r="D501" s="164"/>
    </row>
    <row r="502" spans="4:4" s="21" customFormat="1">
      <c r="D502" s="164"/>
    </row>
    <row r="503" spans="4:4" s="21" customFormat="1">
      <c r="D503" s="164"/>
    </row>
    <row r="504" spans="4:4" s="21" customFormat="1">
      <c r="D504" s="164"/>
    </row>
    <row r="505" spans="4:4" s="21" customFormat="1">
      <c r="D505" s="164"/>
    </row>
    <row r="506" spans="4:4" s="21" customFormat="1">
      <c r="D506" s="164"/>
    </row>
    <row r="507" spans="4:4" s="21" customFormat="1">
      <c r="D507" s="164"/>
    </row>
    <row r="508" spans="4:4" s="21" customFormat="1">
      <c r="D508" s="164"/>
    </row>
    <row r="509" spans="4:4" s="21" customFormat="1">
      <c r="D509" s="164"/>
    </row>
    <row r="510" spans="4:4" s="21" customFormat="1">
      <c r="D510" s="164"/>
    </row>
    <row r="511" spans="4:4" s="21" customFormat="1">
      <c r="D511" s="164"/>
    </row>
    <row r="512" spans="4:4" s="21" customFormat="1">
      <c r="D512" s="164"/>
    </row>
    <row r="513" spans="4:4" s="21" customFormat="1">
      <c r="D513" s="164"/>
    </row>
    <row r="514" spans="4:4" s="21" customFormat="1">
      <c r="D514" s="164"/>
    </row>
    <row r="515" spans="4:4" s="21" customFormat="1">
      <c r="D515" s="164"/>
    </row>
    <row r="516" spans="4:4" s="21" customFormat="1">
      <c r="D516" s="164"/>
    </row>
    <row r="517" spans="4:4" s="21" customFormat="1">
      <c r="D517" s="164"/>
    </row>
    <row r="518" spans="4:4" s="21" customFormat="1">
      <c r="D518" s="164"/>
    </row>
    <row r="519" spans="4:4" s="21" customFormat="1">
      <c r="D519" s="164"/>
    </row>
    <row r="520" spans="4:4" s="21" customFormat="1">
      <c r="D520" s="164"/>
    </row>
    <row r="521" spans="4:4" s="21" customFormat="1">
      <c r="D521" s="164"/>
    </row>
    <row r="522" spans="4:4" s="21" customFormat="1">
      <c r="D522" s="164"/>
    </row>
    <row r="523" spans="4:4" s="21" customFormat="1">
      <c r="D523" s="164"/>
    </row>
    <row r="524" spans="4:4" s="21" customFormat="1">
      <c r="D524" s="164"/>
    </row>
    <row r="525" spans="4:4" s="21" customFormat="1">
      <c r="D525" s="164"/>
    </row>
    <row r="526" spans="4:4" s="21" customFormat="1">
      <c r="D526" s="164"/>
    </row>
    <row r="527" spans="4:4" s="21" customFormat="1">
      <c r="D527" s="164"/>
    </row>
    <row r="528" spans="4:4" s="21" customFormat="1">
      <c r="D528" s="164"/>
    </row>
    <row r="529" spans="4:4" s="21" customFormat="1">
      <c r="D529" s="164"/>
    </row>
    <row r="530" spans="4:4" s="21" customFormat="1">
      <c r="D530" s="164"/>
    </row>
    <row r="531" spans="4:4" s="21" customFormat="1">
      <c r="D531" s="164"/>
    </row>
    <row r="532" spans="4:4" s="21" customFormat="1">
      <c r="D532" s="164"/>
    </row>
    <row r="533" spans="4:4" s="21" customFormat="1">
      <c r="D533" s="164"/>
    </row>
    <row r="534" spans="4:4" s="21" customFormat="1">
      <c r="D534" s="164"/>
    </row>
    <row r="535" spans="4:4" s="21" customFormat="1">
      <c r="D535" s="164"/>
    </row>
    <row r="536" spans="4:4" s="21" customFormat="1">
      <c r="D536" s="164"/>
    </row>
    <row r="537" spans="4:4" s="21" customFormat="1">
      <c r="D537" s="164"/>
    </row>
    <row r="538" spans="4:4" s="21" customFormat="1">
      <c r="D538" s="164"/>
    </row>
    <row r="539" spans="4:4" s="21" customFormat="1">
      <c r="D539" s="164"/>
    </row>
    <row r="540" spans="4:4" s="21" customFormat="1">
      <c r="D540" s="164"/>
    </row>
    <row r="541" spans="4:4" s="21" customFormat="1">
      <c r="D541" s="164"/>
    </row>
    <row r="542" spans="4:4" s="21" customFormat="1">
      <c r="D542" s="164"/>
    </row>
    <row r="543" spans="4:4" s="21" customFormat="1">
      <c r="D543" s="164"/>
    </row>
    <row r="544" spans="4:4" s="21" customFormat="1">
      <c r="D544" s="164"/>
    </row>
    <row r="545" spans="4:4" s="21" customFormat="1">
      <c r="D545" s="164"/>
    </row>
    <row r="546" spans="4:4" s="21" customFormat="1">
      <c r="D546" s="164"/>
    </row>
    <row r="547" spans="4:4" s="21" customFormat="1">
      <c r="D547" s="164"/>
    </row>
    <row r="548" spans="4:4" s="21" customFormat="1">
      <c r="D548" s="164"/>
    </row>
    <row r="549" spans="4:4" s="21" customFormat="1">
      <c r="D549" s="164"/>
    </row>
    <row r="550" spans="4:4" s="21" customFormat="1">
      <c r="D550" s="164"/>
    </row>
    <row r="551" spans="4:4" s="21" customFormat="1">
      <c r="D551" s="164"/>
    </row>
    <row r="552" spans="4:4" s="21" customFormat="1">
      <c r="D552" s="164"/>
    </row>
    <row r="553" spans="4:4" s="21" customFormat="1">
      <c r="D553" s="164"/>
    </row>
    <row r="554" spans="4:4" s="21" customFormat="1">
      <c r="D554" s="164"/>
    </row>
    <row r="555" spans="4:4" s="21" customFormat="1">
      <c r="D555" s="164"/>
    </row>
    <row r="556" spans="4:4" s="21" customFormat="1">
      <c r="D556" s="164"/>
    </row>
    <row r="557" spans="4:4" s="21" customFormat="1">
      <c r="D557" s="164"/>
    </row>
    <row r="558" spans="4:4" s="21" customFormat="1">
      <c r="D558" s="164"/>
    </row>
    <row r="559" spans="4:4" s="21" customFormat="1">
      <c r="D559" s="164"/>
    </row>
    <row r="560" spans="4:4" s="21" customFormat="1">
      <c r="D560" s="164"/>
    </row>
    <row r="561" spans="4:4" s="21" customFormat="1">
      <c r="D561" s="164"/>
    </row>
    <row r="562" spans="4:4" s="21" customFormat="1">
      <c r="D562" s="164"/>
    </row>
    <row r="563" spans="4:4" s="21" customFormat="1">
      <c r="D563" s="164"/>
    </row>
    <row r="564" spans="4:4" s="21" customFormat="1">
      <c r="D564" s="164"/>
    </row>
    <row r="565" spans="4:4" s="21" customFormat="1">
      <c r="D565" s="164"/>
    </row>
    <row r="566" spans="4:4" s="21" customFormat="1">
      <c r="D566" s="164"/>
    </row>
    <row r="567" spans="4:4" s="21" customFormat="1">
      <c r="D567" s="164"/>
    </row>
    <row r="568" spans="4:4" s="21" customFormat="1">
      <c r="D568" s="164"/>
    </row>
    <row r="569" spans="4:4" s="21" customFormat="1">
      <c r="D569" s="164"/>
    </row>
    <row r="570" spans="4:4" s="21" customFormat="1">
      <c r="D570" s="164"/>
    </row>
    <row r="571" spans="4:4" s="21" customFormat="1">
      <c r="D571" s="164"/>
    </row>
    <row r="572" spans="4:4" s="21" customFormat="1">
      <c r="D572" s="164"/>
    </row>
    <row r="573" spans="4:4" s="21" customFormat="1">
      <c r="D573" s="164"/>
    </row>
    <row r="574" spans="4:4" s="21" customFormat="1">
      <c r="D574" s="164"/>
    </row>
    <row r="575" spans="4:4" s="21" customFormat="1">
      <c r="D575" s="164"/>
    </row>
    <row r="576" spans="4:4" s="21" customFormat="1">
      <c r="D576" s="164"/>
    </row>
    <row r="577" spans="4:4" s="21" customFormat="1">
      <c r="D577" s="164"/>
    </row>
    <row r="578" spans="4:4" s="21" customFormat="1">
      <c r="D578" s="164"/>
    </row>
    <row r="579" spans="4:4" s="21" customFormat="1">
      <c r="D579" s="164"/>
    </row>
    <row r="580" spans="4:4" s="21" customFormat="1">
      <c r="D580" s="164"/>
    </row>
    <row r="581" spans="4:4" s="21" customFormat="1">
      <c r="D581" s="164"/>
    </row>
    <row r="582" spans="4:4" s="21" customFormat="1">
      <c r="D582" s="164"/>
    </row>
    <row r="583" spans="4:4" s="21" customFormat="1">
      <c r="D583" s="164"/>
    </row>
    <row r="584" spans="4:4" s="21" customFormat="1">
      <c r="D584" s="164"/>
    </row>
    <row r="585" spans="4:4" s="21" customFormat="1">
      <c r="D585" s="164"/>
    </row>
    <row r="586" spans="4:4" s="21" customFormat="1">
      <c r="D586" s="164"/>
    </row>
    <row r="587" spans="4:4" s="21" customFormat="1">
      <c r="D587" s="164"/>
    </row>
    <row r="588" spans="4:4" s="21" customFormat="1">
      <c r="D588" s="164"/>
    </row>
    <row r="589" spans="4:4" s="21" customFormat="1">
      <c r="D589" s="164"/>
    </row>
    <row r="590" spans="4:4" s="21" customFormat="1">
      <c r="D590" s="164"/>
    </row>
    <row r="591" spans="4:4" s="21" customFormat="1">
      <c r="D591" s="164"/>
    </row>
    <row r="592" spans="4:4" s="21" customFormat="1">
      <c r="D592" s="164"/>
    </row>
    <row r="593" spans="4:4" s="21" customFormat="1">
      <c r="D593" s="164"/>
    </row>
    <row r="594" spans="4:4" s="21" customFormat="1">
      <c r="D594" s="164"/>
    </row>
    <row r="595" spans="4:4" s="21" customFormat="1">
      <c r="D595" s="164"/>
    </row>
    <row r="596" spans="4:4" s="21" customFormat="1">
      <c r="D596" s="164"/>
    </row>
    <row r="597" spans="4:4" s="21" customFormat="1">
      <c r="D597" s="164"/>
    </row>
    <row r="598" spans="4:4" s="21" customFormat="1">
      <c r="D598" s="164"/>
    </row>
    <row r="599" spans="4:4" s="21" customFormat="1">
      <c r="D599" s="164"/>
    </row>
    <row r="600" spans="4:4" s="21" customFormat="1">
      <c r="D600" s="164"/>
    </row>
    <row r="601" spans="4:4" s="21" customFormat="1">
      <c r="D601" s="164"/>
    </row>
    <row r="602" spans="4:4" s="21" customFormat="1">
      <c r="D602" s="164"/>
    </row>
    <row r="603" spans="4:4" s="21" customFormat="1">
      <c r="D603" s="164"/>
    </row>
    <row r="604" spans="4:4" s="21" customFormat="1">
      <c r="D604" s="164"/>
    </row>
    <row r="605" spans="4:4" s="21" customFormat="1">
      <c r="D605" s="164"/>
    </row>
    <row r="606" spans="4:4" s="21" customFormat="1">
      <c r="D606" s="164"/>
    </row>
    <row r="607" spans="4:4" s="21" customFormat="1">
      <c r="D607" s="164"/>
    </row>
    <row r="608" spans="4:4" s="21" customFormat="1">
      <c r="D608" s="164"/>
    </row>
    <row r="609" spans="4:4" s="21" customFormat="1">
      <c r="D609" s="164"/>
    </row>
    <row r="610" spans="4:4" s="21" customFormat="1">
      <c r="D610" s="164"/>
    </row>
    <row r="611" spans="4:4" s="21" customFormat="1">
      <c r="D611" s="164"/>
    </row>
    <row r="612" spans="4:4" s="21" customFormat="1">
      <c r="D612" s="164"/>
    </row>
    <row r="613" spans="4:4" s="21" customFormat="1">
      <c r="D613" s="164"/>
    </row>
    <row r="614" spans="4:4" s="21" customFormat="1">
      <c r="D614" s="164"/>
    </row>
    <row r="615" spans="4:4" s="21" customFormat="1">
      <c r="D615" s="164"/>
    </row>
    <row r="616" spans="4:4" s="21" customFormat="1">
      <c r="D616" s="164"/>
    </row>
    <row r="617" spans="4:4" s="21" customFormat="1">
      <c r="D617" s="164"/>
    </row>
    <row r="618" spans="4:4" s="21" customFormat="1">
      <c r="D618" s="164"/>
    </row>
    <row r="619" spans="4:4" s="21" customFormat="1">
      <c r="D619" s="164"/>
    </row>
    <row r="620" spans="4:4" s="21" customFormat="1">
      <c r="D620" s="164"/>
    </row>
    <row r="621" spans="4:4" s="21" customFormat="1">
      <c r="D621" s="164"/>
    </row>
    <row r="622" spans="4:4" s="21" customFormat="1">
      <c r="D622" s="164"/>
    </row>
    <row r="623" spans="4:4" s="21" customFormat="1">
      <c r="D623" s="164"/>
    </row>
    <row r="624" spans="4:4" s="21" customFormat="1">
      <c r="D624" s="164"/>
    </row>
    <row r="625" spans="4:4" s="21" customFormat="1">
      <c r="D625" s="164"/>
    </row>
    <row r="626" spans="4:4" s="21" customFormat="1">
      <c r="D626" s="164"/>
    </row>
    <row r="627" spans="4:4" s="21" customFormat="1">
      <c r="D627" s="164"/>
    </row>
    <row r="628" spans="4:4" s="21" customFormat="1">
      <c r="D628" s="164"/>
    </row>
    <row r="629" spans="4:4" s="21" customFormat="1">
      <c r="D629" s="164"/>
    </row>
    <row r="630" spans="4:4" s="21" customFormat="1">
      <c r="D630" s="164"/>
    </row>
    <row r="631" spans="4:4" s="21" customFormat="1">
      <c r="D631" s="164"/>
    </row>
    <row r="632" spans="4:4" s="21" customFormat="1">
      <c r="D632" s="164"/>
    </row>
    <row r="633" spans="4:4" s="21" customFormat="1">
      <c r="D633" s="164"/>
    </row>
    <row r="634" spans="4:4" s="21" customFormat="1">
      <c r="D634" s="164"/>
    </row>
    <row r="635" spans="4:4" s="21" customFormat="1">
      <c r="D635" s="164"/>
    </row>
    <row r="636" spans="4:4" s="21" customFormat="1">
      <c r="D636" s="164"/>
    </row>
    <row r="637" spans="4:4" s="21" customFormat="1">
      <c r="D637" s="164"/>
    </row>
    <row r="638" spans="4:4" s="21" customFormat="1">
      <c r="D638" s="164"/>
    </row>
    <row r="639" spans="4:4" s="21" customFormat="1">
      <c r="D639" s="164"/>
    </row>
    <row r="640" spans="4:4" s="21" customFormat="1">
      <c r="D640" s="164"/>
    </row>
    <row r="641" spans="4:4" s="21" customFormat="1">
      <c r="D641" s="164"/>
    </row>
    <row r="642" spans="4:4" s="21" customFormat="1">
      <c r="D642" s="164"/>
    </row>
    <row r="643" spans="4:4" s="21" customFormat="1">
      <c r="D643" s="164"/>
    </row>
    <row r="644" spans="4:4" s="21" customFormat="1">
      <c r="D644" s="164"/>
    </row>
    <row r="645" spans="4:4" s="21" customFormat="1">
      <c r="D645" s="164"/>
    </row>
    <row r="646" spans="4:4" s="21" customFormat="1">
      <c r="D646" s="164"/>
    </row>
    <row r="647" spans="4:4" s="21" customFormat="1">
      <c r="D647" s="164"/>
    </row>
    <row r="648" spans="4:4" s="21" customFormat="1">
      <c r="D648" s="164"/>
    </row>
    <row r="649" spans="4:4" s="21" customFormat="1">
      <c r="D649" s="164"/>
    </row>
    <row r="650" spans="4:4" s="21" customFormat="1">
      <c r="D650" s="164"/>
    </row>
    <row r="651" spans="4:4" s="21" customFormat="1">
      <c r="D651" s="164"/>
    </row>
    <row r="652" spans="4:4" s="21" customFormat="1">
      <c r="D652" s="164"/>
    </row>
    <row r="653" spans="4:4" s="21" customFormat="1">
      <c r="D653" s="164"/>
    </row>
    <row r="654" spans="4:4" s="21" customFormat="1">
      <c r="D654" s="164"/>
    </row>
    <row r="655" spans="4:4" s="21" customFormat="1">
      <c r="D655" s="164"/>
    </row>
    <row r="656" spans="4:4" s="21" customFormat="1">
      <c r="D656" s="164"/>
    </row>
    <row r="657" spans="4:4" s="21" customFormat="1">
      <c r="D657" s="164"/>
    </row>
    <row r="658" spans="4:4" s="21" customFormat="1">
      <c r="D658" s="164"/>
    </row>
    <row r="659" spans="4:4" s="21" customFormat="1">
      <c r="D659" s="164"/>
    </row>
    <row r="660" spans="4:4" s="21" customFormat="1">
      <c r="D660" s="164"/>
    </row>
    <row r="661" spans="4:4" s="21" customFormat="1">
      <c r="D661" s="164"/>
    </row>
    <row r="662" spans="4:4" s="21" customFormat="1">
      <c r="D662" s="164"/>
    </row>
    <row r="663" spans="4:4" s="21" customFormat="1">
      <c r="D663" s="164"/>
    </row>
    <row r="664" spans="4:4" s="21" customFormat="1">
      <c r="D664" s="164"/>
    </row>
    <row r="665" spans="4:4" s="21" customFormat="1">
      <c r="D665" s="164"/>
    </row>
    <row r="666" spans="4:4" s="21" customFormat="1">
      <c r="D666" s="164"/>
    </row>
    <row r="667" spans="4:4" s="21" customFormat="1">
      <c r="D667" s="164"/>
    </row>
    <row r="668" spans="4:4" s="21" customFormat="1">
      <c r="D668" s="164"/>
    </row>
    <row r="669" spans="4:4" s="21" customFormat="1">
      <c r="D669" s="164"/>
    </row>
    <row r="670" spans="4:4" s="21" customFormat="1">
      <c r="D670" s="164"/>
    </row>
    <row r="671" spans="4:4" s="21" customFormat="1">
      <c r="D671" s="164"/>
    </row>
    <row r="672" spans="4:4" s="21" customFormat="1">
      <c r="D672" s="164"/>
    </row>
    <row r="673" spans="4:4" s="21" customFormat="1">
      <c r="D673" s="164"/>
    </row>
    <row r="674" spans="4:4" s="21" customFormat="1">
      <c r="D674" s="164"/>
    </row>
    <row r="675" spans="4:4" s="21" customFormat="1">
      <c r="D675" s="164"/>
    </row>
    <row r="676" spans="4:4" s="21" customFormat="1">
      <c r="D676" s="164"/>
    </row>
    <row r="677" spans="4:4" s="21" customFormat="1">
      <c r="D677" s="164"/>
    </row>
    <row r="678" spans="4:4" s="21" customFormat="1">
      <c r="D678" s="164"/>
    </row>
    <row r="679" spans="4:4" s="21" customFormat="1">
      <c r="D679" s="164"/>
    </row>
    <row r="680" spans="4:4" s="21" customFormat="1">
      <c r="D680" s="164"/>
    </row>
    <row r="681" spans="4:4" s="21" customFormat="1">
      <c r="D681" s="164"/>
    </row>
    <row r="682" spans="4:4" s="21" customFormat="1">
      <c r="D682" s="164"/>
    </row>
    <row r="683" spans="4:4" s="21" customFormat="1">
      <c r="D683" s="164"/>
    </row>
    <row r="684" spans="4:4" s="21" customFormat="1">
      <c r="D684" s="164"/>
    </row>
    <row r="685" spans="4:4" s="21" customFormat="1">
      <c r="D685" s="164"/>
    </row>
    <row r="686" spans="4:4" s="21" customFormat="1">
      <c r="D686" s="164"/>
    </row>
    <row r="687" spans="4:4" s="21" customFormat="1">
      <c r="D687" s="164"/>
    </row>
    <row r="688" spans="4:4" s="21" customFormat="1">
      <c r="D688" s="164"/>
    </row>
    <row r="689" spans="4:4" s="21" customFormat="1">
      <c r="D689" s="164"/>
    </row>
    <row r="690" spans="4:4" s="21" customFormat="1">
      <c r="D690" s="164"/>
    </row>
    <row r="691" spans="4:4" s="21" customFormat="1">
      <c r="D691" s="164"/>
    </row>
    <row r="692" spans="4:4" s="21" customFormat="1">
      <c r="D692" s="164"/>
    </row>
    <row r="693" spans="4:4" s="21" customFormat="1">
      <c r="D693" s="164"/>
    </row>
    <row r="694" spans="4:4" s="21" customFormat="1">
      <c r="D694" s="164"/>
    </row>
    <row r="695" spans="4:4" s="21" customFormat="1">
      <c r="D695" s="164"/>
    </row>
    <row r="696" spans="4:4" s="21" customFormat="1">
      <c r="D696" s="164"/>
    </row>
    <row r="697" spans="4:4" s="21" customFormat="1">
      <c r="D697" s="164"/>
    </row>
    <row r="698" spans="4:4" s="21" customFormat="1">
      <c r="D698" s="164"/>
    </row>
    <row r="699" spans="4:4" s="21" customFormat="1">
      <c r="D699" s="164"/>
    </row>
    <row r="700" spans="4:4" s="21" customFormat="1">
      <c r="D700" s="164"/>
    </row>
    <row r="701" spans="4:4" s="21" customFormat="1">
      <c r="D701" s="164"/>
    </row>
    <row r="702" spans="4:4" s="21" customFormat="1">
      <c r="D702" s="164"/>
    </row>
    <row r="703" spans="4:4" s="21" customFormat="1">
      <c r="D703" s="164"/>
    </row>
    <row r="704" spans="4:4" s="21" customFormat="1">
      <c r="D704" s="164"/>
    </row>
    <row r="705" spans="4:4" s="21" customFormat="1">
      <c r="D705" s="164"/>
    </row>
    <row r="706" spans="4:4" s="21" customFormat="1">
      <c r="D706" s="164"/>
    </row>
    <row r="707" spans="4:4" s="21" customFormat="1">
      <c r="D707" s="164"/>
    </row>
    <row r="708" spans="4:4" s="21" customFormat="1">
      <c r="D708" s="164"/>
    </row>
    <row r="709" spans="4:4" s="21" customFormat="1">
      <c r="D709" s="164"/>
    </row>
    <row r="710" spans="4:4" s="21" customFormat="1">
      <c r="D710" s="164"/>
    </row>
    <row r="711" spans="4:4" s="21" customFormat="1">
      <c r="D711" s="164"/>
    </row>
    <row r="712" spans="4:4" s="21" customFormat="1">
      <c r="D712" s="164"/>
    </row>
    <row r="713" spans="4:4" s="21" customFormat="1">
      <c r="D713" s="164"/>
    </row>
    <row r="714" spans="4:4" s="21" customFormat="1">
      <c r="D714" s="164"/>
    </row>
    <row r="715" spans="4:4" s="21" customFormat="1">
      <c r="D715" s="164"/>
    </row>
    <row r="716" spans="4:4" s="21" customFormat="1">
      <c r="D716" s="164"/>
    </row>
    <row r="717" spans="4:4" s="21" customFormat="1">
      <c r="D717" s="164"/>
    </row>
    <row r="718" spans="4:4" s="21" customFormat="1">
      <c r="D718" s="164"/>
    </row>
    <row r="719" spans="4:4" s="21" customFormat="1">
      <c r="D719" s="164"/>
    </row>
    <row r="720" spans="4:4" s="21" customFormat="1">
      <c r="D720" s="164"/>
    </row>
    <row r="721" spans="4:4" s="21" customFormat="1">
      <c r="D721" s="164"/>
    </row>
    <row r="722" spans="4:4" s="21" customFormat="1">
      <c r="D722" s="164"/>
    </row>
    <row r="723" spans="4:4" s="21" customFormat="1">
      <c r="D723" s="164"/>
    </row>
    <row r="724" spans="4:4" s="21" customFormat="1">
      <c r="D724" s="164"/>
    </row>
    <row r="725" spans="4:4" s="21" customFormat="1">
      <c r="D725" s="164"/>
    </row>
    <row r="726" spans="4:4" s="21" customFormat="1">
      <c r="D726" s="164"/>
    </row>
    <row r="727" spans="4:4" s="21" customFormat="1">
      <c r="D727" s="164"/>
    </row>
    <row r="728" spans="4:4" s="21" customFormat="1">
      <c r="D728" s="164"/>
    </row>
    <row r="729" spans="4:4" s="21" customFormat="1">
      <c r="D729" s="164"/>
    </row>
    <row r="730" spans="4:4" s="21" customFormat="1">
      <c r="D730" s="164"/>
    </row>
    <row r="731" spans="4:4" s="21" customFormat="1">
      <c r="D731" s="164"/>
    </row>
    <row r="732" spans="4:4" s="21" customFormat="1">
      <c r="D732" s="164"/>
    </row>
    <row r="733" spans="4:4" s="21" customFormat="1">
      <c r="D733" s="164"/>
    </row>
    <row r="734" spans="4:4" s="21" customFormat="1">
      <c r="D734" s="164"/>
    </row>
    <row r="735" spans="4:4" s="21" customFormat="1">
      <c r="D735" s="164"/>
    </row>
    <row r="736" spans="4:4" s="21" customFormat="1">
      <c r="D736" s="164"/>
    </row>
    <row r="737" spans="4:4" s="21" customFormat="1">
      <c r="D737" s="164"/>
    </row>
    <row r="738" spans="4:4" s="21" customFormat="1">
      <c r="D738" s="164"/>
    </row>
    <row r="739" spans="4:4" s="21" customFormat="1">
      <c r="D739" s="164"/>
    </row>
    <row r="740" spans="4:4" s="21" customFormat="1">
      <c r="D740" s="164"/>
    </row>
    <row r="741" spans="4:4" s="21" customFormat="1">
      <c r="D741" s="164"/>
    </row>
    <row r="742" spans="4:4" s="21" customFormat="1">
      <c r="D742" s="164"/>
    </row>
    <row r="743" spans="4:4" s="21" customFormat="1">
      <c r="D743" s="164"/>
    </row>
    <row r="744" spans="4:4" s="21" customFormat="1">
      <c r="D744" s="164"/>
    </row>
    <row r="745" spans="4:4" s="21" customFormat="1">
      <c r="D745" s="164"/>
    </row>
    <row r="746" spans="4:4" s="21" customFormat="1">
      <c r="D746" s="164"/>
    </row>
    <row r="747" spans="4:4" s="21" customFormat="1">
      <c r="D747" s="164"/>
    </row>
    <row r="748" spans="4:4" s="21" customFormat="1">
      <c r="D748" s="164"/>
    </row>
    <row r="749" spans="4:4" s="21" customFormat="1">
      <c r="D749" s="164"/>
    </row>
    <row r="750" spans="4:4" s="21" customFormat="1">
      <c r="D750" s="164"/>
    </row>
    <row r="751" spans="4:4" s="21" customFormat="1">
      <c r="D751" s="164"/>
    </row>
    <row r="752" spans="4:4" s="21" customFormat="1">
      <c r="D752" s="164"/>
    </row>
    <row r="753" spans="4:4" s="21" customFormat="1">
      <c r="D753" s="164"/>
    </row>
    <row r="754" spans="4:4" s="21" customFormat="1">
      <c r="D754" s="164"/>
    </row>
    <row r="755" spans="4:4" s="21" customFormat="1">
      <c r="D755" s="164"/>
    </row>
    <row r="756" spans="4:4" s="21" customFormat="1">
      <c r="D756" s="164"/>
    </row>
    <row r="757" spans="4:4" s="21" customFormat="1">
      <c r="D757" s="164"/>
    </row>
    <row r="758" spans="4:4" s="21" customFormat="1">
      <c r="D758" s="164"/>
    </row>
    <row r="759" spans="4:4" s="21" customFormat="1">
      <c r="D759" s="164"/>
    </row>
    <row r="760" spans="4:4" s="21" customFormat="1">
      <c r="D760" s="164"/>
    </row>
    <row r="761" spans="4:4" s="21" customFormat="1">
      <c r="D761" s="164"/>
    </row>
    <row r="762" spans="4:4" s="21" customFormat="1">
      <c r="D762" s="164"/>
    </row>
    <row r="763" spans="4:4" s="21" customFormat="1">
      <c r="D763" s="164"/>
    </row>
    <row r="764" spans="4:4" s="21" customFormat="1">
      <c r="D764" s="164"/>
    </row>
    <row r="765" spans="4:4" s="21" customFormat="1">
      <c r="D765" s="164"/>
    </row>
    <row r="766" spans="4:4" s="21" customFormat="1">
      <c r="D766" s="164"/>
    </row>
    <row r="767" spans="4:4" s="21" customFormat="1">
      <c r="D767" s="164"/>
    </row>
    <row r="768" spans="4:4" s="21" customFormat="1">
      <c r="D768" s="164"/>
    </row>
    <row r="769" spans="4:4" s="21" customFormat="1">
      <c r="D769" s="164"/>
    </row>
    <row r="770" spans="4:4" s="21" customFormat="1">
      <c r="D770" s="164"/>
    </row>
    <row r="771" spans="4:4" s="21" customFormat="1">
      <c r="D771" s="164"/>
    </row>
    <row r="772" spans="4:4" s="21" customFormat="1">
      <c r="D772" s="164"/>
    </row>
    <row r="773" spans="4:4" s="21" customFormat="1">
      <c r="D773" s="164"/>
    </row>
    <row r="774" spans="4:4" s="21" customFormat="1">
      <c r="D774" s="164"/>
    </row>
    <row r="775" spans="4:4" s="21" customFormat="1">
      <c r="D775" s="164"/>
    </row>
    <row r="776" spans="4:4" s="21" customFormat="1">
      <c r="D776" s="164"/>
    </row>
    <row r="777" spans="4:4" s="21" customFormat="1">
      <c r="D777" s="164"/>
    </row>
    <row r="778" spans="4:4" s="21" customFormat="1">
      <c r="D778" s="164"/>
    </row>
    <row r="779" spans="4:4" s="21" customFormat="1">
      <c r="D779" s="164"/>
    </row>
    <row r="780" spans="4:4" s="21" customFormat="1">
      <c r="D780" s="164"/>
    </row>
    <row r="781" spans="4:4" s="21" customFormat="1">
      <c r="D781" s="164"/>
    </row>
    <row r="782" spans="4:4" s="21" customFormat="1">
      <c r="D782" s="164"/>
    </row>
    <row r="783" spans="4:4" s="21" customFormat="1">
      <c r="D783" s="164"/>
    </row>
    <row r="784" spans="4:4" s="21" customFormat="1">
      <c r="D784" s="164"/>
    </row>
    <row r="785" spans="4:4" s="21" customFormat="1">
      <c r="D785" s="164"/>
    </row>
    <row r="786" spans="4:4" s="21" customFormat="1">
      <c r="D786" s="164"/>
    </row>
    <row r="787" spans="4:4" s="21" customFormat="1">
      <c r="D787" s="164"/>
    </row>
    <row r="788" spans="4:4" s="21" customFormat="1">
      <c r="D788" s="164"/>
    </row>
    <row r="789" spans="4:4" s="21" customFormat="1">
      <c r="D789" s="164"/>
    </row>
    <row r="790" spans="4:4" s="21" customFormat="1">
      <c r="D790" s="164"/>
    </row>
    <row r="791" spans="4:4" s="21" customFormat="1">
      <c r="D791" s="164"/>
    </row>
    <row r="792" spans="4:4" s="21" customFormat="1">
      <c r="D792" s="164"/>
    </row>
    <row r="793" spans="4:4" s="21" customFormat="1">
      <c r="D793" s="164"/>
    </row>
    <row r="794" spans="4:4" s="21" customFormat="1">
      <c r="D794" s="164"/>
    </row>
    <row r="795" spans="4:4" s="21" customFormat="1">
      <c r="D795" s="164"/>
    </row>
    <row r="796" spans="4:4" s="21" customFormat="1">
      <c r="D796" s="164"/>
    </row>
    <row r="797" spans="4:4" s="21" customFormat="1">
      <c r="D797" s="164"/>
    </row>
    <row r="798" spans="4:4" s="21" customFormat="1">
      <c r="D798" s="164"/>
    </row>
    <row r="799" spans="4:4" s="21" customFormat="1">
      <c r="D799" s="164"/>
    </row>
    <row r="800" spans="4:4" s="21" customFormat="1">
      <c r="D800" s="164"/>
    </row>
    <row r="801" spans="4:4" s="21" customFormat="1">
      <c r="D801" s="164"/>
    </row>
    <row r="802" spans="4:4" s="21" customFormat="1">
      <c r="D802" s="164"/>
    </row>
    <row r="803" spans="4:4" s="21" customFormat="1">
      <c r="D803" s="164"/>
    </row>
    <row r="804" spans="4:4" s="21" customFormat="1">
      <c r="D804" s="164"/>
    </row>
    <row r="805" spans="4:4" s="21" customFormat="1">
      <c r="D805" s="164"/>
    </row>
    <row r="806" spans="4:4" s="21" customFormat="1">
      <c r="D806" s="164"/>
    </row>
    <row r="807" spans="4:4" s="21" customFormat="1">
      <c r="D807" s="164"/>
    </row>
    <row r="808" spans="4:4" s="21" customFormat="1">
      <c r="D808" s="164"/>
    </row>
    <row r="809" spans="4:4" s="21" customFormat="1">
      <c r="D809" s="164"/>
    </row>
    <row r="810" spans="4:4" s="21" customFormat="1">
      <c r="D810" s="164"/>
    </row>
    <row r="811" spans="4:4" s="21" customFormat="1">
      <c r="D811" s="164"/>
    </row>
    <row r="812" spans="4:4" s="21" customFormat="1">
      <c r="D812" s="164"/>
    </row>
    <row r="813" spans="4:4" s="21" customFormat="1">
      <c r="D813" s="164"/>
    </row>
    <row r="814" spans="4:4" s="21" customFormat="1">
      <c r="D814" s="164"/>
    </row>
    <row r="815" spans="4:4" s="21" customFormat="1">
      <c r="D815" s="164"/>
    </row>
    <row r="816" spans="4:4" s="21" customFormat="1">
      <c r="D816" s="164"/>
    </row>
    <row r="817" spans="4:4" s="21" customFormat="1">
      <c r="D817" s="164"/>
    </row>
    <row r="818" spans="4:4" s="21" customFormat="1">
      <c r="D818" s="164"/>
    </row>
    <row r="819" spans="4:4" s="21" customFormat="1">
      <c r="D819" s="164"/>
    </row>
    <row r="820" spans="4:4" s="21" customFormat="1">
      <c r="D820" s="164"/>
    </row>
    <row r="821" spans="4:4" s="21" customFormat="1">
      <c r="D821" s="164"/>
    </row>
    <row r="822" spans="4:4" s="21" customFormat="1">
      <c r="D822" s="164"/>
    </row>
    <row r="823" spans="4:4" s="21" customFormat="1">
      <c r="D823" s="164"/>
    </row>
    <row r="824" spans="4:4" s="21" customFormat="1">
      <c r="D824" s="164"/>
    </row>
    <row r="825" spans="4:4" s="21" customFormat="1">
      <c r="D825" s="164"/>
    </row>
    <row r="826" spans="4:4" s="21" customFormat="1">
      <c r="D826" s="164"/>
    </row>
    <row r="827" spans="4:4" s="21" customFormat="1">
      <c r="D827" s="164"/>
    </row>
    <row r="828" spans="4:4" s="21" customFormat="1">
      <c r="D828" s="164"/>
    </row>
    <row r="829" spans="4:4" s="21" customFormat="1">
      <c r="D829" s="164"/>
    </row>
    <row r="830" spans="4:4" s="21" customFormat="1">
      <c r="D830" s="164"/>
    </row>
    <row r="831" spans="4:4" s="21" customFormat="1">
      <c r="D831" s="164"/>
    </row>
    <row r="832" spans="4:4" s="21" customFormat="1">
      <c r="D832" s="164"/>
    </row>
    <row r="833" spans="4:4" s="21" customFormat="1">
      <c r="D833" s="164"/>
    </row>
    <row r="834" spans="4:4" s="21" customFormat="1">
      <c r="D834" s="164"/>
    </row>
    <row r="835" spans="4:4" s="21" customFormat="1">
      <c r="D835" s="164"/>
    </row>
    <row r="836" spans="4:4" s="21" customFormat="1">
      <c r="D836" s="164"/>
    </row>
    <row r="837" spans="4:4" s="21" customFormat="1">
      <c r="D837" s="164"/>
    </row>
    <row r="838" spans="4:4" s="21" customFormat="1">
      <c r="D838" s="164"/>
    </row>
    <row r="839" spans="4:4" s="21" customFormat="1">
      <c r="D839" s="164"/>
    </row>
    <row r="840" spans="4:4" s="21" customFormat="1">
      <c r="D840" s="164"/>
    </row>
    <row r="841" spans="4:4" s="21" customFormat="1">
      <c r="D841" s="164"/>
    </row>
    <row r="842" spans="4:4" s="21" customFormat="1">
      <c r="D842" s="164"/>
    </row>
    <row r="843" spans="4:4" s="21" customFormat="1">
      <c r="D843" s="164"/>
    </row>
    <row r="844" spans="4:4" s="21" customFormat="1">
      <c r="D844" s="164"/>
    </row>
    <row r="845" spans="4:4" s="21" customFormat="1">
      <c r="D845" s="164"/>
    </row>
    <row r="846" spans="4:4" s="21" customFormat="1">
      <c r="D846" s="164"/>
    </row>
    <row r="847" spans="4:4" s="21" customFormat="1">
      <c r="D847" s="164"/>
    </row>
    <row r="848" spans="4:4" s="21" customFormat="1">
      <c r="D848" s="164"/>
    </row>
    <row r="849" spans="4:4" s="21" customFormat="1">
      <c r="D849" s="164"/>
    </row>
    <row r="850" spans="4:4" s="21" customFormat="1">
      <c r="D850" s="164"/>
    </row>
    <row r="851" spans="4:4" s="21" customFormat="1">
      <c r="D851" s="164"/>
    </row>
    <row r="852" spans="4:4" s="21" customFormat="1">
      <c r="D852" s="164"/>
    </row>
    <row r="853" spans="4:4" s="21" customFormat="1">
      <c r="D853" s="164"/>
    </row>
    <row r="854" spans="4:4" s="21" customFormat="1">
      <c r="D854" s="164"/>
    </row>
    <row r="855" spans="4:4" s="21" customFormat="1">
      <c r="D855" s="164"/>
    </row>
    <row r="856" spans="4:4" s="21" customFormat="1">
      <c r="D856" s="164"/>
    </row>
    <row r="857" spans="4:4" s="21" customFormat="1">
      <c r="D857" s="164"/>
    </row>
    <row r="858" spans="4:4" s="21" customFormat="1">
      <c r="D858" s="164"/>
    </row>
    <row r="859" spans="4:4" s="21" customFormat="1">
      <c r="D859" s="164"/>
    </row>
    <row r="860" spans="4:4" s="21" customFormat="1">
      <c r="D860" s="164"/>
    </row>
    <row r="861" spans="4:4" s="21" customFormat="1">
      <c r="D861" s="164"/>
    </row>
    <row r="862" spans="4:4" s="21" customFormat="1">
      <c r="D862" s="164"/>
    </row>
    <row r="863" spans="4:4" s="21" customFormat="1">
      <c r="D863" s="164"/>
    </row>
    <row r="864" spans="4:4" s="21" customFormat="1">
      <c r="D864" s="164"/>
    </row>
    <row r="865" spans="4:4" s="21" customFormat="1">
      <c r="D865" s="164"/>
    </row>
    <row r="866" spans="4:4" s="21" customFormat="1">
      <c r="D866" s="164"/>
    </row>
    <row r="867" spans="4:4" s="21" customFormat="1">
      <c r="D867" s="164"/>
    </row>
    <row r="868" spans="4:4" s="21" customFormat="1">
      <c r="D868" s="164"/>
    </row>
    <row r="869" spans="4:4" s="21" customFormat="1">
      <c r="D869" s="164"/>
    </row>
    <row r="870" spans="4:4" s="21" customFormat="1">
      <c r="D870" s="164"/>
    </row>
    <row r="871" spans="4:4" s="21" customFormat="1">
      <c r="D871" s="164"/>
    </row>
    <row r="872" spans="4:4" s="21" customFormat="1">
      <c r="D872" s="164"/>
    </row>
    <row r="873" spans="4:4" s="21" customFormat="1">
      <c r="D873" s="164"/>
    </row>
    <row r="874" spans="4:4" s="21" customFormat="1">
      <c r="D874" s="164"/>
    </row>
    <row r="875" spans="4:4" s="21" customFormat="1">
      <c r="D875" s="164"/>
    </row>
    <row r="876" spans="4:4" s="21" customFormat="1">
      <c r="D876" s="164"/>
    </row>
    <row r="877" spans="4:4" s="21" customFormat="1">
      <c r="D877" s="164"/>
    </row>
    <row r="878" spans="4:4" s="21" customFormat="1">
      <c r="D878" s="164"/>
    </row>
    <row r="879" spans="4:4" s="21" customFormat="1">
      <c r="D879" s="164"/>
    </row>
    <row r="880" spans="4:4" s="21" customFormat="1">
      <c r="D880" s="164"/>
    </row>
    <row r="881" spans="4:4" s="21" customFormat="1">
      <c r="D881" s="164"/>
    </row>
    <row r="882" spans="4:4" s="21" customFormat="1">
      <c r="D882" s="164"/>
    </row>
    <row r="883" spans="4:4" s="21" customFormat="1">
      <c r="D883" s="164"/>
    </row>
    <row r="884" spans="4:4" s="21" customFormat="1">
      <c r="D884" s="164"/>
    </row>
    <row r="885" spans="4:4" s="21" customFormat="1">
      <c r="D885" s="164"/>
    </row>
    <row r="886" spans="4:4" s="21" customFormat="1">
      <c r="D886" s="164"/>
    </row>
    <row r="887" spans="4:4" s="21" customFormat="1">
      <c r="D887" s="164"/>
    </row>
    <row r="888" spans="4:4" s="21" customFormat="1">
      <c r="D888" s="164"/>
    </row>
    <row r="889" spans="4:4" s="21" customFormat="1">
      <c r="D889" s="164"/>
    </row>
    <row r="890" spans="4:4" s="21" customFormat="1">
      <c r="D890" s="164"/>
    </row>
    <row r="891" spans="4:4" s="21" customFormat="1">
      <c r="D891" s="164"/>
    </row>
    <row r="892" spans="4:4" s="21" customFormat="1">
      <c r="D892" s="164"/>
    </row>
    <row r="893" spans="4:4" s="21" customFormat="1">
      <c r="D893" s="164"/>
    </row>
    <row r="894" spans="4:4" s="21" customFormat="1">
      <c r="D894" s="164"/>
    </row>
    <row r="895" spans="4:4" s="21" customFormat="1">
      <c r="D895" s="164"/>
    </row>
    <row r="896" spans="4:4" s="21" customFormat="1">
      <c r="D896" s="164"/>
    </row>
    <row r="897" spans="4:4" s="21" customFormat="1">
      <c r="D897" s="164"/>
    </row>
    <row r="898" spans="4:4" s="21" customFormat="1">
      <c r="D898" s="164"/>
    </row>
    <row r="899" spans="4:4" s="21" customFormat="1">
      <c r="D899" s="164"/>
    </row>
    <row r="900" spans="4:4" s="21" customFormat="1">
      <c r="D900" s="164"/>
    </row>
    <row r="901" spans="4:4" s="21" customFormat="1">
      <c r="D901" s="164"/>
    </row>
    <row r="902" spans="4:4" s="21" customFormat="1">
      <c r="D902" s="164"/>
    </row>
    <row r="903" spans="4:4" s="21" customFormat="1">
      <c r="D903" s="164"/>
    </row>
    <row r="904" spans="4:4" s="21" customFormat="1">
      <c r="D904" s="164"/>
    </row>
    <row r="905" spans="4:4" s="21" customFormat="1">
      <c r="D905" s="164"/>
    </row>
    <row r="906" spans="4:4" s="21" customFormat="1">
      <c r="D906" s="164"/>
    </row>
    <row r="907" spans="4:4" s="21" customFormat="1">
      <c r="D907" s="164"/>
    </row>
    <row r="908" spans="4:4" s="21" customFormat="1">
      <c r="D908" s="164"/>
    </row>
    <row r="909" spans="4:4" s="21" customFormat="1">
      <c r="D909" s="164"/>
    </row>
    <row r="910" spans="4:4" s="21" customFormat="1">
      <c r="D910" s="164"/>
    </row>
    <row r="911" spans="4:4" s="21" customFormat="1">
      <c r="D911" s="164"/>
    </row>
    <row r="912" spans="4:4" s="21" customFormat="1">
      <c r="D912" s="164"/>
    </row>
    <row r="913" spans="4:4" s="21" customFormat="1">
      <c r="D913" s="164"/>
    </row>
    <row r="914" spans="4:4" s="21" customFormat="1">
      <c r="D914" s="164"/>
    </row>
    <row r="915" spans="4:4" s="21" customFormat="1">
      <c r="D915" s="164"/>
    </row>
    <row r="916" spans="4:4" s="21" customFormat="1">
      <c r="D916" s="164"/>
    </row>
    <row r="917" spans="4:4" s="21" customFormat="1">
      <c r="D917" s="164"/>
    </row>
    <row r="918" spans="4:4" s="21" customFormat="1">
      <c r="D918" s="164"/>
    </row>
    <row r="919" spans="4:4" s="21" customFormat="1">
      <c r="D919" s="164"/>
    </row>
    <row r="920" spans="4:4" s="21" customFormat="1">
      <c r="D920" s="164"/>
    </row>
    <row r="921" spans="4:4" s="21" customFormat="1">
      <c r="D921" s="164"/>
    </row>
    <row r="922" spans="4:4" s="21" customFormat="1">
      <c r="D922" s="164"/>
    </row>
    <row r="923" spans="4:4" s="21" customFormat="1">
      <c r="D923" s="164"/>
    </row>
    <row r="924" spans="4:4" s="21" customFormat="1">
      <c r="D924" s="164"/>
    </row>
    <row r="925" spans="4:4" s="21" customFormat="1">
      <c r="D925" s="164"/>
    </row>
    <row r="926" spans="4:4" s="21" customFormat="1">
      <c r="D926" s="164"/>
    </row>
    <row r="927" spans="4:4" s="21" customFormat="1">
      <c r="D927" s="164"/>
    </row>
    <row r="928" spans="4:4" s="21" customFormat="1">
      <c r="D928" s="164"/>
    </row>
    <row r="929" spans="4:4" s="21" customFormat="1">
      <c r="D929" s="164"/>
    </row>
    <row r="930" spans="4:4" s="21" customFormat="1">
      <c r="D930" s="164"/>
    </row>
    <row r="931" spans="4:4" s="21" customFormat="1">
      <c r="D931" s="164"/>
    </row>
    <row r="932" spans="4:4" s="21" customFormat="1">
      <c r="D932" s="164"/>
    </row>
    <row r="933" spans="4:4" s="21" customFormat="1">
      <c r="D933" s="164"/>
    </row>
    <row r="934" spans="4:4" s="21" customFormat="1">
      <c r="D934" s="164"/>
    </row>
    <row r="935" spans="4:4" s="21" customFormat="1">
      <c r="D935" s="164"/>
    </row>
    <row r="936" spans="4:4" s="21" customFormat="1">
      <c r="D936" s="164"/>
    </row>
    <row r="937" spans="4:4" s="21" customFormat="1">
      <c r="D937" s="164"/>
    </row>
    <row r="938" spans="4:4" s="21" customFormat="1">
      <c r="D938" s="164"/>
    </row>
    <row r="939" spans="4:4" s="21" customFormat="1">
      <c r="D939" s="164"/>
    </row>
    <row r="940" spans="4:4" s="21" customFormat="1">
      <c r="D940" s="164"/>
    </row>
    <row r="941" spans="4:4" s="21" customFormat="1">
      <c r="D941" s="164"/>
    </row>
    <row r="942" spans="4:4" s="21" customFormat="1">
      <c r="D942" s="164"/>
    </row>
    <row r="943" spans="4:4" s="21" customFormat="1">
      <c r="D943" s="164"/>
    </row>
    <row r="944" spans="4:4" s="21" customFormat="1">
      <c r="D944" s="164"/>
    </row>
    <row r="945" spans="4:4" s="21" customFormat="1">
      <c r="D945" s="164"/>
    </row>
    <row r="946" spans="4:4" s="21" customFormat="1">
      <c r="D946" s="164"/>
    </row>
    <row r="947" spans="4:4" s="21" customFormat="1">
      <c r="D947" s="164"/>
    </row>
    <row r="948" spans="4:4" s="21" customFormat="1">
      <c r="D948" s="164"/>
    </row>
    <row r="949" spans="4:4" s="21" customFormat="1">
      <c r="D949" s="164"/>
    </row>
    <row r="950" spans="4:4" s="21" customFormat="1">
      <c r="D950" s="164"/>
    </row>
    <row r="951" spans="4:4" s="21" customFormat="1">
      <c r="D951" s="164"/>
    </row>
    <row r="952" spans="4:4" s="21" customFormat="1">
      <c r="D952" s="164"/>
    </row>
    <row r="953" spans="4:4" s="21" customFormat="1">
      <c r="D953" s="164"/>
    </row>
    <row r="954" spans="4:4" s="21" customFormat="1">
      <c r="D954" s="164"/>
    </row>
    <row r="955" spans="4:4" s="21" customFormat="1">
      <c r="D955" s="164"/>
    </row>
    <row r="956" spans="4:4" s="21" customFormat="1">
      <c r="D956" s="164"/>
    </row>
    <row r="957" spans="4:4" s="21" customFormat="1">
      <c r="D957" s="164"/>
    </row>
    <row r="958" spans="4:4" s="21" customFormat="1">
      <c r="D958" s="164"/>
    </row>
    <row r="959" spans="4:4" s="21" customFormat="1">
      <c r="D959" s="164"/>
    </row>
    <row r="960" spans="4:4" s="21" customFormat="1">
      <c r="D960" s="164"/>
    </row>
    <row r="961" spans="4:4" s="21" customFormat="1">
      <c r="D961" s="164"/>
    </row>
    <row r="962" spans="4:4" s="21" customFormat="1">
      <c r="D962" s="164"/>
    </row>
    <row r="963" spans="4:4" s="21" customFormat="1">
      <c r="D963" s="164"/>
    </row>
    <row r="964" spans="4:4" s="21" customFormat="1">
      <c r="D964" s="164"/>
    </row>
    <row r="965" spans="4:4" s="21" customFormat="1">
      <c r="D965" s="164"/>
    </row>
    <row r="966" spans="4:4" s="21" customFormat="1">
      <c r="D966" s="164"/>
    </row>
    <row r="967" spans="4:4" s="21" customFormat="1">
      <c r="D967" s="164"/>
    </row>
    <row r="968" spans="4:4" s="21" customFormat="1">
      <c r="D968" s="164"/>
    </row>
    <row r="969" spans="4:4" s="21" customFormat="1">
      <c r="D969" s="164"/>
    </row>
    <row r="970" spans="4:4" s="21" customFormat="1">
      <c r="D970" s="164"/>
    </row>
    <row r="971" spans="4:4" s="21" customFormat="1">
      <c r="D971" s="164"/>
    </row>
    <row r="972" spans="4:4" s="21" customFormat="1">
      <c r="D972" s="164"/>
    </row>
    <row r="973" spans="4:4" s="21" customFormat="1">
      <c r="D973" s="164"/>
    </row>
    <row r="974" spans="4:4" s="21" customFormat="1">
      <c r="D974" s="164"/>
    </row>
    <row r="975" spans="4:4" s="21" customFormat="1">
      <c r="D975" s="164"/>
    </row>
    <row r="976" spans="4:4" s="21" customFormat="1">
      <c r="D976" s="164"/>
    </row>
    <row r="977" spans="4:4" s="21" customFormat="1">
      <c r="D977" s="164"/>
    </row>
    <row r="978" spans="4:4" s="21" customFormat="1">
      <c r="D978" s="164"/>
    </row>
    <row r="979" spans="4:4" s="21" customFormat="1">
      <c r="D979" s="164"/>
    </row>
    <row r="980" spans="4:4" s="21" customFormat="1">
      <c r="D980" s="164"/>
    </row>
    <row r="981" spans="4:4" s="21" customFormat="1">
      <c r="D981" s="164"/>
    </row>
    <row r="982" spans="4:4" s="21" customFormat="1">
      <c r="D982" s="164"/>
    </row>
    <row r="983" spans="4:4" s="21" customFormat="1">
      <c r="D983" s="164"/>
    </row>
    <row r="984" spans="4:4" s="21" customFormat="1">
      <c r="D984" s="164"/>
    </row>
    <row r="985" spans="4:4" s="21" customFormat="1">
      <c r="D985" s="164"/>
    </row>
    <row r="986" spans="4:4" s="21" customFormat="1">
      <c r="D986" s="164"/>
    </row>
    <row r="987" spans="4:4" s="21" customFormat="1">
      <c r="D987" s="164"/>
    </row>
    <row r="988" spans="4:4" s="21" customFormat="1">
      <c r="D988" s="164"/>
    </row>
    <row r="989" spans="4:4" s="21" customFormat="1">
      <c r="D989" s="164"/>
    </row>
    <row r="990" spans="4:4" s="21" customFormat="1">
      <c r="D990" s="164"/>
    </row>
    <row r="991" spans="4:4" s="21" customFormat="1">
      <c r="D991" s="164"/>
    </row>
    <row r="992" spans="4:4" s="21" customFormat="1">
      <c r="D992" s="164"/>
    </row>
    <row r="993" spans="4:4" s="21" customFormat="1">
      <c r="D993" s="164"/>
    </row>
    <row r="994" spans="4:4" s="21" customFormat="1">
      <c r="D994" s="164"/>
    </row>
    <row r="995" spans="4:4" s="21" customFormat="1">
      <c r="D995" s="164"/>
    </row>
    <row r="996" spans="4:4" s="21" customFormat="1">
      <c r="D996" s="164"/>
    </row>
    <row r="997" spans="4:4" s="21" customFormat="1">
      <c r="D997" s="164"/>
    </row>
    <row r="998" spans="4:4" s="21" customFormat="1">
      <c r="D998" s="164"/>
    </row>
    <row r="999" spans="4:4" s="21" customFormat="1">
      <c r="D999" s="164"/>
    </row>
    <row r="1000" spans="4:4" s="21" customFormat="1">
      <c r="D1000" s="164"/>
    </row>
    <row r="1001" spans="4:4" s="21" customFormat="1">
      <c r="D1001" s="164"/>
    </row>
    <row r="1002" spans="4:4" s="21" customFormat="1">
      <c r="D1002" s="164"/>
    </row>
    <row r="1003" spans="4:4" s="21" customFormat="1">
      <c r="D1003" s="164"/>
    </row>
    <row r="1004" spans="4:4" s="21" customFormat="1">
      <c r="D1004" s="164"/>
    </row>
    <row r="1005" spans="4:4" s="21" customFormat="1">
      <c r="D1005" s="164"/>
    </row>
    <row r="1006" spans="4:4" s="21" customFormat="1">
      <c r="D1006" s="164"/>
    </row>
    <row r="1007" spans="4:4" s="21" customFormat="1">
      <c r="D1007" s="164"/>
    </row>
    <row r="1008" spans="4:4" s="21" customFormat="1">
      <c r="D1008" s="164"/>
    </row>
    <row r="1009" spans="4:4" s="21" customFormat="1">
      <c r="D1009" s="164"/>
    </row>
    <row r="1010" spans="4:4" s="21" customFormat="1">
      <c r="D1010" s="164"/>
    </row>
    <row r="1011" spans="4:4" s="21" customFormat="1">
      <c r="D1011" s="164"/>
    </row>
    <row r="1012" spans="4:4" s="21" customFormat="1">
      <c r="D1012" s="164"/>
    </row>
    <row r="1013" spans="4:4" s="21" customFormat="1">
      <c r="D1013" s="164"/>
    </row>
    <row r="1014" spans="4:4" s="21" customFormat="1">
      <c r="D1014" s="164"/>
    </row>
    <row r="1015" spans="4:4" s="21" customFormat="1">
      <c r="D1015" s="164"/>
    </row>
    <row r="1016" spans="4:4" s="21" customFormat="1">
      <c r="D1016" s="164"/>
    </row>
    <row r="1017" spans="4:4" s="21" customFormat="1">
      <c r="D1017" s="164"/>
    </row>
    <row r="1018" spans="4:4" s="21" customFormat="1">
      <c r="D1018" s="164"/>
    </row>
    <row r="1019" spans="4:4" s="21" customFormat="1">
      <c r="D1019" s="164"/>
    </row>
    <row r="1020" spans="4:4" s="21" customFormat="1">
      <c r="D1020" s="164"/>
    </row>
    <row r="1021" spans="4:4" s="21" customFormat="1">
      <c r="D1021" s="164"/>
    </row>
    <row r="1022" spans="4:4" s="21" customFormat="1">
      <c r="D1022" s="164"/>
    </row>
    <row r="1023" spans="4:4" s="21" customFormat="1">
      <c r="D1023" s="164"/>
    </row>
    <row r="1024" spans="4:4" s="21" customFormat="1">
      <c r="D1024" s="164"/>
    </row>
    <row r="1025" spans="4:4" s="21" customFormat="1">
      <c r="D1025" s="164"/>
    </row>
    <row r="1026" spans="4:4" s="21" customFormat="1">
      <c r="D1026" s="164"/>
    </row>
    <row r="1027" spans="4:4" s="21" customFormat="1">
      <c r="D1027" s="164"/>
    </row>
    <row r="1028" spans="4:4" s="21" customFormat="1">
      <c r="D1028" s="164"/>
    </row>
    <row r="1029" spans="4:4" s="21" customFormat="1">
      <c r="D1029" s="164"/>
    </row>
    <row r="1030" spans="4:4" s="21" customFormat="1">
      <c r="D1030" s="164"/>
    </row>
    <row r="1031" spans="4:4" s="21" customFormat="1">
      <c r="D1031" s="164"/>
    </row>
    <row r="1032" spans="4:4" s="21" customFormat="1">
      <c r="D1032" s="164"/>
    </row>
    <row r="1033" spans="4:4" s="21" customFormat="1">
      <c r="D1033" s="164"/>
    </row>
    <row r="1034" spans="4:4" s="21" customFormat="1">
      <c r="D1034" s="164"/>
    </row>
    <row r="1035" spans="4:4" s="21" customFormat="1">
      <c r="D1035" s="164"/>
    </row>
    <row r="1036" spans="4:4" s="21" customFormat="1">
      <c r="D1036" s="164"/>
    </row>
    <row r="1037" spans="4:4" s="21" customFormat="1">
      <c r="D1037" s="164"/>
    </row>
    <row r="1038" spans="4:4" s="21" customFormat="1">
      <c r="D1038" s="164"/>
    </row>
    <row r="1039" spans="4:4" s="21" customFormat="1">
      <c r="D1039" s="164"/>
    </row>
    <row r="1040" spans="4:4" s="21" customFormat="1">
      <c r="D1040" s="164"/>
    </row>
    <row r="1041" spans="4:4" s="21" customFormat="1">
      <c r="D1041" s="164"/>
    </row>
    <row r="1042" spans="4:4" s="21" customFormat="1">
      <c r="D1042" s="164"/>
    </row>
    <row r="1043" spans="4:4" s="21" customFormat="1">
      <c r="D1043" s="164"/>
    </row>
    <row r="1044" spans="4:4" s="21" customFormat="1">
      <c r="D1044" s="164"/>
    </row>
    <row r="1045" spans="4:4" s="21" customFormat="1">
      <c r="D1045" s="164"/>
    </row>
    <row r="1046" spans="4:4" s="21" customFormat="1">
      <c r="D1046" s="164"/>
    </row>
    <row r="1047" spans="4:4" s="21" customFormat="1">
      <c r="D1047" s="164"/>
    </row>
    <row r="1048" spans="4:4" s="21" customFormat="1">
      <c r="D1048" s="164"/>
    </row>
    <row r="1049" spans="4:4" s="21" customFormat="1">
      <c r="D1049" s="164"/>
    </row>
    <row r="1050" spans="4:4" s="21" customFormat="1">
      <c r="D1050" s="164"/>
    </row>
    <row r="1051" spans="4:4" s="21" customFormat="1">
      <c r="D1051" s="164"/>
    </row>
    <row r="1052" spans="4:4" s="21" customFormat="1">
      <c r="D1052" s="164"/>
    </row>
    <row r="1053" spans="4:4" s="21" customFormat="1">
      <c r="D1053" s="164"/>
    </row>
    <row r="1054" spans="4:4" s="21" customFormat="1">
      <c r="D1054" s="164"/>
    </row>
    <row r="1055" spans="4:4" s="21" customFormat="1">
      <c r="D1055" s="164"/>
    </row>
    <row r="1056" spans="4:4" s="21" customFormat="1">
      <c r="D1056" s="164"/>
    </row>
    <row r="1057" spans="4:4" s="21" customFormat="1">
      <c r="D1057" s="164"/>
    </row>
    <row r="1058" spans="4:4" s="21" customFormat="1">
      <c r="D1058" s="164"/>
    </row>
    <row r="1059" spans="4:4" s="21" customFormat="1">
      <c r="D1059" s="164"/>
    </row>
    <row r="1060" spans="4:4" s="21" customFormat="1">
      <c r="D1060" s="164"/>
    </row>
    <row r="1061" spans="4:4" s="21" customFormat="1">
      <c r="D1061" s="164"/>
    </row>
    <row r="1062" spans="4:4" s="21" customFormat="1">
      <c r="D1062" s="164"/>
    </row>
    <row r="1063" spans="4:4" s="21" customFormat="1">
      <c r="D1063" s="164"/>
    </row>
    <row r="1064" spans="4:4" s="21" customFormat="1">
      <c r="D1064" s="164"/>
    </row>
    <row r="1065" spans="4:4" s="21" customFormat="1">
      <c r="D1065" s="164"/>
    </row>
    <row r="1066" spans="4:4" s="21" customFormat="1">
      <c r="D1066" s="164"/>
    </row>
    <row r="1067" spans="4:4" s="21" customFormat="1">
      <c r="D1067" s="164"/>
    </row>
    <row r="1068" spans="4:4" s="21" customFormat="1">
      <c r="D1068" s="164"/>
    </row>
    <row r="1069" spans="4:4" s="21" customFormat="1">
      <c r="D1069" s="164"/>
    </row>
    <row r="1070" spans="4:4" s="21" customFormat="1">
      <c r="D1070" s="164"/>
    </row>
    <row r="1071" spans="4:4" s="21" customFormat="1">
      <c r="D1071" s="164"/>
    </row>
    <row r="1072" spans="4:4" s="21" customFormat="1">
      <c r="D1072" s="164"/>
    </row>
    <row r="1073" spans="4:4" s="21" customFormat="1">
      <c r="D1073" s="164"/>
    </row>
    <row r="1074" spans="4:4" s="21" customFormat="1">
      <c r="D1074" s="164"/>
    </row>
    <row r="1075" spans="4:4" s="21" customFormat="1">
      <c r="D1075" s="164"/>
    </row>
    <row r="1076" spans="4:4" s="21" customFormat="1">
      <c r="D1076" s="164"/>
    </row>
    <row r="1077" spans="4:4" s="21" customFormat="1">
      <c r="D1077" s="164"/>
    </row>
    <row r="1078" spans="4:4" s="21" customFormat="1">
      <c r="D1078" s="164"/>
    </row>
    <row r="1079" spans="4:4" s="21" customFormat="1">
      <c r="D1079" s="164"/>
    </row>
    <row r="1080" spans="4:4" s="21" customFormat="1">
      <c r="D1080" s="164"/>
    </row>
    <row r="1081" spans="4:4" s="21" customFormat="1">
      <c r="D1081" s="164"/>
    </row>
    <row r="1082" spans="4:4" s="21" customFormat="1">
      <c r="D1082" s="164"/>
    </row>
    <row r="1083" spans="4:4" s="21" customFormat="1">
      <c r="D1083" s="164"/>
    </row>
    <row r="1084" spans="4:4" s="21" customFormat="1">
      <c r="D1084" s="164"/>
    </row>
    <row r="1085" spans="4:4" s="21" customFormat="1">
      <c r="D1085" s="164"/>
    </row>
    <row r="1086" spans="4:4" s="21" customFormat="1">
      <c r="D1086" s="164"/>
    </row>
    <row r="1087" spans="4:4" s="21" customFormat="1">
      <c r="D1087" s="164"/>
    </row>
    <row r="1088" spans="4:4" s="21" customFormat="1">
      <c r="D1088" s="164"/>
    </row>
    <row r="1089" spans="4:4" s="21" customFormat="1">
      <c r="D1089" s="164"/>
    </row>
    <row r="1090" spans="4:4" s="21" customFormat="1">
      <c r="D1090" s="164"/>
    </row>
    <row r="1091" spans="4:4" s="21" customFormat="1">
      <c r="D1091" s="164"/>
    </row>
    <row r="1092" spans="4:4" s="21" customFormat="1">
      <c r="D1092" s="164"/>
    </row>
    <row r="1093" spans="4:4" s="21" customFormat="1">
      <c r="D1093" s="164"/>
    </row>
    <row r="1094" spans="4:4" s="21" customFormat="1">
      <c r="D1094" s="164"/>
    </row>
    <row r="1095" spans="4:4" s="21" customFormat="1">
      <c r="D1095" s="164"/>
    </row>
    <row r="1096" spans="4:4" s="21" customFormat="1">
      <c r="D1096" s="164"/>
    </row>
    <row r="1097" spans="4:4" s="21" customFormat="1">
      <c r="D1097" s="164"/>
    </row>
    <row r="1098" spans="4:4" s="21" customFormat="1">
      <c r="D1098" s="164"/>
    </row>
    <row r="1099" spans="4:4" s="21" customFormat="1">
      <c r="D1099" s="164"/>
    </row>
    <row r="1100" spans="4:4" s="21" customFormat="1">
      <c r="D1100" s="164"/>
    </row>
    <row r="1101" spans="4:4" s="21" customFormat="1">
      <c r="D1101" s="164"/>
    </row>
    <row r="1102" spans="4:4" s="21" customFormat="1">
      <c r="D1102" s="164"/>
    </row>
    <row r="1103" spans="4:4" s="21" customFormat="1">
      <c r="D1103" s="164"/>
    </row>
    <row r="1104" spans="4:4" s="21" customFormat="1">
      <c r="D1104" s="164"/>
    </row>
    <row r="1105" spans="4:4" s="21" customFormat="1">
      <c r="D1105" s="164"/>
    </row>
    <row r="1106" spans="4:4" s="21" customFormat="1">
      <c r="D1106" s="164"/>
    </row>
    <row r="1107" spans="4:4" s="21" customFormat="1">
      <c r="D1107" s="164"/>
    </row>
    <row r="1108" spans="4:4" s="21" customFormat="1">
      <c r="D1108" s="164"/>
    </row>
    <row r="1109" spans="4:4" s="21" customFormat="1">
      <c r="D1109" s="164"/>
    </row>
    <row r="1110" spans="4:4" s="21" customFormat="1">
      <c r="D1110" s="164"/>
    </row>
    <row r="1111" spans="4:4" s="21" customFormat="1">
      <c r="D1111" s="164"/>
    </row>
    <row r="1112" spans="4:4" s="21" customFormat="1">
      <c r="D1112" s="164"/>
    </row>
    <row r="1113" spans="4:4" s="21" customFormat="1">
      <c r="D1113" s="164"/>
    </row>
    <row r="1114" spans="4:4" s="21" customFormat="1">
      <c r="D1114" s="164"/>
    </row>
    <row r="1115" spans="4:4" s="21" customFormat="1">
      <c r="D1115" s="164"/>
    </row>
    <row r="1116" spans="4:4" s="21" customFormat="1">
      <c r="D1116" s="164"/>
    </row>
    <row r="1117" spans="4:4" s="21" customFormat="1">
      <c r="D1117" s="164"/>
    </row>
    <row r="1118" spans="4:4" s="21" customFormat="1">
      <c r="D1118" s="164"/>
    </row>
    <row r="1119" spans="4:4" s="21" customFormat="1">
      <c r="D1119" s="164"/>
    </row>
    <row r="1120" spans="4:4" s="21" customFormat="1">
      <c r="D1120" s="164"/>
    </row>
    <row r="1121" spans="4:4" s="21" customFormat="1">
      <c r="D1121" s="164"/>
    </row>
    <row r="1122" spans="4:4" s="21" customFormat="1">
      <c r="D1122" s="164"/>
    </row>
    <row r="1123" spans="4:4" s="21" customFormat="1">
      <c r="D1123" s="164"/>
    </row>
    <row r="1124" spans="4:4" s="21" customFormat="1">
      <c r="D1124" s="164"/>
    </row>
    <row r="1125" spans="4:4" s="21" customFormat="1">
      <c r="D1125" s="164"/>
    </row>
    <row r="1126" spans="4:4" s="21" customFormat="1">
      <c r="D1126" s="164"/>
    </row>
    <row r="1127" spans="4:4" s="21" customFormat="1">
      <c r="D1127" s="164"/>
    </row>
    <row r="1128" spans="4:4" s="21" customFormat="1">
      <c r="D1128" s="164"/>
    </row>
    <row r="1129" spans="4:4" s="21" customFormat="1">
      <c r="D1129" s="164"/>
    </row>
    <row r="1130" spans="4:4" s="21" customFormat="1">
      <c r="D1130" s="164"/>
    </row>
    <row r="1131" spans="4:4" s="21" customFormat="1">
      <c r="D1131" s="164"/>
    </row>
    <row r="1132" spans="4:4" s="21" customFormat="1">
      <c r="D1132" s="164"/>
    </row>
    <row r="1133" spans="4:4" s="21" customFormat="1">
      <c r="D1133" s="164"/>
    </row>
    <row r="1134" spans="4:4" s="21" customFormat="1">
      <c r="D1134" s="164"/>
    </row>
    <row r="1135" spans="4:4" s="21" customFormat="1">
      <c r="D1135" s="164"/>
    </row>
    <row r="1136" spans="4:4" s="21" customFormat="1">
      <c r="D1136" s="164"/>
    </row>
    <row r="1137" spans="4:4" s="21" customFormat="1">
      <c r="D1137" s="164"/>
    </row>
    <row r="1138" spans="4:4" s="21" customFormat="1">
      <c r="D1138" s="164"/>
    </row>
    <row r="1139" spans="4:4" s="21" customFormat="1">
      <c r="D1139" s="164"/>
    </row>
    <row r="1140" spans="4:4" s="21" customFormat="1">
      <c r="D1140" s="164"/>
    </row>
    <row r="1141" spans="4:4" s="21" customFormat="1">
      <c r="D1141" s="164"/>
    </row>
    <row r="1142" spans="4:4" s="21" customFormat="1">
      <c r="D1142" s="164"/>
    </row>
    <row r="1143" spans="4:4" s="21" customFormat="1">
      <c r="D1143" s="164"/>
    </row>
    <row r="1144" spans="4:4" s="21" customFormat="1">
      <c r="D1144" s="164"/>
    </row>
    <row r="1145" spans="4:4" s="21" customFormat="1">
      <c r="D1145" s="164"/>
    </row>
    <row r="1146" spans="4:4" s="21" customFormat="1">
      <c r="D1146" s="164"/>
    </row>
    <row r="1147" spans="4:4" s="21" customFormat="1">
      <c r="D1147" s="164"/>
    </row>
    <row r="1148" spans="4:4" s="21" customFormat="1">
      <c r="D1148" s="164"/>
    </row>
    <row r="1149" spans="4:4" s="21" customFormat="1">
      <c r="D1149" s="164"/>
    </row>
    <row r="1150" spans="4:4" s="21" customFormat="1">
      <c r="D1150" s="164"/>
    </row>
    <row r="1151" spans="4:4" s="21" customFormat="1">
      <c r="D1151" s="164"/>
    </row>
    <row r="1152" spans="4:4" s="21" customFormat="1">
      <c r="D1152" s="164"/>
    </row>
    <row r="1153" spans="4:4" s="21" customFormat="1">
      <c r="D1153" s="164"/>
    </row>
    <row r="1154" spans="4:4" s="21" customFormat="1">
      <c r="D1154" s="164"/>
    </row>
    <row r="1155" spans="4:4" s="21" customFormat="1">
      <c r="D1155" s="164"/>
    </row>
    <row r="1156" spans="4:4" s="21" customFormat="1">
      <c r="D1156" s="164"/>
    </row>
    <row r="1157" spans="4:4" s="21" customFormat="1">
      <c r="D1157" s="164"/>
    </row>
    <row r="1158" spans="4:4" s="21" customFormat="1">
      <c r="D1158" s="164"/>
    </row>
    <row r="1159" spans="4:4" s="21" customFormat="1">
      <c r="D1159" s="164"/>
    </row>
    <row r="1160" spans="4:4" s="21" customFormat="1">
      <c r="D1160" s="164"/>
    </row>
    <row r="1161" spans="4:4" s="21" customFormat="1">
      <c r="D1161" s="164"/>
    </row>
    <row r="1162" spans="4:4" s="21" customFormat="1">
      <c r="D1162" s="164"/>
    </row>
    <row r="1163" spans="4:4" s="21" customFormat="1">
      <c r="D1163" s="164"/>
    </row>
    <row r="1164" spans="4:4" s="21" customFormat="1">
      <c r="D1164" s="164"/>
    </row>
    <row r="1165" spans="4:4" s="21" customFormat="1">
      <c r="D1165" s="164"/>
    </row>
    <row r="1166" spans="4:4" s="21" customFormat="1">
      <c r="D1166" s="164"/>
    </row>
    <row r="1167" spans="4:4" s="21" customFormat="1">
      <c r="D1167" s="164"/>
    </row>
    <row r="1168" spans="4:4" s="21" customFormat="1">
      <c r="D1168" s="164"/>
    </row>
    <row r="1169" spans="4:4" s="21" customFormat="1">
      <c r="D1169" s="164"/>
    </row>
    <row r="1170" spans="4:4" s="21" customFormat="1">
      <c r="D1170" s="164"/>
    </row>
    <row r="1171" spans="4:4" s="21" customFormat="1">
      <c r="D1171" s="164"/>
    </row>
    <row r="1172" spans="4:4" s="21" customFormat="1">
      <c r="D1172" s="164"/>
    </row>
    <row r="1173" spans="4:4" s="21" customFormat="1">
      <c r="D1173" s="164"/>
    </row>
    <row r="1174" spans="4:4" s="21" customFormat="1">
      <c r="D1174" s="164"/>
    </row>
    <row r="1175" spans="4:4" s="21" customFormat="1">
      <c r="D1175" s="164"/>
    </row>
    <row r="1176" spans="4:4" s="21" customFormat="1">
      <c r="D1176" s="164"/>
    </row>
    <row r="1177" spans="4:4" s="21" customFormat="1">
      <c r="D1177" s="164"/>
    </row>
    <row r="1178" spans="4:4" s="21" customFormat="1">
      <c r="D1178" s="164"/>
    </row>
    <row r="1179" spans="4:4" s="21" customFormat="1">
      <c r="D1179" s="164"/>
    </row>
    <row r="1180" spans="4:4" s="21" customFormat="1">
      <c r="D1180" s="164"/>
    </row>
    <row r="1181" spans="4:4" s="21" customFormat="1">
      <c r="D1181" s="164"/>
    </row>
    <row r="1182" spans="4:4" s="21" customFormat="1">
      <c r="D1182" s="164"/>
    </row>
    <row r="1183" spans="4:4" s="21" customFormat="1">
      <c r="D1183" s="164"/>
    </row>
    <row r="1184" spans="4:4" s="21" customFormat="1">
      <c r="D1184" s="164"/>
    </row>
    <row r="1185" spans="4:4" s="21" customFormat="1">
      <c r="D1185" s="164"/>
    </row>
    <row r="1186" spans="4:4" s="21" customFormat="1">
      <c r="D1186" s="164"/>
    </row>
    <row r="1187" spans="4:4" s="21" customFormat="1">
      <c r="D1187" s="164"/>
    </row>
    <row r="1188" spans="4:4" s="21" customFormat="1">
      <c r="D1188" s="164"/>
    </row>
    <row r="1189" spans="4:4" s="21" customFormat="1">
      <c r="D1189" s="164"/>
    </row>
    <row r="1190" spans="4:4" s="21" customFormat="1">
      <c r="D1190" s="164"/>
    </row>
    <row r="1191" spans="4:4" s="21" customFormat="1">
      <c r="D1191" s="164"/>
    </row>
    <row r="1192" spans="4:4" s="21" customFormat="1">
      <c r="D1192" s="164"/>
    </row>
    <row r="1193" spans="4:4" s="21" customFormat="1">
      <c r="D1193" s="164"/>
    </row>
    <row r="1194" spans="4:4" s="21" customFormat="1">
      <c r="D1194" s="164"/>
    </row>
    <row r="1195" spans="4:4" s="21" customFormat="1">
      <c r="D1195" s="164"/>
    </row>
    <row r="1196" spans="4:4" s="21" customFormat="1">
      <c r="D1196" s="164"/>
    </row>
    <row r="1197" spans="4:4" s="21" customFormat="1">
      <c r="D1197" s="164"/>
    </row>
    <row r="1198" spans="4:4" s="21" customFormat="1">
      <c r="D1198" s="164"/>
    </row>
    <row r="1199" spans="4:4" s="21" customFormat="1">
      <c r="D1199" s="164"/>
    </row>
    <row r="1200" spans="4:4" s="21" customFormat="1">
      <c r="D1200" s="164"/>
    </row>
    <row r="1201" spans="4:4" s="21" customFormat="1">
      <c r="D1201" s="164"/>
    </row>
    <row r="1202" spans="4:4" s="21" customFormat="1">
      <c r="D1202" s="164"/>
    </row>
    <row r="1203" spans="4:4" s="21" customFormat="1">
      <c r="D1203" s="164"/>
    </row>
    <row r="1204" spans="4:4" s="21" customFormat="1">
      <c r="D1204" s="164"/>
    </row>
    <row r="1205" spans="4:4" s="21" customFormat="1">
      <c r="D1205" s="164"/>
    </row>
    <row r="1206" spans="4:4" s="21" customFormat="1">
      <c r="D1206" s="164"/>
    </row>
    <row r="1207" spans="4:4" s="21" customFormat="1">
      <c r="D1207" s="164"/>
    </row>
    <row r="1208" spans="4:4" s="21" customFormat="1">
      <c r="D1208" s="164"/>
    </row>
    <row r="1209" spans="4:4" s="21" customFormat="1">
      <c r="D1209" s="164"/>
    </row>
    <row r="1210" spans="4:4" s="21" customFormat="1">
      <c r="D1210" s="164"/>
    </row>
    <row r="1211" spans="4:4" s="21" customFormat="1">
      <c r="D1211" s="164"/>
    </row>
    <row r="1212" spans="4:4" s="21" customFormat="1">
      <c r="D1212" s="164"/>
    </row>
    <row r="1213" spans="4:4" s="21" customFormat="1">
      <c r="D1213" s="164"/>
    </row>
    <row r="1214" spans="4:4" s="21" customFormat="1">
      <c r="D1214" s="164"/>
    </row>
    <row r="1215" spans="4:4" s="21" customFormat="1">
      <c r="D1215" s="164"/>
    </row>
    <row r="1216" spans="4:4" s="21" customFormat="1">
      <c r="D1216" s="164"/>
    </row>
    <row r="1217" spans="4:4" s="21" customFormat="1">
      <c r="D1217" s="164"/>
    </row>
    <row r="1218" spans="4:4" s="21" customFormat="1">
      <c r="D1218" s="164"/>
    </row>
    <row r="1219" spans="4:4" s="21" customFormat="1">
      <c r="D1219" s="164"/>
    </row>
    <row r="1220" spans="4:4" s="21" customFormat="1">
      <c r="D1220" s="164"/>
    </row>
    <row r="1221" spans="4:4" s="21" customFormat="1">
      <c r="D1221" s="164"/>
    </row>
    <row r="1222" spans="4:4" s="21" customFormat="1">
      <c r="D1222" s="164"/>
    </row>
    <row r="1223" spans="4:4" s="21" customFormat="1">
      <c r="D1223" s="164"/>
    </row>
    <row r="1224" spans="4:4" s="21" customFormat="1">
      <c r="D1224" s="164"/>
    </row>
    <row r="1225" spans="4:4" s="21" customFormat="1">
      <c r="D1225" s="164"/>
    </row>
    <row r="1226" spans="4:4" s="21" customFormat="1">
      <c r="D1226" s="164"/>
    </row>
    <row r="1227" spans="4:4" s="21" customFormat="1">
      <c r="D1227" s="164"/>
    </row>
    <row r="1228" spans="4:4" s="21" customFormat="1">
      <c r="D1228" s="164"/>
    </row>
    <row r="1229" spans="4:4" s="21" customFormat="1">
      <c r="D1229" s="164"/>
    </row>
    <row r="1230" spans="4:4" s="21" customFormat="1">
      <c r="D1230" s="164"/>
    </row>
    <row r="1231" spans="4:4" s="21" customFormat="1">
      <c r="D1231" s="164"/>
    </row>
    <row r="1232" spans="4:4" s="21" customFormat="1">
      <c r="D1232" s="164"/>
    </row>
    <row r="1233" spans="4:4" s="21" customFormat="1">
      <c r="D1233" s="164"/>
    </row>
    <row r="1234" spans="4:4" s="21" customFormat="1">
      <c r="D1234" s="164"/>
    </row>
    <row r="1235" spans="4:4" s="21" customFormat="1">
      <c r="D1235" s="164"/>
    </row>
    <row r="1236" spans="4:4" s="21" customFormat="1">
      <c r="D1236" s="164"/>
    </row>
    <row r="1237" spans="4:4" s="21" customFormat="1">
      <c r="D1237" s="164"/>
    </row>
    <row r="1238" spans="4:4" s="21" customFormat="1">
      <c r="D1238" s="164"/>
    </row>
    <row r="1239" spans="4:4" s="21" customFormat="1">
      <c r="D1239" s="164"/>
    </row>
    <row r="1240" spans="4:4" s="21" customFormat="1">
      <c r="D1240" s="164"/>
    </row>
    <row r="1241" spans="4:4" s="21" customFormat="1">
      <c r="D1241" s="164"/>
    </row>
    <row r="1242" spans="4:4" s="21" customFormat="1">
      <c r="D1242" s="164"/>
    </row>
    <row r="1243" spans="4:4" s="21" customFormat="1">
      <c r="D1243" s="164"/>
    </row>
    <row r="1244" spans="4:4" s="21" customFormat="1">
      <c r="D1244" s="164"/>
    </row>
    <row r="1245" spans="4:4" s="21" customFormat="1">
      <c r="D1245" s="164"/>
    </row>
    <row r="1246" spans="4:4" s="21" customFormat="1">
      <c r="D1246" s="164"/>
    </row>
    <row r="1247" spans="4:4" s="21" customFormat="1">
      <c r="D1247" s="164"/>
    </row>
    <row r="1248" spans="4:4" s="21" customFormat="1">
      <c r="D1248" s="164"/>
    </row>
    <row r="1249" spans="4:4" s="21" customFormat="1">
      <c r="D1249" s="164"/>
    </row>
    <row r="1250" spans="4:4" s="21" customFormat="1">
      <c r="D1250" s="164"/>
    </row>
    <row r="1251" spans="4:4" s="21" customFormat="1">
      <c r="D1251" s="164"/>
    </row>
    <row r="1252" spans="4:4" s="21" customFormat="1">
      <c r="D1252" s="164"/>
    </row>
    <row r="1253" spans="4:4" s="21" customFormat="1">
      <c r="D1253" s="164"/>
    </row>
    <row r="1254" spans="4:4" s="21" customFormat="1">
      <c r="D1254" s="164"/>
    </row>
    <row r="1255" spans="4:4" s="21" customFormat="1">
      <c r="D1255" s="164"/>
    </row>
    <row r="1256" spans="4:4" s="21" customFormat="1">
      <c r="D1256" s="164"/>
    </row>
    <row r="1257" spans="4:4" s="21" customFormat="1">
      <c r="D1257" s="164"/>
    </row>
    <row r="1258" spans="4:4" s="21" customFormat="1">
      <c r="D1258" s="164"/>
    </row>
    <row r="1259" spans="4:4" s="21" customFormat="1">
      <c r="D1259" s="164"/>
    </row>
    <row r="1260" spans="4:4" s="21" customFormat="1">
      <c r="D1260" s="164"/>
    </row>
    <row r="1261" spans="4:4" s="21" customFormat="1">
      <c r="D1261" s="164"/>
    </row>
    <row r="1262" spans="4:4" s="21" customFormat="1">
      <c r="D1262" s="164"/>
    </row>
    <row r="1263" spans="4:4" s="21" customFormat="1">
      <c r="D1263" s="164"/>
    </row>
    <row r="1264" spans="4:4" s="21" customFormat="1">
      <c r="D1264" s="164"/>
    </row>
    <row r="1265" spans="4:4" s="21" customFormat="1">
      <c r="D1265" s="164"/>
    </row>
    <row r="1266" spans="4:4" s="21" customFormat="1">
      <c r="D1266" s="164"/>
    </row>
    <row r="1267" spans="4:4" s="21" customFormat="1">
      <c r="D1267" s="164"/>
    </row>
    <row r="1268" spans="4:4" s="21" customFormat="1">
      <c r="D1268" s="164"/>
    </row>
    <row r="1269" spans="4:4" s="21" customFormat="1">
      <c r="D1269" s="164"/>
    </row>
    <row r="1270" spans="4:4" s="21" customFormat="1">
      <c r="D1270" s="164"/>
    </row>
    <row r="1271" spans="4:4" s="21" customFormat="1">
      <c r="D1271" s="164"/>
    </row>
    <row r="1272" spans="4:4" s="21" customFormat="1">
      <c r="D1272" s="164"/>
    </row>
    <row r="1273" spans="4:4" s="21" customFormat="1">
      <c r="D1273" s="164"/>
    </row>
    <row r="1274" spans="4:4" s="21" customFormat="1">
      <c r="D1274" s="164"/>
    </row>
    <row r="1275" spans="4:4" s="21" customFormat="1">
      <c r="D1275" s="164"/>
    </row>
    <row r="1276" spans="4:4" s="21" customFormat="1">
      <c r="D1276" s="164"/>
    </row>
    <row r="1277" spans="4:4" s="21" customFormat="1">
      <c r="D1277" s="164"/>
    </row>
    <row r="1278" spans="4:4" s="21" customFormat="1">
      <c r="D1278" s="164"/>
    </row>
    <row r="1279" spans="4:4" s="21" customFormat="1">
      <c r="D1279" s="164"/>
    </row>
    <row r="1280" spans="4:4" s="21" customFormat="1">
      <c r="D1280" s="164"/>
    </row>
    <row r="1281" spans="4:4" s="21" customFormat="1">
      <c r="D1281" s="164"/>
    </row>
    <row r="1282" spans="4:4" s="21" customFormat="1">
      <c r="D1282" s="164"/>
    </row>
    <row r="1283" spans="4:4" s="21" customFormat="1">
      <c r="D1283" s="164"/>
    </row>
    <row r="1284" spans="4:4" s="21" customFormat="1">
      <c r="D1284" s="164"/>
    </row>
    <row r="1285" spans="4:4" s="21" customFormat="1">
      <c r="D1285" s="164"/>
    </row>
    <row r="1286" spans="4:4" s="21" customFormat="1">
      <c r="D1286" s="164"/>
    </row>
    <row r="1287" spans="4:4" s="21" customFormat="1">
      <c r="D1287" s="164"/>
    </row>
    <row r="1288" spans="4:4" s="21" customFormat="1">
      <c r="D1288" s="164"/>
    </row>
    <row r="1289" spans="4:4" s="21" customFormat="1">
      <c r="D1289" s="164"/>
    </row>
    <row r="1290" spans="4:4" s="21" customFormat="1">
      <c r="D1290" s="164"/>
    </row>
    <row r="1291" spans="4:4" s="21" customFormat="1">
      <c r="D1291" s="164"/>
    </row>
    <row r="1292" spans="4:4" s="21" customFormat="1">
      <c r="D1292" s="164"/>
    </row>
    <row r="1293" spans="4:4" s="21" customFormat="1">
      <c r="D1293" s="164"/>
    </row>
    <row r="1294" spans="4:4" s="21" customFormat="1">
      <c r="D1294" s="164"/>
    </row>
    <row r="1295" spans="4:4" s="21" customFormat="1">
      <c r="D1295" s="164"/>
    </row>
    <row r="1296" spans="4:4" s="21" customFormat="1">
      <c r="D1296" s="164"/>
    </row>
    <row r="1297" spans="4:4" s="21" customFormat="1">
      <c r="D1297" s="164"/>
    </row>
    <row r="1298" spans="4:4" s="21" customFormat="1">
      <c r="D1298" s="164"/>
    </row>
    <row r="1299" spans="4:4" s="21" customFormat="1">
      <c r="D1299" s="164"/>
    </row>
    <row r="1300" spans="4:4" s="21" customFormat="1">
      <c r="D1300" s="164"/>
    </row>
    <row r="1301" spans="4:4" s="21" customFormat="1">
      <c r="D1301" s="164"/>
    </row>
    <row r="1302" spans="4:4" s="21" customFormat="1">
      <c r="D1302" s="164"/>
    </row>
    <row r="1303" spans="4:4" s="21" customFormat="1">
      <c r="D1303" s="164"/>
    </row>
    <row r="1304" spans="4:4" s="21" customFormat="1">
      <c r="D1304" s="164"/>
    </row>
    <row r="1305" spans="4:4" s="21" customFormat="1">
      <c r="D1305" s="164"/>
    </row>
    <row r="1306" spans="4:4" s="21" customFormat="1">
      <c r="D1306" s="164"/>
    </row>
    <row r="1307" spans="4:4" s="21" customFormat="1">
      <c r="D1307" s="164"/>
    </row>
    <row r="1308" spans="4:4" s="21" customFormat="1">
      <c r="D1308" s="164"/>
    </row>
    <row r="1309" spans="4:4" s="21" customFormat="1">
      <c r="D1309" s="164"/>
    </row>
    <row r="1310" spans="4:4" s="21" customFormat="1">
      <c r="D1310" s="164"/>
    </row>
    <row r="1311" spans="4:4" s="21" customFormat="1">
      <c r="D1311" s="164"/>
    </row>
    <row r="1312" spans="4:4" s="21" customFormat="1">
      <c r="D1312" s="164"/>
    </row>
    <row r="1313" spans="4:4" s="21" customFormat="1">
      <c r="D1313" s="164"/>
    </row>
    <row r="1314" spans="4:4" s="21" customFormat="1">
      <c r="D1314" s="164"/>
    </row>
    <row r="1315" spans="4:4" s="21" customFormat="1">
      <c r="D1315" s="164"/>
    </row>
    <row r="1316" spans="4:4" s="21" customFormat="1">
      <c r="D1316" s="164"/>
    </row>
    <row r="1317" spans="4:4" s="21" customFormat="1">
      <c r="D1317" s="164"/>
    </row>
    <row r="1318" spans="4:4" s="21" customFormat="1">
      <c r="D1318" s="164"/>
    </row>
    <row r="1319" spans="4:4" s="21" customFormat="1">
      <c r="D1319" s="164"/>
    </row>
    <row r="1320" spans="4:4" s="21" customFormat="1">
      <c r="D1320" s="164"/>
    </row>
    <row r="1321" spans="4:4" s="21" customFormat="1">
      <c r="D1321" s="164"/>
    </row>
    <row r="1322" spans="4:4" s="21" customFormat="1">
      <c r="D1322" s="164"/>
    </row>
    <row r="1323" spans="4:4" s="21" customFormat="1">
      <c r="D1323" s="164"/>
    </row>
    <row r="1324" spans="4:4" s="21" customFormat="1">
      <c r="D1324" s="164"/>
    </row>
    <row r="1325" spans="4:4" s="21" customFormat="1">
      <c r="D1325" s="164"/>
    </row>
    <row r="1326" spans="4:4" s="21" customFormat="1">
      <c r="D1326" s="164"/>
    </row>
    <row r="1327" spans="4:4" s="21" customFormat="1">
      <c r="D1327" s="164"/>
    </row>
    <row r="1328" spans="4:4" s="21" customFormat="1">
      <c r="D1328" s="164"/>
    </row>
    <row r="1329" spans="4:4" s="21" customFormat="1">
      <c r="D1329" s="164"/>
    </row>
    <row r="1330" spans="4:4" s="21" customFormat="1">
      <c r="D1330" s="164"/>
    </row>
    <row r="1331" spans="4:4" s="21" customFormat="1">
      <c r="D1331" s="164"/>
    </row>
    <row r="1332" spans="4:4" s="21" customFormat="1">
      <c r="D1332" s="164"/>
    </row>
    <row r="1333" spans="4:4" s="21" customFormat="1">
      <c r="D1333" s="164"/>
    </row>
    <row r="1334" spans="4:4" s="21" customFormat="1">
      <c r="D1334" s="164"/>
    </row>
    <row r="1335" spans="4:4" s="21" customFormat="1">
      <c r="D1335" s="164"/>
    </row>
    <row r="1336" spans="4:4" s="21" customFormat="1">
      <c r="D1336" s="164"/>
    </row>
    <row r="1337" spans="4:4" s="21" customFormat="1">
      <c r="D1337" s="164"/>
    </row>
    <row r="1338" spans="4:4" s="21" customFormat="1">
      <c r="D1338" s="164"/>
    </row>
    <row r="1339" spans="4:4" s="21" customFormat="1">
      <c r="D1339" s="164"/>
    </row>
    <row r="1340" spans="4:4" s="21" customFormat="1">
      <c r="D1340" s="164"/>
    </row>
    <row r="1341" spans="4:4" s="21" customFormat="1">
      <c r="D1341" s="164"/>
    </row>
    <row r="1342" spans="4:4" s="21" customFormat="1">
      <c r="D1342" s="164"/>
    </row>
    <row r="1343" spans="4:4" s="21" customFormat="1">
      <c r="D1343" s="164"/>
    </row>
    <row r="1344" spans="4:4" s="21" customFormat="1">
      <c r="D1344" s="164"/>
    </row>
    <row r="1345" spans="4:4" s="21" customFormat="1">
      <c r="D1345" s="164"/>
    </row>
    <row r="1346" spans="4:4" s="21" customFormat="1">
      <c r="D1346" s="164"/>
    </row>
    <row r="1347" spans="4:4" s="21" customFormat="1">
      <c r="D1347" s="164"/>
    </row>
    <row r="1348" spans="4:4" s="21" customFormat="1">
      <c r="D1348" s="164"/>
    </row>
    <row r="1349" spans="4:4" s="21" customFormat="1">
      <c r="D1349" s="164"/>
    </row>
    <row r="1350" spans="4:4" s="21" customFormat="1">
      <c r="D1350" s="164"/>
    </row>
    <row r="1351" spans="4:4" s="21" customFormat="1">
      <c r="D1351" s="164"/>
    </row>
    <row r="1352" spans="4:4" s="21" customFormat="1">
      <c r="D1352" s="164"/>
    </row>
    <row r="1353" spans="4:4" s="21" customFormat="1">
      <c r="D1353" s="164"/>
    </row>
    <row r="1354" spans="4:4" s="21" customFormat="1">
      <c r="D1354" s="164"/>
    </row>
    <row r="1355" spans="4:4" s="21" customFormat="1">
      <c r="D1355" s="164"/>
    </row>
    <row r="1356" spans="4:4" s="21" customFormat="1">
      <c r="D1356" s="164"/>
    </row>
    <row r="1357" spans="4:4" s="21" customFormat="1">
      <c r="D1357" s="164"/>
    </row>
    <row r="1358" spans="4:4" s="21" customFormat="1">
      <c r="D1358" s="164"/>
    </row>
    <row r="1359" spans="4:4" s="21" customFormat="1">
      <c r="D1359" s="164"/>
    </row>
    <row r="1360" spans="4:4" s="21" customFormat="1">
      <c r="D1360" s="164"/>
    </row>
    <row r="1361" spans="4:4" s="21" customFormat="1">
      <c r="D1361" s="164"/>
    </row>
    <row r="1362" spans="4:4" s="21" customFormat="1">
      <c r="D1362" s="164"/>
    </row>
    <row r="1363" spans="4:4" s="21" customFormat="1">
      <c r="D1363" s="164"/>
    </row>
    <row r="1364" spans="4:4" s="21" customFormat="1">
      <c r="D1364" s="164"/>
    </row>
    <row r="1365" spans="4:4" s="21" customFormat="1">
      <c r="D1365" s="164"/>
    </row>
    <row r="1366" spans="4:4" s="21" customFormat="1">
      <c r="D1366" s="164"/>
    </row>
    <row r="1367" spans="4:4" s="21" customFormat="1">
      <c r="D1367" s="164"/>
    </row>
    <row r="1368" spans="4:4" s="21" customFormat="1">
      <c r="D1368" s="164"/>
    </row>
    <row r="1369" spans="4:4" s="21" customFormat="1">
      <c r="D1369" s="164"/>
    </row>
    <row r="1370" spans="4:4" s="21" customFormat="1">
      <c r="D1370" s="164"/>
    </row>
    <row r="1371" spans="4:4" s="21" customFormat="1">
      <c r="D1371" s="164"/>
    </row>
    <row r="1372" spans="4:4" s="21" customFormat="1">
      <c r="D1372" s="164"/>
    </row>
    <row r="1373" spans="4:4" s="21" customFormat="1">
      <c r="D1373" s="164"/>
    </row>
    <row r="1374" spans="4:4" s="21" customFormat="1">
      <c r="D1374" s="164"/>
    </row>
    <row r="1375" spans="4:4" s="21" customFormat="1">
      <c r="D1375" s="164"/>
    </row>
    <row r="1376" spans="4:4" s="21" customFormat="1">
      <c r="D1376" s="164"/>
    </row>
    <row r="1377" spans="4:4" s="21" customFormat="1">
      <c r="D1377" s="164"/>
    </row>
    <row r="1378" spans="4:4" s="21" customFormat="1">
      <c r="D1378" s="164"/>
    </row>
    <row r="1379" spans="4:4" s="21" customFormat="1">
      <c r="D1379" s="164"/>
    </row>
    <row r="1380" spans="4:4" s="21" customFormat="1">
      <c r="D1380" s="164"/>
    </row>
    <row r="1381" spans="4:4" s="21" customFormat="1">
      <c r="D1381" s="164"/>
    </row>
    <row r="1382" spans="4:4" s="21" customFormat="1">
      <c r="D1382" s="164"/>
    </row>
    <row r="1383" spans="4:4" s="21" customFormat="1">
      <c r="D1383" s="164"/>
    </row>
    <row r="1384" spans="4:4" s="21" customFormat="1">
      <c r="D1384" s="164"/>
    </row>
    <row r="1385" spans="4:4" s="21" customFormat="1">
      <c r="D1385" s="164"/>
    </row>
    <row r="1386" spans="4:4" s="21" customFormat="1">
      <c r="D1386" s="164"/>
    </row>
    <row r="1387" spans="4:4" s="21" customFormat="1">
      <c r="D1387" s="164"/>
    </row>
    <row r="1388" spans="4:4" s="21" customFormat="1">
      <c r="D1388" s="164"/>
    </row>
    <row r="1389" spans="4:4" s="21" customFormat="1">
      <c r="D1389" s="164"/>
    </row>
    <row r="1390" spans="4:4" s="21" customFormat="1">
      <c r="D1390" s="164"/>
    </row>
    <row r="1391" spans="4:4" s="21" customFormat="1">
      <c r="D1391" s="164"/>
    </row>
    <row r="1392" spans="4:4" s="21" customFormat="1">
      <c r="D1392" s="164"/>
    </row>
    <row r="1393" spans="4:4" s="21" customFormat="1">
      <c r="D1393" s="164"/>
    </row>
    <row r="1394" spans="4:4" s="21" customFormat="1">
      <c r="D1394" s="164"/>
    </row>
    <row r="1395" spans="4:4" s="21" customFormat="1">
      <c r="D1395" s="164"/>
    </row>
    <row r="1396" spans="4:4" s="21" customFormat="1">
      <c r="D1396" s="164"/>
    </row>
    <row r="1397" spans="4:4" s="21" customFormat="1">
      <c r="D1397" s="164"/>
    </row>
    <row r="1398" spans="4:4" s="21" customFormat="1">
      <c r="D1398" s="164"/>
    </row>
    <row r="1399" spans="4:4" s="21" customFormat="1">
      <c r="D1399" s="164"/>
    </row>
    <row r="1400" spans="4:4" s="21" customFormat="1">
      <c r="D1400" s="164"/>
    </row>
    <row r="1401" spans="4:4" s="21" customFormat="1">
      <c r="D1401" s="164"/>
    </row>
    <row r="1402" spans="4:4" s="21" customFormat="1">
      <c r="D1402" s="164"/>
    </row>
    <row r="1403" spans="4:4" s="21" customFormat="1">
      <c r="D1403" s="164"/>
    </row>
    <row r="1404" spans="4:4" s="21" customFormat="1">
      <c r="D1404" s="164"/>
    </row>
    <row r="1405" spans="4:4" s="21" customFormat="1">
      <c r="D1405" s="164"/>
    </row>
    <row r="1406" spans="4:4" s="21" customFormat="1">
      <c r="D1406" s="164"/>
    </row>
    <row r="1407" spans="4:4" s="21" customFormat="1">
      <c r="D1407" s="164"/>
    </row>
    <row r="1408" spans="4:4" s="21" customFormat="1">
      <c r="D1408" s="164"/>
    </row>
    <row r="1409" spans="4:4" s="21" customFormat="1">
      <c r="D1409" s="164"/>
    </row>
    <row r="1410" spans="4:4" s="21" customFormat="1">
      <c r="D1410" s="164"/>
    </row>
    <row r="1411" spans="4:4" s="21" customFormat="1">
      <c r="D1411" s="164"/>
    </row>
    <row r="1412" spans="4:4" s="21" customFormat="1">
      <c r="D1412" s="164"/>
    </row>
    <row r="1413" spans="4:4" s="21" customFormat="1">
      <c r="D1413" s="164"/>
    </row>
    <row r="1414" spans="4:4" s="21" customFormat="1">
      <c r="D1414" s="164"/>
    </row>
    <row r="1415" spans="4:4" s="21" customFormat="1">
      <c r="D1415" s="164"/>
    </row>
    <row r="1416" spans="4:4" s="21" customFormat="1">
      <c r="D1416" s="164"/>
    </row>
    <row r="1417" spans="4:4" s="21" customFormat="1">
      <c r="D1417" s="164"/>
    </row>
    <row r="1418" spans="4:4" s="21" customFormat="1">
      <c r="D1418" s="164"/>
    </row>
    <row r="1419" spans="4:4" s="21" customFormat="1">
      <c r="D1419" s="164"/>
    </row>
    <row r="1420" spans="4:4" s="21" customFormat="1">
      <c r="D1420" s="164"/>
    </row>
    <row r="1421" spans="4:4" s="21" customFormat="1">
      <c r="D1421" s="164"/>
    </row>
    <row r="1422" spans="4:4" s="21" customFormat="1">
      <c r="D1422" s="164"/>
    </row>
    <row r="1423" spans="4:4" s="21" customFormat="1">
      <c r="D1423" s="164"/>
    </row>
    <row r="1424" spans="4:4" s="21" customFormat="1">
      <c r="D1424" s="164"/>
    </row>
    <row r="1425" spans="4:4" s="21" customFormat="1">
      <c r="D1425" s="164"/>
    </row>
    <row r="1426" spans="4:4" s="21" customFormat="1">
      <c r="D1426" s="164"/>
    </row>
    <row r="1427" spans="4:4" s="21" customFormat="1">
      <c r="D1427" s="164"/>
    </row>
    <row r="1428" spans="4:4" s="21" customFormat="1">
      <c r="D1428" s="164"/>
    </row>
    <row r="1429" spans="4:4" s="21" customFormat="1">
      <c r="D1429" s="164"/>
    </row>
    <row r="1430" spans="4:4" s="21" customFormat="1">
      <c r="D1430" s="164"/>
    </row>
    <row r="1431" spans="4:4" s="21" customFormat="1">
      <c r="D1431" s="164"/>
    </row>
    <row r="1432" spans="4:4" s="21" customFormat="1">
      <c r="D1432" s="164"/>
    </row>
    <row r="1433" spans="4:4" s="21" customFormat="1">
      <c r="D1433" s="164"/>
    </row>
    <row r="1434" spans="4:4" s="21" customFormat="1">
      <c r="D1434" s="164"/>
    </row>
    <row r="1435" spans="4:4" s="21" customFormat="1">
      <c r="D1435" s="164"/>
    </row>
    <row r="1436" spans="4:4" s="21" customFormat="1">
      <c r="D1436" s="164"/>
    </row>
    <row r="1437" spans="4:4" s="21" customFormat="1">
      <c r="D1437" s="164"/>
    </row>
    <row r="1438" spans="4:4" s="21" customFormat="1">
      <c r="D1438" s="164"/>
    </row>
    <row r="1439" spans="4:4" s="21" customFormat="1">
      <c r="D1439" s="164"/>
    </row>
    <row r="1440" spans="4:4" s="21" customFormat="1">
      <c r="D1440" s="164"/>
    </row>
    <row r="1441" spans="4:4" s="21" customFormat="1">
      <c r="D1441" s="164"/>
    </row>
    <row r="1442" spans="4:4" s="21" customFormat="1">
      <c r="D1442" s="164"/>
    </row>
    <row r="1443" spans="4:4" s="21" customFormat="1">
      <c r="D1443" s="164"/>
    </row>
    <row r="1444" spans="4:4" s="21" customFormat="1">
      <c r="D1444" s="164"/>
    </row>
    <row r="1445" spans="4:4" s="21" customFormat="1">
      <c r="D1445" s="164"/>
    </row>
    <row r="1446" spans="4:4" s="21" customFormat="1">
      <c r="D1446" s="164"/>
    </row>
    <row r="1447" spans="4:4" s="21" customFormat="1">
      <c r="D1447" s="164"/>
    </row>
    <row r="1448" spans="4:4" s="21" customFormat="1">
      <c r="D1448" s="164"/>
    </row>
    <row r="1449" spans="4:4" s="21" customFormat="1">
      <c r="D1449" s="164"/>
    </row>
    <row r="1450" spans="4:4" s="21" customFormat="1">
      <c r="D1450" s="164"/>
    </row>
    <row r="1451" spans="4:4" s="21" customFormat="1">
      <c r="D1451" s="164"/>
    </row>
    <row r="1452" spans="4:4" s="21" customFormat="1">
      <c r="D1452" s="164"/>
    </row>
    <row r="1453" spans="4:4" s="21" customFormat="1">
      <c r="D1453" s="164"/>
    </row>
    <row r="1454" spans="4:4" s="21" customFormat="1">
      <c r="D1454" s="164"/>
    </row>
    <row r="1455" spans="4:4" s="21" customFormat="1">
      <c r="D1455" s="164"/>
    </row>
    <row r="1456" spans="4:4" s="21" customFormat="1">
      <c r="D1456" s="164"/>
    </row>
    <row r="1457" spans="4:4" s="21" customFormat="1">
      <c r="D1457" s="164"/>
    </row>
    <row r="1458" spans="4:4" s="21" customFormat="1">
      <c r="D1458" s="164"/>
    </row>
    <row r="1459" spans="4:4" s="21" customFormat="1">
      <c r="D1459" s="164"/>
    </row>
    <row r="1460" spans="4:4" s="21" customFormat="1">
      <c r="D1460" s="164"/>
    </row>
    <row r="1461" spans="4:4" s="21" customFormat="1">
      <c r="D1461" s="164"/>
    </row>
    <row r="1462" spans="4:4" s="21" customFormat="1">
      <c r="D1462" s="164"/>
    </row>
    <row r="1463" spans="4:4" s="21" customFormat="1">
      <c r="D1463" s="164"/>
    </row>
    <row r="1464" spans="4:4" s="21" customFormat="1">
      <c r="D1464" s="164"/>
    </row>
    <row r="1465" spans="4:4" s="21" customFormat="1">
      <c r="D1465" s="164"/>
    </row>
    <row r="1466" spans="4:4" s="21" customFormat="1">
      <c r="D1466" s="164"/>
    </row>
    <row r="1467" spans="4:4" s="21" customFormat="1">
      <c r="D1467" s="164"/>
    </row>
    <row r="1468" spans="4:4" s="21" customFormat="1">
      <c r="D1468" s="164"/>
    </row>
    <row r="1469" spans="4:4" s="21" customFormat="1">
      <c r="D1469" s="164"/>
    </row>
    <row r="1470" spans="4:4" s="21" customFormat="1">
      <c r="D1470" s="164"/>
    </row>
    <row r="1471" spans="4:4" s="21" customFormat="1">
      <c r="D1471" s="164"/>
    </row>
    <row r="1472" spans="4:4" s="21" customFormat="1">
      <c r="D1472" s="164"/>
    </row>
    <row r="1473" spans="4:4" s="21" customFormat="1">
      <c r="D1473" s="164"/>
    </row>
    <row r="1474" spans="4:4" s="21" customFormat="1">
      <c r="D1474" s="164"/>
    </row>
    <row r="1475" spans="4:4" s="21" customFormat="1">
      <c r="D1475" s="164"/>
    </row>
    <row r="1476" spans="4:4" s="21" customFormat="1">
      <c r="D1476" s="164"/>
    </row>
    <row r="1477" spans="4:4" s="21" customFormat="1">
      <c r="D1477" s="164"/>
    </row>
    <row r="1478" spans="4:4" s="21" customFormat="1">
      <c r="D1478" s="164"/>
    </row>
    <row r="1479" spans="4:4" s="21" customFormat="1">
      <c r="D1479" s="164"/>
    </row>
    <row r="1480" spans="4:4" s="21" customFormat="1">
      <c r="D1480" s="164"/>
    </row>
    <row r="1481" spans="4:4" s="21" customFormat="1">
      <c r="D1481" s="164"/>
    </row>
    <row r="1482" spans="4:4" s="21" customFormat="1">
      <c r="D1482" s="164"/>
    </row>
    <row r="1483" spans="4:4" s="21" customFormat="1">
      <c r="D1483" s="164"/>
    </row>
    <row r="1484" spans="4:4" s="21" customFormat="1">
      <c r="D1484" s="164"/>
    </row>
    <row r="1485" spans="4:4" s="21" customFormat="1">
      <c r="D1485" s="164"/>
    </row>
    <row r="1486" spans="4:4" s="21" customFormat="1">
      <c r="D1486" s="164"/>
    </row>
    <row r="1487" spans="4:4" s="21" customFormat="1">
      <c r="D1487" s="164"/>
    </row>
    <row r="1488" spans="4:4" s="21" customFormat="1">
      <c r="D1488" s="164"/>
    </row>
    <row r="1489" spans="4:4" s="21" customFormat="1">
      <c r="D1489" s="164"/>
    </row>
    <row r="1490" spans="4:4" s="21" customFormat="1">
      <c r="D1490" s="164"/>
    </row>
    <row r="1491" spans="4:4" s="21" customFormat="1">
      <c r="D1491" s="164"/>
    </row>
    <row r="1492" spans="4:4" s="21" customFormat="1">
      <c r="D1492" s="164"/>
    </row>
    <row r="1493" spans="4:4" s="21" customFormat="1">
      <c r="D1493" s="164"/>
    </row>
    <row r="1494" spans="4:4" s="21" customFormat="1">
      <c r="D1494" s="164"/>
    </row>
    <row r="1495" spans="4:4" s="21" customFormat="1">
      <c r="D1495" s="164"/>
    </row>
    <row r="1496" spans="4:4" s="21" customFormat="1">
      <c r="D1496" s="164"/>
    </row>
    <row r="1497" spans="4:4" s="21" customFormat="1">
      <c r="D1497" s="164"/>
    </row>
    <row r="1498" spans="4:4" s="21" customFormat="1">
      <c r="D1498" s="164"/>
    </row>
    <row r="1499" spans="4:4" s="21" customFormat="1">
      <c r="D1499" s="164"/>
    </row>
    <row r="1500" spans="4:4" s="21" customFormat="1">
      <c r="D1500" s="164"/>
    </row>
    <row r="1501" spans="4:4" s="21" customFormat="1">
      <c r="D1501" s="164"/>
    </row>
    <row r="1502" spans="4:4" s="21" customFormat="1">
      <c r="D1502" s="164"/>
    </row>
    <row r="1503" spans="4:4" s="21" customFormat="1">
      <c r="D1503" s="164"/>
    </row>
    <row r="1504" spans="4:4" s="21" customFormat="1">
      <c r="D1504" s="164"/>
    </row>
    <row r="1505" spans="4:4" s="21" customFormat="1">
      <c r="D1505" s="164"/>
    </row>
    <row r="1506" spans="4:4" s="21" customFormat="1">
      <c r="D1506" s="164"/>
    </row>
    <row r="1507" spans="4:4" s="21" customFormat="1">
      <c r="D1507" s="164"/>
    </row>
    <row r="1508" spans="4:4" s="21" customFormat="1">
      <c r="D1508" s="164"/>
    </row>
    <row r="1509" spans="4:4" s="21" customFormat="1">
      <c r="D1509" s="164"/>
    </row>
    <row r="1510" spans="4:4" s="21" customFormat="1">
      <c r="D1510" s="164"/>
    </row>
    <row r="1511" spans="4:4" s="21" customFormat="1">
      <c r="D1511" s="164"/>
    </row>
    <row r="1512" spans="4:4" s="21" customFormat="1">
      <c r="D1512" s="164"/>
    </row>
    <row r="1513" spans="4:4" s="21" customFormat="1">
      <c r="D1513" s="164"/>
    </row>
    <row r="1514" spans="4:4" s="21" customFormat="1">
      <c r="D1514" s="164"/>
    </row>
    <row r="1515" spans="4:4" s="21" customFormat="1">
      <c r="D1515" s="164"/>
    </row>
    <row r="1516" spans="4:4" s="21" customFormat="1">
      <c r="D1516" s="164"/>
    </row>
    <row r="1517" spans="4:4" s="21" customFormat="1">
      <c r="D1517" s="164"/>
    </row>
    <row r="1518" spans="4:4" s="21" customFormat="1">
      <c r="D1518" s="164"/>
    </row>
    <row r="1519" spans="4:4" s="21" customFormat="1">
      <c r="D1519" s="164"/>
    </row>
    <row r="1520" spans="4:4" s="21" customFormat="1">
      <c r="D1520" s="164"/>
    </row>
    <row r="1521" spans="4:4" s="21" customFormat="1">
      <c r="D1521" s="164"/>
    </row>
    <row r="1522" spans="4:4" s="21" customFormat="1">
      <c r="D1522" s="164"/>
    </row>
    <row r="1523" spans="4:4" s="21" customFormat="1">
      <c r="D1523" s="164"/>
    </row>
    <row r="1524" spans="4:4" s="21" customFormat="1">
      <c r="D1524" s="164"/>
    </row>
    <row r="1525" spans="4:4" s="21" customFormat="1">
      <c r="D1525" s="164"/>
    </row>
    <row r="1526" spans="4:4" s="21" customFormat="1">
      <c r="D1526" s="164"/>
    </row>
    <row r="1527" spans="4:4" s="21" customFormat="1">
      <c r="D1527" s="164"/>
    </row>
    <row r="1528" spans="4:4" s="21" customFormat="1">
      <c r="D1528" s="164"/>
    </row>
    <row r="1529" spans="4:4" s="21" customFormat="1">
      <c r="D1529" s="164"/>
    </row>
    <row r="1530" spans="4:4" s="21" customFormat="1">
      <c r="D1530" s="164"/>
    </row>
    <row r="1531" spans="4:4" s="21" customFormat="1">
      <c r="D1531" s="164"/>
    </row>
    <row r="1532" spans="4:4" s="21" customFormat="1">
      <c r="D1532" s="164"/>
    </row>
    <row r="1533" spans="4:4" s="21" customFormat="1">
      <c r="D1533" s="164"/>
    </row>
    <row r="1534" spans="4:4" s="21" customFormat="1">
      <c r="D1534" s="164"/>
    </row>
    <row r="1535" spans="4:4" s="21" customFormat="1">
      <c r="D1535" s="164"/>
    </row>
    <row r="1536" spans="4:4" s="21" customFormat="1">
      <c r="D1536" s="164"/>
    </row>
    <row r="1537" spans="4:4" s="21" customFormat="1">
      <c r="D1537" s="164"/>
    </row>
    <row r="1538" spans="4:4" s="21" customFormat="1">
      <c r="D1538" s="164"/>
    </row>
    <row r="1539" spans="4:4" s="21" customFormat="1">
      <c r="D1539" s="164"/>
    </row>
    <row r="1540" spans="4:4" s="21" customFormat="1">
      <c r="D1540" s="164"/>
    </row>
    <row r="1541" spans="4:4" s="21" customFormat="1">
      <c r="D1541" s="164"/>
    </row>
    <row r="1542" spans="4:4" s="21" customFormat="1">
      <c r="D1542" s="164"/>
    </row>
    <row r="1543" spans="4:4" s="21" customFormat="1">
      <c r="D1543" s="164"/>
    </row>
    <row r="1544" spans="4:4" s="21" customFormat="1">
      <c r="D1544" s="164"/>
    </row>
    <row r="1545" spans="4:4" s="21" customFormat="1">
      <c r="D1545" s="164"/>
    </row>
    <row r="1546" spans="4:4" s="21" customFormat="1">
      <c r="D1546" s="164"/>
    </row>
    <row r="1547" spans="4:4" s="21" customFormat="1">
      <c r="D1547" s="164"/>
    </row>
    <row r="1548" spans="4:4" s="21" customFormat="1">
      <c r="D1548" s="164"/>
    </row>
    <row r="1549" spans="4:4" s="21" customFormat="1">
      <c r="D1549" s="164"/>
    </row>
    <row r="1550" spans="4:4" s="21" customFormat="1">
      <c r="D1550" s="164"/>
    </row>
    <row r="1551" spans="4:4" s="21" customFormat="1">
      <c r="D1551" s="164"/>
    </row>
    <row r="1552" spans="4:4" s="21" customFormat="1">
      <c r="D1552" s="164"/>
    </row>
    <row r="1553" spans="4:4" s="21" customFormat="1">
      <c r="D1553" s="164"/>
    </row>
    <row r="1554" spans="4:4" s="21" customFormat="1">
      <c r="D1554" s="164"/>
    </row>
    <row r="1555" spans="4:4" s="21" customFormat="1">
      <c r="D1555" s="164"/>
    </row>
    <row r="1556" spans="4:4" s="21" customFormat="1">
      <c r="D1556" s="164"/>
    </row>
    <row r="1557" spans="4:4" s="21" customFormat="1">
      <c r="D1557" s="164"/>
    </row>
    <row r="1558" spans="4:4" s="21" customFormat="1">
      <c r="D1558" s="164"/>
    </row>
    <row r="1559" spans="4:4" s="21" customFormat="1">
      <c r="D1559" s="164"/>
    </row>
    <row r="1560" spans="4:4" s="21" customFormat="1">
      <c r="D1560" s="164"/>
    </row>
    <row r="1561" spans="4:4" s="21" customFormat="1">
      <c r="D1561" s="164"/>
    </row>
    <row r="1562" spans="4:4" s="21" customFormat="1">
      <c r="D1562" s="164"/>
    </row>
    <row r="1563" spans="4:4" s="21" customFormat="1">
      <c r="D1563" s="164"/>
    </row>
    <row r="1564" spans="4:4" s="21" customFormat="1">
      <c r="D1564" s="164"/>
    </row>
    <row r="1565" spans="4:4" s="21" customFormat="1">
      <c r="D1565" s="164"/>
    </row>
    <row r="1566" spans="4:4" s="21" customFormat="1">
      <c r="D1566" s="164"/>
    </row>
    <row r="1567" spans="4:4" s="21" customFormat="1">
      <c r="D1567" s="164"/>
    </row>
    <row r="1568" spans="4:4" s="21" customFormat="1">
      <c r="D1568" s="164"/>
    </row>
    <row r="1569" spans="4:4" s="21" customFormat="1">
      <c r="D1569" s="164"/>
    </row>
    <row r="1570" spans="4:4" s="21" customFormat="1">
      <c r="D1570" s="164"/>
    </row>
    <row r="1571" spans="4:4" s="21" customFormat="1">
      <c r="D1571" s="164"/>
    </row>
    <row r="1572" spans="4:4" s="21" customFormat="1">
      <c r="D1572" s="164"/>
    </row>
    <row r="1573" spans="4:4" s="21" customFormat="1">
      <c r="D1573" s="164"/>
    </row>
    <row r="1574" spans="4:4" s="21" customFormat="1">
      <c r="D1574" s="164"/>
    </row>
    <row r="1575" spans="4:4" s="21" customFormat="1">
      <c r="D1575" s="164"/>
    </row>
    <row r="1576" spans="4:4" s="21" customFormat="1">
      <c r="D1576" s="164"/>
    </row>
    <row r="1577" spans="4:4" s="21" customFormat="1">
      <c r="D1577" s="164"/>
    </row>
    <row r="1578" spans="4:4" s="21" customFormat="1">
      <c r="D1578" s="164"/>
    </row>
    <row r="1579" spans="4:4" s="21" customFormat="1">
      <c r="D1579" s="164"/>
    </row>
    <row r="1580" spans="4:4" s="21" customFormat="1">
      <c r="D1580" s="164"/>
    </row>
    <row r="1581" spans="4:4" s="21" customFormat="1">
      <c r="D1581" s="164"/>
    </row>
    <row r="1582" spans="4:4" s="21" customFormat="1">
      <c r="D1582" s="164"/>
    </row>
    <row r="1583" spans="4:4" s="21" customFormat="1">
      <c r="D1583" s="164"/>
    </row>
    <row r="1584" spans="4:4" s="21" customFormat="1">
      <c r="D1584" s="164"/>
    </row>
    <row r="1585" spans="4:4" s="21" customFormat="1">
      <c r="D1585" s="164"/>
    </row>
    <row r="1586" spans="4:4" s="21" customFormat="1">
      <c r="D1586" s="164"/>
    </row>
    <row r="1587" spans="4:4" s="21" customFormat="1">
      <c r="D1587" s="164"/>
    </row>
    <row r="1588" spans="4:4" s="21" customFormat="1">
      <c r="D1588" s="164"/>
    </row>
    <row r="1589" spans="4:4" s="21" customFormat="1">
      <c r="D1589" s="164"/>
    </row>
    <row r="1590" spans="4:4" s="21" customFormat="1">
      <c r="D1590" s="164"/>
    </row>
    <row r="1591" spans="4:4" s="21" customFormat="1">
      <c r="D1591" s="164"/>
    </row>
    <row r="1592" spans="4:4" s="21" customFormat="1">
      <c r="D1592" s="164"/>
    </row>
    <row r="1593" spans="4:4" s="21" customFormat="1">
      <c r="D1593" s="164"/>
    </row>
    <row r="1594" spans="4:4" s="21" customFormat="1">
      <c r="D1594" s="164"/>
    </row>
    <row r="1595" spans="4:4" s="21" customFormat="1">
      <c r="D1595" s="164"/>
    </row>
    <row r="1596" spans="4:4" s="21" customFormat="1">
      <c r="D1596" s="164"/>
    </row>
    <row r="1597" spans="4:4" s="21" customFormat="1">
      <c r="D1597" s="164"/>
    </row>
    <row r="1598" spans="4:4" s="21" customFormat="1">
      <c r="D1598" s="164"/>
    </row>
    <row r="1599" spans="4:4" s="21" customFormat="1">
      <c r="D1599" s="164"/>
    </row>
    <row r="1600" spans="4:4" s="21" customFormat="1">
      <c r="D1600" s="164"/>
    </row>
    <row r="1601" spans="4:4" s="21" customFormat="1">
      <c r="D1601" s="164"/>
    </row>
    <row r="1602" spans="4:4" s="21" customFormat="1">
      <c r="D1602" s="164"/>
    </row>
    <row r="1603" spans="4:4" s="21" customFormat="1">
      <c r="D1603" s="164"/>
    </row>
    <row r="1604" spans="4:4" s="21" customFormat="1">
      <c r="D1604" s="164"/>
    </row>
    <row r="1605" spans="4:4" s="21" customFormat="1">
      <c r="D1605" s="164"/>
    </row>
    <row r="1606" spans="4:4" s="21" customFormat="1">
      <c r="D1606" s="164"/>
    </row>
    <row r="1607" spans="4:4" s="21" customFormat="1">
      <c r="D1607" s="164"/>
    </row>
    <row r="1608" spans="4:4" s="21" customFormat="1">
      <c r="D1608" s="164"/>
    </row>
    <row r="1609" spans="4:4" s="21" customFormat="1">
      <c r="D1609" s="164"/>
    </row>
    <row r="1610" spans="4:4" s="21" customFormat="1">
      <c r="D1610" s="164"/>
    </row>
    <row r="1611" spans="4:4" s="21" customFormat="1">
      <c r="D1611" s="164"/>
    </row>
    <row r="1612" spans="4:4" s="21" customFormat="1">
      <c r="D1612" s="164"/>
    </row>
    <row r="1613" spans="4:4" s="21" customFormat="1">
      <c r="D1613" s="164"/>
    </row>
    <row r="1614" spans="4:4" s="21" customFormat="1">
      <c r="D1614" s="164"/>
    </row>
    <row r="1615" spans="4:4" s="21" customFormat="1">
      <c r="D1615" s="164"/>
    </row>
    <row r="1616" spans="4:4" s="21" customFormat="1">
      <c r="D1616" s="164"/>
    </row>
    <row r="1617" spans="4:4" s="21" customFormat="1">
      <c r="D1617" s="164"/>
    </row>
    <row r="1618" spans="4:4" s="21" customFormat="1">
      <c r="D1618" s="164"/>
    </row>
    <row r="1619" spans="4:4" s="21" customFormat="1">
      <c r="D1619" s="164"/>
    </row>
    <row r="1620" spans="4:4" s="21" customFormat="1">
      <c r="D1620" s="164"/>
    </row>
    <row r="1621" spans="4:4" s="21" customFormat="1">
      <c r="D1621" s="164"/>
    </row>
    <row r="1622" spans="4:4" s="21" customFormat="1">
      <c r="D1622" s="164"/>
    </row>
    <row r="1623" spans="4:4" s="21" customFormat="1">
      <c r="D1623" s="164"/>
    </row>
    <row r="1624" spans="4:4" s="21" customFormat="1">
      <c r="D1624" s="164"/>
    </row>
    <row r="1625" spans="4:4" s="21" customFormat="1">
      <c r="D1625" s="164"/>
    </row>
    <row r="1626" spans="4:4" s="21" customFormat="1">
      <c r="D1626" s="164"/>
    </row>
    <row r="1627" spans="4:4" s="21" customFormat="1">
      <c r="D1627" s="164"/>
    </row>
    <row r="1628" spans="4:4" s="21" customFormat="1">
      <c r="D1628" s="164"/>
    </row>
    <row r="1629" spans="4:4" s="21" customFormat="1">
      <c r="D1629" s="164"/>
    </row>
    <row r="1630" spans="4:4" s="21" customFormat="1">
      <c r="D1630" s="164"/>
    </row>
    <row r="1631" spans="4:4" s="21" customFormat="1">
      <c r="D1631" s="164"/>
    </row>
    <row r="1632" spans="4:4" s="21" customFormat="1">
      <c r="D1632" s="164"/>
    </row>
    <row r="1633" spans="4:4" s="21" customFormat="1">
      <c r="D1633" s="164"/>
    </row>
    <row r="1634" spans="4:4" s="21" customFormat="1">
      <c r="D1634" s="164"/>
    </row>
    <row r="1635" spans="4:4" s="21" customFormat="1">
      <c r="D1635" s="164"/>
    </row>
    <row r="1636" spans="4:4" s="21" customFormat="1">
      <c r="D1636" s="164"/>
    </row>
    <row r="1637" spans="4:4" s="21" customFormat="1">
      <c r="D1637" s="164"/>
    </row>
    <row r="1638" spans="4:4" s="21" customFormat="1">
      <c r="D1638" s="164"/>
    </row>
    <row r="1639" spans="4:4" s="21" customFormat="1">
      <c r="D1639" s="164"/>
    </row>
    <row r="1640" spans="4:4" s="21" customFormat="1">
      <c r="D1640" s="164"/>
    </row>
    <row r="1641" spans="4:4" s="21" customFormat="1">
      <c r="D1641" s="164"/>
    </row>
    <row r="1642" spans="4:4" s="21" customFormat="1">
      <c r="D1642" s="164"/>
    </row>
    <row r="1643" spans="4:4" s="21" customFormat="1">
      <c r="D1643" s="164"/>
    </row>
    <row r="1644" spans="4:4" s="21" customFormat="1">
      <c r="D1644" s="164"/>
    </row>
    <row r="1645" spans="4:4" s="21" customFormat="1">
      <c r="D1645" s="164"/>
    </row>
    <row r="1646" spans="4:4" s="21" customFormat="1">
      <c r="D1646" s="164"/>
    </row>
    <row r="1647" spans="4:4" s="21" customFormat="1">
      <c r="D1647" s="164"/>
    </row>
    <row r="1648" spans="4:4" s="21" customFormat="1">
      <c r="D1648" s="164"/>
    </row>
    <row r="1649" spans="4:4" s="21" customFormat="1">
      <c r="D1649" s="164"/>
    </row>
    <row r="1650" spans="4:4" s="21" customFormat="1">
      <c r="D1650" s="164"/>
    </row>
    <row r="1651" spans="4:4" s="21" customFormat="1">
      <c r="D1651" s="164"/>
    </row>
    <row r="1652" spans="4:4" s="21" customFormat="1">
      <c r="D1652" s="164"/>
    </row>
    <row r="1653" spans="4:4" s="21" customFormat="1">
      <c r="D1653" s="164"/>
    </row>
    <row r="1654" spans="4:4" s="21" customFormat="1">
      <c r="D1654" s="164"/>
    </row>
    <row r="1655" spans="4:4" s="21" customFormat="1">
      <c r="D1655" s="164"/>
    </row>
    <row r="1656" spans="4:4" s="21" customFormat="1">
      <c r="D1656" s="164"/>
    </row>
    <row r="1657" spans="4:4" s="21" customFormat="1">
      <c r="D1657" s="164"/>
    </row>
    <row r="1658" spans="4:4" s="21" customFormat="1">
      <c r="D1658" s="164"/>
    </row>
    <row r="1659" spans="4:4" s="21" customFormat="1">
      <c r="D1659" s="164"/>
    </row>
    <row r="1660" spans="4:4" s="21" customFormat="1">
      <c r="D1660" s="164"/>
    </row>
    <row r="1661" spans="4:4" s="21" customFormat="1">
      <c r="D1661" s="164"/>
    </row>
    <row r="1662" spans="4:4" s="21" customFormat="1">
      <c r="D1662" s="164"/>
    </row>
    <row r="1663" spans="4:4" s="21" customFormat="1">
      <c r="D1663" s="164"/>
    </row>
    <row r="1664" spans="4:4" s="21" customFormat="1">
      <c r="D1664" s="164"/>
    </row>
    <row r="1665" spans="4:4" s="21" customFormat="1">
      <c r="D1665" s="164"/>
    </row>
    <row r="1666" spans="4:4" s="21" customFormat="1">
      <c r="D1666" s="164"/>
    </row>
    <row r="1667" spans="4:4" s="21" customFormat="1">
      <c r="D1667" s="164"/>
    </row>
    <row r="1668" spans="4:4" s="21" customFormat="1">
      <c r="D1668" s="164"/>
    </row>
    <row r="1669" spans="4:4" s="21" customFormat="1">
      <c r="D1669" s="164"/>
    </row>
    <row r="1670" spans="4:4" s="21" customFormat="1">
      <c r="D1670" s="164"/>
    </row>
    <row r="1671" spans="4:4" s="21" customFormat="1">
      <c r="D1671" s="164"/>
    </row>
    <row r="1672" spans="4:4" s="21" customFormat="1">
      <c r="D1672" s="164"/>
    </row>
    <row r="1673" spans="4:4" s="21" customFormat="1">
      <c r="D1673" s="164"/>
    </row>
    <row r="1674" spans="4:4" s="21" customFormat="1">
      <c r="D1674" s="164"/>
    </row>
    <row r="1675" spans="4:4" s="21" customFormat="1">
      <c r="D1675" s="164"/>
    </row>
    <row r="1676" spans="4:4" s="21" customFormat="1">
      <c r="D1676" s="164"/>
    </row>
    <row r="1677" spans="4:4" s="21" customFormat="1">
      <c r="D1677" s="164"/>
    </row>
    <row r="1678" spans="4:4" s="21" customFormat="1">
      <c r="D1678" s="164"/>
    </row>
    <row r="1679" spans="4:4" s="21" customFormat="1">
      <c r="D1679" s="164"/>
    </row>
    <row r="1680" spans="4:4" s="21" customFormat="1">
      <c r="D1680" s="164"/>
    </row>
    <row r="1681" spans="4:4" s="21" customFormat="1">
      <c r="D1681" s="164"/>
    </row>
    <row r="1682" spans="4:4" s="21" customFormat="1">
      <c r="D1682" s="164"/>
    </row>
    <row r="1683" spans="4:4" s="21" customFormat="1">
      <c r="D1683" s="164"/>
    </row>
    <row r="1684" spans="4:4" s="21" customFormat="1">
      <c r="D1684" s="164"/>
    </row>
    <row r="1685" spans="4:4" s="21" customFormat="1">
      <c r="D1685" s="164"/>
    </row>
    <row r="1686" spans="4:4" s="21" customFormat="1">
      <c r="D1686" s="164"/>
    </row>
    <row r="1687" spans="4:4" s="21" customFormat="1">
      <c r="D1687" s="164"/>
    </row>
    <row r="1688" spans="4:4" s="21" customFormat="1">
      <c r="D1688" s="164"/>
    </row>
    <row r="1689" spans="4:4" s="21" customFormat="1">
      <c r="D1689" s="164"/>
    </row>
    <row r="1690" spans="4:4" s="21" customFormat="1">
      <c r="D1690" s="164"/>
    </row>
    <row r="1691" spans="4:4" s="21" customFormat="1">
      <c r="D1691" s="164"/>
    </row>
    <row r="1692" spans="4:4" s="21" customFormat="1">
      <c r="D1692" s="164"/>
    </row>
    <row r="1693" spans="4:4" s="21" customFormat="1">
      <c r="D1693" s="164"/>
    </row>
    <row r="1694" spans="4:4" s="21" customFormat="1">
      <c r="D1694" s="164"/>
    </row>
    <row r="1695" spans="4:4" s="21" customFormat="1">
      <c r="D1695" s="164"/>
    </row>
    <row r="1696" spans="4:4" s="21" customFormat="1">
      <c r="D1696" s="164"/>
    </row>
    <row r="1697" spans="4:4" s="21" customFormat="1">
      <c r="D1697" s="164"/>
    </row>
    <row r="1698" spans="4:4" s="21" customFormat="1">
      <c r="D1698" s="164"/>
    </row>
    <row r="1699" spans="4:4" s="21" customFormat="1">
      <c r="D1699" s="164"/>
    </row>
    <row r="1700" spans="4:4" s="21" customFormat="1">
      <c r="D1700" s="164"/>
    </row>
    <row r="1701" spans="4:4" s="21" customFormat="1">
      <c r="D1701" s="164"/>
    </row>
    <row r="1702" spans="4:4" s="21" customFormat="1">
      <c r="D1702" s="164"/>
    </row>
    <row r="1703" spans="4:4" s="21" customFormat="1">
      <c r="D1703" s="164"/>
    </row>
    <row r="1704" spans="4:4" s="21" customFormat="1">
      <c r="D1704" s="164"/>
    </row>
    <row r="1705" spans="4:4" s="21" customFormat="1">
      <c r="D1705" s="164"/>
    </row>
    <row r="1706" spans="4:4" s="21" customFormat="1">
      <c r="D1706" s="164"/>
    </row>
    <row r="1707" spans="4:4" s="21" customFormat="1">
      <c r="D1707" s="164"/>
    </row>
    <row r="1708" spans="4:4" s="21" customFormat="1">
      <c r="D1708" s="164"/>
    </row>
    <row r="1709" spans="4:4" s="21" customFormat="1">
      <c r="D1709" s="164"/>
    </row>
    <row r="1710" spans="4:4" s="21" customFormat="1">
      <c r="D1710" s="164"/>
    </row>
    <row r="1711" spans="4:4" s="21" customFormat="1">
      <c r="D1711" s="164"/>
    </row>
    <row r="1712" spans="4:4" s="21" customFormat="1">
      <c r="D1712" s="164"/>
    </row>
    <row r="1713" spans="4:4" s="21" customFormat="1">
      <c r="D1713" s="164"/>
    </row>
    <row r="1714" spans="4:4" s="21" customFormat="1">
      <c r="D1714" s="164"/>
    </row>
    <row r="1715" spans="4:4" s="21" customFormat="1">
      <c r="D1715" s="164"/>
    </row>
    <row r="1716" spans="4:4" s="21" customFormat="1">
      <c r="D1716" s="164"/>
    </row>
    <row r="1717" spans="4:4" s="21" customFormat="1">
      <c r="D1717" s="164"/>
    </row>
    <row r="1718" spans="4:4" s="21" customFormat="1">
      <c r="D1718" s="164"/>
    </row>
    <row r="1719" spans="4:4" s="21" customFormat="1">
      <c r="D1719" s="164"/>
    </row>
    <row r="1720" spans="4:4" s="21" customFormat="1">
      <c r="D1720" s="164"/>
    </row>
    <row r="1721" spans="4:4" s="21" customFormat="1">
      <c r="D1721" s="164"/>
    </row>
    <row r="1722" spans="4:4" s="21" customFormat="1">
      <c r="D1722" s="164"/>
    </row>
    <row r="1723" spans="4:4" s="21" customFormat="1">
      <c r="D1723" s="164"/>
    </row>
    <row r="1724" spans="4:4" s="21" customFormat="1">
      <c r="D1724" s="164"/>
    </row>
    <row r="1725" spans="4:4" s="21" customFormat="1">
      <c r="D1725" s="164"/>
    </row>
    <row r="1726" spans="4:4" s="21" customFormat="1">
      <c r="D1726" s="164"/>
    </row>
    <row r="1727" spans="4:4" s="21" customFormat="1">
      <c r="D1727" s="164"/>
    </row>
    <row r="1728" spans="4:4" s="21" customFormat="1">
      <c r="D1728" s="164"/>
    </row>
    <row r="1729" spans="4:4" s="21" customFormat="1">
      <c r="D1729" s="164"/>
    </row>
    <row r="1730" spans="4:4" s="21" customFormat="1">
      <c r="D1730" s="164"/>
    </row>
    <row r="1731" spans="4:4" s="21" customFormat="1">
      <c r="D1731" s="164"/>
    </row>
    <row r="1732" spans="4:4" s="21" customFormat="1">
      <c r="D1732" s="164"/>
    </row>
    <row r="1733" spans="4:4" s="21" customFormat="1">
      <c r="D1733" s="164"/>
    </row>
    <row r="1734" spans="4:4" s="21" customFormat="1">
      <c r="D1734" s="164"/>
    </row>
    <row r="1735" spans="4:4" s="21" customFormat="1">
      <c r="D1735" s="164"/>
    </row>
    <row r="1736" spans="4:4" s="21" customFormat="1">
      <c r="D1736" s="164"/>
    </row>
    <row r="1737" spans="4:4" s="21" customFormat="1">
      <c r="D1737" s="164"/>
    </row>
    <row r="1738" spans="4:4" s="21" customFormat="1">
      <c r="D1738" s="164"/>
    </row>
    <row r="1739" spans="4:4" s="21" customFormat="1">
      <c r="D1739" s="164"/>
    </row>
    <row r="1740" spans="4:4" s="21" customFormat="1">
      <c r="D1740" s="164"/>
    </row>
    <row r="1741" spans="4:4" s="21" customFormat="1">
      <c r="D1741" s="164"/>
    </row>
    <row r="1742" spans="4:4" s="21" customFormat="1">
      <c r="D1742" s="164"/>
    </row>
    <row r="1743" spans="4:4" s="21" customFormat="1">
      <c r="D1743" s="164"/>
    </row>
    <row r="1744" spans="4:4" s="21" customFormat="1">
      <c r="D1744" s="164"/>
    </row>
    <row r="1745" spans="4:4" s="21" customFormat="1">
      <c r="D1745" s="164"/>
    </row>
    <row r="1746" spans="4:4" s="21" customFormat="1">
      <c r="D1746" s="164"/>
    </row>
    <row r="1747" spans="4:4" s="21" customFormat="1">
      <c r="D1747" s="164"/>
    </row>
    <row r="1748" spans="4:4" s="21" customFormat="1">
      <c r="D1748" s="164"/>
    </row>
    <row r="1749" spans="4:4" s="21" customFormat="1">
      <c r="D1749" s="164"/>
    </row>
    <row r="1750" spans="4:4" s="21" customFormat="1">
      <c r="D1750" s="164"/>
    </row>
    <row r="1751" spans="4:4" s="21" customFormat="1">
      <c r="D1751" s="164"/>
    </row>
    <row r="1752" spans="4:4" s="21" customFormat="1">
      <c r="D1752" s="164"/>
    </row>
    <row r="1753" spans="4:4" s="21" customFormat="1">
      <c r="D1753" s="164"/>
    </row>
    <row r="1754" spans="4:4" s="21" customFormat="1">
      <c r="D1754" s="164"/>
    </row>
    <row r="1755" spans="4:4" s="21" customFormat="1">
      <c r="D1755" s="164"/>
    </row>
    <row r="1756" spans="4:4" s="21" customFormat="1">
      <c r="D1756" s="164"/>
    </row>
    <row r="1757" spans="4:4" s="21" customFormat="1">
      <c r="D1757" s="164"/>
    </row>
    <row r="1758" spans="4:4" s="21" customFormat="1">
      <c r="D1758" s="164"/>
    </row>
    <row r="1759" spans="4:4" s="21" customFormat="1">
      <c r="D1759" s="164"/>
    </row>
    <row r="1760" spans="4:4" s="21" customFormat="1">
      <c r="D1760" s="164"/>
    </row>
    <row r="1761" spans="4:4" s="21" customFormat="1">
      <c r="D1761" s="164"/>
    </row>
    <row r="1762" spans="4:4" s="21" customFormat="1">
      <c r="D1762" s="164"/>
    </row>
    <row r="1763" spans="4:4" s="21" customFormat="1">
      <c r="D1763" s="164"/>
    </row>
    <row r="1764" spans="4:4" s="21" customFormat="1">
      <c r="D1764" s="164"/>
    </row>
    <row r="1765" spans="4:4" s="21" customFormat="1">
      <c r="D1765" s="164"/>
    </row>
    <row r="1766" spans="4:4" s="21" customFormat="1">
      <c r="D1766" s="164"/>
    </row>
    <row r="1767" spans="4:4" s="21" customFormat="1">
      <c r="D1767" s="164"/>
    </row>
    <row r="1768" spans="4:4" s="21" customFormat="1">
      <c r="D1768" s="164"/>
    </row>
    <row r="1769" spans="4:4" s="21" customFormat="1">
      <c r="D1769" s="164"/>
    </row>
    <row r="1770" spans="4:4" s="21" customFormat="1">
      <c r="D1770" s="164"/>
    </row>
    <row r="1771" spans="4:4" s="21" customFormat="1">
      <c r="D1771" s="164"/>
    </row>
    <row r="1772" spans="4:4" s="21" customFormat="1">
      <c r="D1772" s="164"/>
    </row>
    <row r="1773" spans="4:4" s="21" customFormat="1">
      <c r="D1773" s="164"/>
    </row>
    <row r="1774" spans="4:4" s="21" customFormat="1">
      <c r="D1774" s="164"/>
    </row>
    <row r="1775" spans="4:4" s="21" customFormat="1">
      <c r="D1775" s="164"/>
    </row>
    <row r="1776" spans="4:4" s="21" customFormat="1">
      <c r="D1776" s="164"/>
    </row>
    <row r="1777" spans="4:4" s="21" customFormat="1">
      <c r="D1777" s="164"/>
    </row>
    <row r="1778" spans="4:4" s="21" customFormat="1">
      <c r="D1778" s="164"/>
    </row>
    <row r="1779" spans="4:4" s="21" customFormat="1">
      <c r="D1779" s="164"/>
    </row>
    <row r="1780" spans="4:4" s="21" customFormat="1">
      <c r="D1780" s="164"/>
    </row>
    <row r="1781" spans="4:4" s="21" customFormat="1">
      <c r="D1781" s="164"/>
    </row>
    <row r="1782" spans="4:4" s="21" customFormat="1">
      <c r="D1782" s="164"/>
    </row>
    <row r="1783" spans="4:4" s="21" customFormat="1">
      <c r="D1783" s="164"/>
    </row>
    <row r="1784" spans="4:4" s="21" customFormat="1">
      <c r="D1784" s="164"/>
    </row>
    <row r="1785" spans="4:4" s="21" customFormat="1">
      <c r="D1785" s="164"/>
    </row>
    <row r="1786" spans="4:4" s="21" customFormat="1">
      <c r="D1786" s="164"/>
    </row>
    <row r="1787" spans="4:4" s="21" customFormat="1">
      <c r="D1787" s="164"/>
    </row>
    <row r="1788" spans="4:4" s="21" customFormat="1">
      <c r="D1788" s="164"/>
    </row>
    <row r="1789" spans="4:4" s="21" customFormat="1">
      <c r="D1789" s="164"/>
    </row>
    <row r="1790" spans="4:4" s="21" customFormat="1">
      <c r="D1790" s="164"/>
    </row>
    <row r="1791" spans="4:4" s="21" customFormat="1">
      <c r="D1791" s="164"/>
    </row>
    <row r="1792" spans="4:4" s="21" customFormat="1">
      <c r="D1792" s="164"/>
    </row>
    <row r="1793" spans="4:4" s="21" customFormat="1">
      <c r="D1793" s="164"/>
    </row>
    <row r="1794" spans="4:4" s="21" customFormat="1">
      <c r="D1794" s="164"/>
    </row>
    <row r="1795" spans="4:4" s="21" customFormat="1">
      <c r="D1795" s="164"/>
    </row>
    <row r="1796" spans="4:4" s="21" customFormat="1">
      <c r="D1796" s="164"/>
    </row>
    <row r="1797" spans="4:4" s="21" customFormat="1">
      <c r="D1797" s="164"/>
    </row>
    <row r="1798" spans="4:4" s="21" customFormat="1">
      <c r="D1798" s="164"/>
    </row>
    <row r="1799" spans="4:4" s="21" customFormat="1">
      <c r="D1799" s="164"/>
    </row>
    <row r="1800" spans="4:4" s="21" customFormat="1">
      <c r="D1800" s="164"/>
    </row>
    <row r="1801" spans="4:4" s="21" customFormat="1">
      <c r="D1801" s="164"/>
    </row>
    <row r="1802" spans="4:4" s="21" customFormat="1">
      <c r="D1802" s="164"/>
    </row>
    <row r="1803" spans="4:4" s="21" customFormat="1">
      <c r="D1803" s="164"/>
    </row>
    <row r="1804" spans="4:4" s="21" customFormat="1">
      <c r="D1804" s="164"/>
    </row>
    <row r="1805" spans="4:4" s="21" customFormat="1">
      <c r="D1805" s="164"/>
    </row>
    <row r="1806" spans="4:4" s="21" customFormat="1">
      <c r="D1806" s="164"/>
    </row>
    <row r="1807" spans="4:4" s="21" customFormat="1">
      <c r="D1807" s="164"/>
    </row>
    <row r="1808" spans="4:4" s="21" customFormat="1">
      <c r="D1808" s="164"/>
    </row>
    <row r="1809" spans="4:4" s="21" customFormat="1">
      <c r="D1809" s="164"/>
    </row>
    <row r="1810" spans="4:4" s="21" customFormat="1">
      <c r="D1810" s="164"/>
    </row>
    <row r="1811" spans="4:4" s="21" customFormat="1">
      <c r="D1811" s="164"/>
    </row>
    <row r="1812" spans="4:4" s="21" customFormat="1">
      <c r="D1812" s="164"/>
    </row>
    <row r="1813" spans="4:4" s="21" customFormat="1">
      <c r="D1813" s="164"/>
    </row>
    <row r="1814" spans="4:4" s="21" customFormat="1">
      <c r="D1814" s="164"/>
    </row>
    <row r="1815" spans="4:4" s="21" customFormat="1">
      <c r="D1815" s="164"/>
    </row>
    <row r="1816" spans="4:4" s="21" customFormat="1">
      <c r="D1816" s="164"/>
    </row>
    <row r="1817" spans="4:4" s="21" customFormat="1">
      <c r="D1817" s="164"/>
    </row>
    <row r="1818" spans="4:4" s="21" customFormat="1">
      <c r="D1818" s="164"/>
    </row>
    <row r="1819" spans="4:4" s="21" customFormat="1">
      <c r="D1819" s="164"/>
    </row>
    <row r="1820" spans="4:4" s="21" customFormat="1">
      <c r="D1820" s="164"/>
    </row>
    <row r="1821" spans="4:4" s="21" customFormat="1">
      <c r="D1821" s="164"/>
    </row>
    <row r="1822" spans="4:4" s="21" customFormat="1">
      <c r="D1822" s="164"/>
    </row>
    <row r="1823" spans="4:4" s="21" customFormat="1">
      <c r="D1823" s="164"/>
    </row>
    <row r="1824" spans="4:4" s="21" customFormat="1">
      <c r="D1824" s="164"/>
    </row>
    <row r="1825" spans="4:4" s="21" customFormat="1">
      <c r="D1825" s="164"/>
    </row>
    <row r="1826" spans="4:4" s="21" customFormat="1">
      <c r="D1826" s="164"/>
    </row>
    <row r="1827" spans="4:4" s="21" customFormat="1">
      <c r="D1827" s="164"/>
    </row>
    <row r="1828" spans="4:4" s="21" customFormat="1">
      <c r="D1828" s="164"/>
    </row>
    <row r="1829" spans="4:4" s="21" customFormat="1">
      <c r="D1829" s="164"/>
    </row>
    <row r="1830" spans="4:4" s="21" customFormat="1">
      <c r="D1830" s="164"/>
    </row>
    <row r="1831" spans="4:4" s="21" customFormat="1">
      <c r="D1831" s="164"/>
    </row>
    <row r="1832" spans="4:4" s="21" customFormat="1">
      <c r="D1832" s="164"/>
    </row>
    <row r="1833" spans="4:4" s="21" customFormat="1">
      <c r="D1833" s="164"/>
    </row>
    <row r="1834" spans="4:4" s="21" customFormat="1">
      <c r="D1834" s="164"/>
    </row>
    <row r="1835" spans="4:4" s="21" customFormat="1">
      <c r="D1835" s="164"/>
    </row>
    <row r="1836" spans="4:4" s="21" customFormat="1">
      <c r="D1836" s="164"/>
    </row>
    <row r="1837" spans="4:4" s="21" customFormat="1">
      <c r="D1837" s="164"/>
    </row>
    <row r="1838" spans="4:4" s="21" customFormat="1">
      <c r="D1838" s="164"/>
    </row>
    <row r="1839" spans="4:4" s="21" customFormat="1">
      <c r="D1839" s="164"/>
    </row>
    <row r="1840" spans="4:4" s="21" customFormat="1">
      <c r="D1840" s="164"/>
    </row>
    <row r="1841" spans="4:4" s="21" customFormat="1">
      <c r="D1841" s="164"/>
    </row>
    <row r="1842" spans="4:4" s="21" customFormat="1">
      <c r="D1842" s="164"/>
    </row>
    <row r="1843" spans="4:4" s="21" customFormat="1">
      <c r="D1843" s="164"/>
    </row>
    <row r="1844" spans="4:4" s="21" customFormat="1">
      <c r="D1844" s="164"/>
    </row>
    <row r="1845" spans="4:4" s="21" customFormat="1">
      <c r="D1845" s="164"/>
    </row>
    <row r="1846" spans="4:4" s="21" customFormat="1">
      <c r="D1846" s="164"/>
    </row>
    <row r="1847" spans="4:4" s="21" customFormat="1">
      <c r="D1847" s="164"/>
    </row>
    <row r="1848" spans="4:4" s="21" customFormat="1">
      <c r="D1848" s="164"/>
    </row>
    <row r="1849" spans="4:4" s="21" customFormat="1">
      <c r="D1849" s="164"/>
    </row>
    <row r="1850" spans="4:4" s="21" customFormat="1">
      <c r="D1850" s="164"/>
    </row>
    <row r="1851" spans="4:4" s="21" customFormat="1">
      <c r="D1851" s="164"/>
    </row>
    <row r="1852" spans="4:4" s="21" customFormat="1">
      <c r="D1852" s="164"/>
    </row>
    <row r="1853" spans="4:4" s="21" customFormat="1">
      <c r="D1853" s="164"/>
    </row>
    <row r="1854" spans="4:4" s="21" customFormat="1">
      <c r="D1854" s="164"/>
    </row>
    <row r="1855" spans="4:4" s="21" customFormat="1">
      <c r="D1855" s="164"/>
    </row>
    <row r="1856" spans="4:4" s="21" customFormat="1">
      <c r="D1856" s="164"/>
    </row>
    <row r="1857" spans="4:4" s="21" customFormat="1">
      <c r="D1857" s="164"/>
    </row>
    <row r="1858" spans="4:4" s="21" customFormat="1">
      <c r="D1858" s="164"/>
    </row>
    <row r="1859" spans="4:4" s="21" customFormat="1">
      <c r="D1859" s="164"/>
    </row>
    <row r="1860" spans="4:4" s="21" customFormat="1">
      <c r="D1860" s="164"/>
    </row>
    <row r="1861" spans="4:4" s="21" customFormat="1">
      <c r="D1861" s="164"/>
    </row>
    <row r="1862" spans="4:4" s="21" customFormat="1">
      <c r="D1862" s="164"/>
    </row>
    <row r="1863" spans="4:4" s="21" customFormat="1">
      <c r="D1863" s="164"/>
    </row>
    <row r="1864" spans="4:4" s="21" customFormat="1">
      <c r="D1864" s="164"/>
    </row>
    <row r="1865" spans="4:4" s="21" customFormat="1">
      <c r="D1865" s="164"/>
    </row>
    <row r="1866" spans="4:4" s="21" customFormat="1">
      <c r="D1866" s="164"/>
    </row>
    <row r="1867" spans="4:4" s="21" customFormat="1">
      <c r="D1867" s="164"/>
    </row>
    <row r="1868" spans="4:4" s="21" customFormat="1">
      <c r="D1868" s="164"/>
    </row>
    <row r="1869" spans="4:4" s="21" customFormat="1">
      <c r="D1869" s="164"/>
    </row>
    <row r="1870" spans="4:4" s="21" customFormat="1">
      <c r="D1870" s="164"/>
    </row>
    <row r="1871" spans="4:4" s="21" customFormat="1">
      <c r="D1871" s="164"/>
    </row>
    <row r="1872" spans="4:4" s="21" customFormat="1">
      <c r="D1872" s="164"/>
    </row>
    <row r="1873" spans="4:4" s="21" customFormat="1">
      <c r="D1873" s="164"/>
    </row>
    <row r="1874" spans="4:4" s="21" customFormat="1">
      <c r="D1874" s="164"/>
    </row>
    <row r="1875" spans="4:4" s="21" customFormat="1">
      <c r="D1875" s="164"/>
    </row>
    <row r="1876" spans="4:4" s="21" customFormat="1">
      <c r="D1876" s="164"/>
    </row>
    <row r="1877" spans="4:4" s="21" customFormat="1">
      <c r="D1877" s="164"/>
    </row>
    <row r="1878" spans="4:4" s="21" customFormat="1">
      <c r="D1878" s="164"/>
    </row>
    <row r="1879" spans="4:4" s="21" customFormat="1">
      <c r="D1879" s="164"/>
    </row>
    <row r="1880" spans="4:4" s="21" customFormat="1">
      <c r="D1880" s="164"/>
    </row>
    <row r="1881" spans="4:4" s="21" customFormat="1">
      <c r="D1881" s="164"/>
    </row>
    <row r="1882" spans="4:4" s="21" customFormat="1">
      <c r="D1882" s="164"/>
    </row>
    <row r="1883" spans="4:4" s="21" customFormat="1">
      <c r="D1883" s="164"/>
    </row>
    <row r="1884" spans="4:4" s="21" customFormat="1">
      <c r="D1884" s="164"/>
    </row>
    <row r="1885" spans="4:4" s="21" customFormat="1">
      <c r="D1885" s="164"/>
    </row>
    <row r="1886" spans="4:4" s="21" customFormat="1">
      <c r="D1886" s="164"/>
    </row>
    <row r="1887" spans="4:4" s="21" customFormat="1">
      <c r="D1887" s="164"/>
    </row>
    <row r="1888" spans="4:4" s="21" customFormat="1">
      <c r="D1888" s="164"/>
    </row>
    <row r="1889" spans="4:4" s="21" customFormat="1">
      <c r="D1889" s="164"/>
    </row>
    <row r="1890" spans="4:4" s="21" customFormat="1">
      <c r="D1890" s="164"/>
    </row>
    <row r="1891" spans="4:4" s="21" customFormat="1">
      <c r="D1891" s="164"/>
    </row>
    <row r="1892" spans="4:4" s="21" customFormat="1">
      <c r="D1892" s="164"/>
    </row>
    <row r="1893" spans="4:4" s="21" customFormat="1">
      <c r="D1893" s="164"/>
    </row>
    <row r="1894" spans="4:4" s="21" customFormat="1">
      <c r="D1894" s="164"/>
    </row>
    <row r="1895" spans="4:4" s="21" customFormat="1">
      <c r="D1895" s="164"/>
    </row>
    <row r="1896" spans="4:4" s="21" customFormat="1">
      <c r="D1896" s="164"/>
    </row>
    <row r="1897" spans="4:4" s="21" customFormat="1">
      <c r="D1897" s="164"/>
    </row>
    <row r="1898" spans="4:4" s="21" customFormat="1">
      <c r="D1898" s="164"/>
    </row>
    <row r="1899" spans="4:4" s="21" customFormat="1">
      <c r="D1899" s="164"/>
    </row>
    <row r="1900" spans="4:4" s="21" customFormat="1">
      <c r="D1900" s="164"/>
    </row>
    <row r="1901" spans="4:4" s="21" customFormat="1">
      <c r="D1901" s="164"/>
    </row>
    <row r="1902" spans="4:4" s="21" customFormat="1">
      <c r="D1902" s="164"/>
    </row>
    <row r="1903" spans="4:4" s="21" customFormat="1">
      <c r="D1903" s="164"/>
    </row>
    <row r="1904" spans="4:4" s="21" customFormat="1">
      <c r="D1904" s="164"/>
    </row>
    <row r="1905" spans="4:4" s="21" customFormat="1">
      <c r="D1905" s="164"/>
    </row>
    <row r="1906" spans="4:4" s="21" customFormat="1">
      <c r="D1906" s="164"/>
    </row>
    <row r="1907" spans="4:4" s="21" customFormat="1">
      <c r="D1907" s="164"/>
    </row>
    <row r="1908" spans="4:4" s="21" customFormat="1">
      <c r="D1908" s="164"/>
    </row>
    <row r="1909" spans="4:4" s="21" customFormat="1">
      <c r="D1909" s="164"/>
    </row>
    <row r="1910" spans="4:4" s="21" customFormat="1">
      <c r="D1910" s="164"/>
    </row>
    <row r="1911" spans="4:4" s="21" customFormat="1">
      <c r="D1911" s="164"/>
    </row>
    <row r="1912" spans="4:4" s="21" customFormat="1">
      <c r="D1912" s="164"/>
    </row>
    <row r="1913" spans="4:4" s="21" customFormat="1">
      <c r="D1913" s="164"/>
    </row>
    <row r="1914" spans="4:4" s="21" customFormat="1">
      <c r="D1914" s="164"/>
    </row>
    <row r="1915" spans="4:4" s="21" customFormat="1">
      <c r="D1915" s="164"/>
    </row>
    <row r="1916" spans="4:4" s="21" customFormat="1">
      <c r="D1916" s="164"/>
    </row>
    <row r="1917" spans="4:4" s="21" customFormat="1">
      <c r="D1917" s="164"/>
    </row>
    <row r="1918" spans="4:4" s="21" customFormat="1">
      <c r="D1918" s="164"/>
    </row>
    <row r="1919" spans="4:4" s="21" customFormat="1">
      <c r="D1919" s="164"/>
    </row>
    <row r="1920" spans="4:4" s="21" customFormat="1">
      <c r="D1920" s="164"/>
    </row>
    <row r="1921" spans="4:4" s="21" customFormat="1">
      <c r="D1921" s="164"/>
    </row>
    <row r="1922" spans="4:4" s="21" customFormat="1">
      <c r="D1922" s="164"/>
    </row>
    <row r="1923" spans="4:4" s="21" customFormat="1">
      <c r="D1923" s="164"/>
    </row>
    <row r="1924" spans="4:4" s="21" customFormat="1">
      <c r="D1924" s="164"/>
    </row>
    <row r="1925" spans="4:4" s="21" customFormat="1">
      <c r="D1925" s="164"/>
    </row>
    <row r="1926" spans="4:4" s="21" customFormat="1">
      <c r="D1926" s="164"/>
    </row>
    <row r="1927" spans="4:4" s="21" customFormat="1">
      <c r="D1927" s="164"/>
    </row>
    <row r="1928" spans="4:4" s="21" customFormat="1">
      <c r="D1928" s="164"/>
    </row>
    <row r="1929" spans="4:4" s="21" customFormat="1">
      <c r="D1929" s="164"/>
    </row>
    <row r="1930" spans="4:4" s="21" customFormat="1">
      <c r="D1930" s="164"/>
    </row>
    <row r="1931" spans="4:4" s="21" customFormat="1">
      <c r="D1931" s="164"/>
    </row>
    <row r="1932" spans="4:4" s="21" customFormat="1">
      <c r="D1932" s="164"/>
    </row>
    <row r="1933" spans="4:4" s="21" customFormat="1">
      <c r="D1933" s="164"/>
    </row>
    <row r="1934" spans="4:4" s="21" customFormat="1">
      <c r="D1934" s="164"/>
    </row>
    <row r="1935" spans="4:4" s="21" customFormat="1">
      <c r="D1935" s="164"/>
    </row>
    <row r="1936" spans="4:4" s="21" customFormat="1">
      <c r="D1936" s="164"/>
    </row>
    <row r="1937" spans="4:4" s="21" customFormat="1">
      <c r="D1937" s="164"/>
    </row>
    <row r="1938" spans="4:4" s="21" customFormat="1">
      <c r="D1938" s="164"/>
    </row>
    <row r="1939" spans="4:4" s="21" customFormat="1">
      <c r="D1939" s="164"/>
    </row>
    <row r="1940" spans="4:4" s="21" customFormat="1">
      <c r="D1940" s="164"/>
    </row>
    <row r="1941" spans="4:4" s="21" customFormat="1">
      <c r="D1941" s="164"/>
    </row>
    <row r="1942" spans="4:4" s="21" customFormat="1">
      <c r="D1942" s="164"/>
    </row>
    <row r="1943" spans="4:4" s="21" customFormat="1">
      <c r="D1943" s="164"/>
    </row>
    <row r="1944" spans="4:4" s="21" customFormat="1">
      <c r="D1944" s="164"/>
    </row>
    <row r="1945" spans="4:4" s="21" customFormat="1">
      <c r="D1945" s="164"/>
    </row>
    <row r="1946" spans="4:4" s="21" customFormat="1">
      <c r="D1946" s="164"/>
    </row>
    <row r="1947" spans="4:4" s="21" customFormat="1">
      <c r="D1947" s="164"/>
    </row>
    <row r="1948" spans="4:4" s="21" customFormat="1">
      <c r="D1948" s="164"/>
    </row>
    <row r="1949" spans="4:4" s="21" customFormat="1">
      <c r="D1949" s="164"/>
    </row>
    <row r="1950" spans="4:4" s="21" customFormat="1">
      <c r="D1950" s="164"/>
    </row>
    <row r="1951" spans="4:4" s="21" customFormat="1">
      <c r="D1951" s="164"/>
    </row>
    <row r="1952" spans="4:4" s="21" customFormat="1">
      <c r="D1952" s="164"/>
    </row>
    <row r="1953" spans="4:4" s="21" customFormat="1">
      <c r="D1953" s="164"/>
    </row>
    <row r="1954" spans="4:4" s="21" customFormat="1">
      <c r="D1954" s="164"/>
    </row>
    <row r="1955" spans="4:4" s="21" customFormat="1">
      <c r="D1955" s="164"/>
    </row>
    <row r="1956" spans="4:4" s="21" customFormat="1">
      <c r="D1956" s="164"/>
    </row>
    <row r="1957" spans="4:4" s="21" customFormat="1">
      <c r="D1957" s="164"/>
    </row>
    <row r="1958" spans="4:4" s="21" customFormat="1">
      <c r="D1958" s="164"/>
    </row>
    <row r="1959" spans="4:4" s="21" customFormat="1">
      <c r="D1959" s="164"/>
    </row>
    <row r="1960" spans="4:4" s="21" customFormat="1">
      <c r="D1960" s="164"/>
    </row>
    <row r="1961" spans="4:4" s="21" customFormat="1">
      <c r="D1961" s="164"/>
    </row>
    <row r="1962" spans="4:4" s="21" customFormat="1">
      <c r="D1962" s="164"/>
    </row>
    <row r="1963" spans="4:4" s="21" customFormat="1">
      <c r="D1963" s="164"/>
    </row>
    <row r="1964" spans="4:4" s="21" customFormat="1">
      <c r="D1964" s="164"/>
    </row>
    <row r="1965" spans="4:4" s="21" customFormat="1">
      <c r="D1965" s="164"/>
    </row>
    <row r="1966" spans="4:4" s="21" customFormat="1">
      <c r="D1966" s="164"/>
    </row>
    <row r="1967" spans="4:4" s="21" customFormat="1">
      <c r="D1967" s="164"/>
    </row>
    <row r="1968" spans="4:4" s="21" customFormat="1">
      <c r="D1968" s="164"/>
    </row>
    <row r="1969" spans="4:4" s="21" customFormat="1">
      <c r="D1969" s="164"/>
    </row>
    <row r="1970" spans="4:4" s="21" customFormat="1">
      <c r="D1970" s="164"/>
    </row>
    <row r="1971" spans="4:4" s="21" customFormat="1">
      <c r="D1971" s="164"/>
    </row>
    <row r="1972" spans="4:4" s="21" customFormat="1">
      <c r="D1972" s="164"/>
    </row>
    <row r="1973" spans="4:4" s="21" customFormat="1">
      <c r="D1973" s="164"/>
    </row>
    <row r="1974" spans="4:4" s="21" customFormat="1">
      <c r="D1974" s="164"/>
    </row>
    <row r="1975" spans="4:4" s="21" customFormat="1">
      <c r="D1975" s="164"/>
    </row>
    <row r="1976" spans="4:4" s="21" customFormat="1">
      <c r="D1976" s="164"/>
    </row>
    <row r="1977" spans="4:4" s="21" customFormat="1">
      <c r="D1977" s="164"/>
    </row>
    <row r="1978" spans="4:4" s="21" customFormat="1">
      <c r="D1978" s="164"/>
    </row>
    <row r="1979" spans="4:4" s="21" customFormat="1">
      <c r="D1979" s="164"/>
    </row>
    <row r="1980" spans="4:4" s="21" customFormat="1">
      <c r="D1980" s="164"/>
    </row>
    <row r="1981" spans="4:4" s="21" customFormat="1">
      <c r="D1981" s="164"/>
    </row>
    <row r="1982" spans="4:4" s="21" customFormat="1">
      <c r="D1982" s="164"/>
    </row>
    <row r="1983" spans="4:4" s="21" customFormat="1">
      <c r="D1983" s="164"/>
    </row>
    <row r="1984" spans="4:4" s="21" customFormat="1">
      <c r="D1984" s="164"/>
    </row>
    <row r="1985" spans="4:4" s="21" customFormat="1">
      <c r="D1985" s="164"/>
    </row>
    <row r="1986" spans="4:4" s="21" customFormat="1">
      <c r="D1986" s="164"/>
    </row>
    <row r="1987" spans="4:4" s="21" customFormat="1">
      <c r="D1987" s="164"/>
    </row>
    <row r="1988" spans="4:4" s="21" customFormat="1">
      <c r="D1988" s="164"/>
    </row>
    <row r="1989" spans="4:4" s="21" customFormat="1">
      <c r="D1989" s="164"/>
    </row>
    <row r="1990" spans="4:4" s="21" customFormat="1">
      <c r="D1990" s="164"/>
    </row>
    <row r="1991" spans="4:4" s="21" customFormat="1">
      <c r="D1991" s="164"/>
    </row>
    <row r="1992" spans="4:4" s="21" customFormat="1">
      <c r="D1992" s="164"/>
    </row>
    <row r="1993" spans="4:4" s="21" customFormat="1">
      <c r="D1993" s="164"/>
    </row>
    <row r="1994" spans="4:4" s="21" customFormat="1">
      <c r="D1994" s="164"/>
    </row>
    <row r="1995" spans="4:4" s="21" customFormat="1">
      <c r="D1995" s="164"/>
    </row>
    <row r="1996" spans="4:4" s="21" customFormat="1">
      <c r="D1996" s="164"/>
    </row>
    <row r="1997" spans="4:4" s="21" customFormat="1">
      <c r="D1997" s="164"/>
    </row>
    <row r="1998" spans="4:4" s="21" customFormat="1">
      <c r="D1998" s="164"/>
    </row>
    <row r="1999" spans="4:4" s="21" customFormat="1">
      <c r="D1999" s="164"/>
    </row>
    <row r="2000" spans="4:4" s="21" customFormat="1">
      <c r="D2000" s="164"/>
    </row>
    <row r="2001" spans="4:4" s="21" customFormat="1">
      <c r="D2001" s="164"/>
    </row>
    <row r="2002" spans="4:4" s="21" customFormat="1">
      <c r="D2002" s="164"/>
    </row>
    <row r="2003" spans="4:4" s="21" customFormat="1">
      <c r="D2003" s="164"/>
    </row>
    <row r="2004" spans="4:4" s="21" customFormat="1">
      <c r="D2004" s="164"/>
    </row>
    <row r="2005" spans="4:4" s="21" customFormat="1">
      <c r="D2005" s="164"/>
    </row>
    <row r="2006" spans="4:4" s="21" customFormat="1">
      <c r="D2006" s="164"/>
    </row>
    <row r="2007" spans="4:4" s="21" customFormat="1">
      <c r="D2007" s="164"/>
    </row>
    <row r="2008" spans="4:4" s="21" customFormat="1">
      <c r="D2008" s="164"/>
    </row>
    <row r="2009" spans="4:4" s="21" customFormat="1">
      <c r="D2009" s="164"/>
    </row>
    <row r="2010" spans="4:4" s="21" customFormat="1">
      <c r="D2010" s="164"/>
    </row>
    <row r="2011" spans="4:4" s="21" customFormat="1">
      <c r="D2011" s="164"/>
    </row>
    <row r="2012" spans="4:4" s="21" customFormat="1">
      <c r="D2012" s="164"/>
    </row>
    <row r="2013" spans="4:4" s="21" customFormat="1">
      <c r="D2013" s="164"/>
    </row>
    <row r="2014" spans="4:4" s="21" customFormat="1">
      <c r="D2014" s="164"/>
    </row>
    <row r="2015" spans="4:4" s="21" customFormat="1">
      <c r="D2015" s="164"/>
    </row>
    <row r="2016" spans="4:4" s="21" customFormat="1">
      <c r="D2016" s="164"/>
    </row>
    <row r="2017" spans="4:4" s="21" customFormat="1">
      <c r="D2017" s="164"/>
    </row>
    <row r="2018" spans="4:4" s="21" customFormat="1">
      <c r="D2018" s="164"/>
    </row>
    <row r="2019" spans="4:4" s="21" customFormat="1">
      <c r="D2019" s="164"/>
    </row>
    <row r="2020" spans="4:4" s="21" customFormat="1">
      <c r="D2020" s="164"/>
    </row>
    <row r="2021" spans="4:4" s="21" customFormat="1">
      <c r="D2021" s="164"/>
    </row>
    <row r="2022" spans="4:4" s="21" customFormat="1">
      <c r="D2022" s="164"/>
    </row>
    <row r="2023" spans="4:4" s="21" customFormat="1">
      <c r="D2023" s="164"/>
    </row>
    <row r="2024" spans="4:4" s="21" customFormat="1">
      <c r="D2024" s="164"/>
    </row>
    <row r="2025" spans="4:4" s="21" customFormat="1">
      <c r="D2025" s="164"/>
    </row>
    <row r="2026" spans="4:4" s="21" customFormat="1">
      <c r="D2026" s="164"/>
    </row>
    <row r="2027" spans="4:4" s="21" customFormat="1">
      <c r="D2027" s="164"/>
    </row>
    <row r="2028" spans="4:4" s="21" customFormat="1">
      <c r="D2028" s="164"/>
    </row>
    <row r="2029" spans="4:4" s="21" customFormat="1">
      <c r="D2029" s="164"/>
    </row>
    <row r="2030" spans="4:4" s="21" customFormat="1">
      <c r="D2030" s="164"/>
    </row>
    <row r="2031" spans="4:4" s="21" customFormat="1">
      <c r="D2031" s="164"/>
    </row>
    <row r="2032" spans="4:4" s="21" customFormat="1">
      <c r="D2032" s="164"/>
    </row>
    <row r="2033" spans="4:4" s="21" customFormat="1">
      <c r="D2033" s="164"/>
    </row>
    <row r="2034" spans="4:4" s="21" customFormat="1">
      <c r="D2034" s="164"/>
    </row>
    <row r="2035" spans="4:4" s="21" customFormat="1">
      <c r="D2035" s="164"/>
    </row>
    <row r="2036" spans="4:4" s="21" customFormat="1">
      <c r="D2036" s="164"/>
    </row>
    <row r="2037" spans="4:4" s="21" customFormat="1">
      <c r="D2037" s="164"/>
    </row>
    <row r="2038" spans="4:4" s="21" customFormat="1">
      <c r="D2038" s="164"/>
    </row>
    <row r="2039" spans="4:4" s="21" customFormat="1">
      <c r="D2039" s="164"/>
    </row>
    <row r="2040" spans="4:4" s="21" customFormat="1">
      <c r="D2040" s="164"/>
    </row>
    <row r="2041" spans="4:4" s="21" customFormat="1">
      <c r="D2041" s="164"/>
    </row>
    <row r="2042" spans="4:4" s="21" customFormat="1">
      <c r="D2042" s="164"/>
    </row>
    <row r="2043" spans="4:4" s="21" customFormat="1">
      <c r="D2043" s="164"/>
    </row>
    <row r="2044" spans="4:4" s="21" customFormat="1">
      <c r="D2044" s="164"/>
    </row>
    <row r="2045" spans="4:4" s="21" customFormat="1">
      <c r="D2045" s="164"/>
    </row>
    <row r="2046" spans="4:4" s="21" customFormat="1">
      <c r="D2046" s="164"/>
    </row>
    <row r="2047" spans="4:4" s="21" customFormat="1">
      <c r="D2047" s="164"/>
    </row>
    <row r="2048" spans="4:4" s="21" customFormat="1">
      <c r="D2048" s="164"/>
    </row>
    <row r="2049" spans="4:4" s="21" customFormat="1">
      <c r="D2049" s="164"/>
    </row>
    <row r="2050" spans="4:4" s="21" customFormat="1">
      <c r="D2050" s="164"/>
    </row>
    <row r="2051" spans="4:4" s="21" customFormat="1">
      <c r="D2051" s="164"/>
    </row>
    <row r="2052" spans="4:4" s="21" customFormat="1">
      <c r="D2052" s="164"/>
    </row>
    <row r="2053" spans="4:4" s="21" customFormat="1">
      <c r="D2053" s="164"/>
    </row>
    <row r="2054" spans="4:4" s="21" customFormat="1">
      <c r="D2054" s="164"/>
    </row>
    <row r="2055" spans="4:4" s="21" customFormat="1">
      <c r="D2055" s="164"/>
    </row>
    <row r="2056" spans="4:4" s="21" customFormat="1">
      <c r="D2056" s="164"/>
    </row>
    <row r="2057" spans="4:4" s="21" customFormat="1">
      <c r="D2057" s="164"/>
    </row>
    <row r="2058" spans="4:4" s="21" customFormat="1">
      <c r="D2058" s="164"/>
    </row>
    <row r="2059" spans="4:4" s="21" customFormat="1">
      <c r="D2059" s="164"/>
    </row>
    <row r="2060" spans="4:4" s="21" customFormat="1">
      <c r="D2060" s="164"/>
    </row>
    <row r="2061" spans="4:4" s="21" customFormat="1">
      <c r="D2061" s="164"/>
    </row>
    <row r="2062" spans="4:4" s="21" customFormat="1">
      <c r="D2062" s="164"/>
    </row>
    <row r="2063" spans="4:4" s="21" customFormat="1">
      <c r="D2063" s="164"/>
    </row>
    <row r="2064" spans="4:4" s="21" customFormat="1">
      <c r="D2064" s="164"/>
    </row>
    <row r="2065" spans="4:4" s="21" customFormat="1">
      <c r="D2065" s="164"/>
    </row>
    <row r="2066" spans="4:4" s="21" customFormat="1">
      <c r="D2066" s="164"/>
    </row>
    <row r="2067" spans="4:4" s="21" customFormat="1">
      <c r="D2067" s="164"/>
    </row>
    <row r="2068" spans="4:4" s="21" customFormat="1">
      <c r="D2068" s="164"/>
    </row>
    <row r="2069" spans="4:4" s="21" customFormat="1">
      <c r="D2069" s="164"/>
    </row>
    <row r="2070" spans="4:4" s="21" customFormat="1">
      <c r="D2070" s="164"/>
    </row>
    <row r="2071" spans="4:4" s="21" customFormat="1">
      <c r="D2071" s="164"/>
    </row>
    <row r="2072" spans="4:4" s="21" customFormat="1">
      <c r="D2072" s="164"/>
    </row>
    <row r="2073" spans="4:4" s="21" customFormat="1">
      <c r="D2073" s="164"/>
    </row>
    <row r="2074" spans="4:4" s="21" customFormat="1">
      <c r="D2074" s="164"/>
    </row>
    <row r="2075" spans="4:4" s="21" customFormat="1">
      <c r="D2075" s="164"/>
    </row>
    <row r="2076" spans="4:4" s="21" customFormat="1">
      <c r="D2076" s="164"/>
    </row>
    <row r="2077" spans="4:4" s="21" customFormat="1">
      <c r="D2077" s="164"/>
    </row>
    <row r="2078" spans="4:4" s="21" customFormat="1">
      <c r="D2078" s="164"/>
    </row>
    <row r="2079" spans="4:4" s="21" customFormat="1">
      <c r="D2079" s="164"/>
    </row>
    <row r="2080" spans="4:4" s="21" customFormat="1">
      <c r="D2080" s="164"/>
    </row>
    <row r="2081" spans="4:4" s="21" customFormat="1">
      <c r="D2081" s="164"/>
    </row>
    <row r="2082" spans="4:4" s="21" customFormat="1">
      <c r="D2082" s="164"/>
    </row>
    <row r="2083" spans="4:4" s="21" customFormat="1">
      <c r="D2083" s="164"/>
    </row>
    <row r="2084" spans="4:4" s="21" customFormat="1">
      <c r="D2084" s="164"/>
    </row>
    <row r="2085" spans="4:4" s="21" customFormat="1">
      <c r="D2085" s="164"/>
    </row>
    <row r="2086" spans="4:4" s="21" customFormat="1">
      <c r="D2086" s="164"/>
    </row>
    <row r="2087" spans="4:4" s="21" customFormat="1">
      <c r="D2087" s="164"/>
    </row>
    <row r="2088" spans="4:4" s="21" customFormat="1">
      <c r="D2088" s="164"/>
    </row>
    <row r="2089" spans="4:4" s="21" customFormat="1">
      <c r="D2089" s="164"/>
    </row>
    <row r="2090" spans="4:4" s="21" customFormat="1">
      <c r="D2090" s="164"/>
    </row>
    <row r="2091" spans="4:4" s="21" customFormat="1">
      <c r="D2091" s="164"/>
    </row>
    <row r="2092" spans="4:4" s="21" customFormat="1">
      <c r="D2092" s="164"/>
    </row>
    <row r="2093" spans="4:4" s="21" customFormat="1">
      <c r="D2093" s="164"/>
    </row>
    <row r="2094" spans="4:4" s="21" customFormat="1">
      <c r="D2094" s="164"/>
    </row>
    <row r="2095" spans="4:4" s="21" customFormat="1">
      <c r="D2095" s="164"/>
    </row>
    <row r="2096" spans="4:4" s="21" customFormat="1">
      <c r="D2096" s="164"/>
    </row>
    <row r="2097" spans="4:4" s="21" customFormat="1">
      <c r="D2097" s="164"/>
    </row>
    <row r="2098" spans="4:4" s="21" customFormat="1">
      <c r="D2098" s="164"/>
    </row>
    <row r="2099" spans="4:4" s="21" customFormat="1">
      <c r="D2099" s="164"/>
    </row>
    <row r="2100" spans="4:4" s="21" customFormat="1">
      <c r="D2100" s="164"/>
    </row>
    <row r="2101" spans="4:4" s="21" customFormat="1">
      <c r="D2101" s="164"/>
    </row>
    <row r="2102" spans="4:4" s="21" customFormat="1">
      <c r="D2102" s="164"/>
    </row>
    <row r="2103" spans="4:4" s="21" customFormat="1">
      <c r="D2103" s="164"/>
    </row>
    <row r="2104" spans="4:4" s="21" customFormat="1">
      <c r="D2104" s="164"/>
    </row>
    <row r="2105" spans="4:4" s="21" customFormat="1">
      <c r="D2105" s="164"/>
    </row>
    <row r="2106" spans="4:4" s="21" customFormat="1">
      <c r="D2106" s="164"/>
    </row>
    <row r="2107" spans="4:4" s="21" customFormat="1">
      <c r="D2107" s="164"/>
    </row>
    <row r="2108" spans="4:4" s="21" customFormat="1">
      <c r="D2108" s="164"/>
    </row>
    <row r="2109" spans="4:4" s="21" customFormat="1">
      <c r="D2109" s="164"/>
    </row>
    <row r="2110" spans="4:4" s="21" customFormat="1">
      <c r="D2110" s="164"/>
    </row>
    <row r="2111" spans="4:4" s="21" customFormat="1">
      <c r="D2111" s="164"/>
    </row>
    <row r="2112" spans="4:4" s="21" customFormat="1">
      <c r="D2112" s="164"/>
    </row>
    <row r="2113" spans="4:4" s="21" customFormat="1">
      <c r="D2113" s="164"/>
    </row>
    <row r="2114" spans="4:4" s="21" customFormat="1">
      <c r="D2114" s="164"/>
    </row>
    <row r="2115" spans="4:4" s="21" customFormat="1">
      <c r="D2115" s="164"/>
    </row>
    <row r="2116" spans="4:4" s="21" customFormat="1">
      <c r="D2116" s="164"/>
    </row>
    <row r="2117" spans="4:4" s="21" customFormat="1">
      <c r="D2117" s="164"/>
    </row>
    <row r="2118" spans="4:4" s="21" customFormat="1">
      <c r="D2118" s="164"/>
    </row>
    <row r="2119" spans="4:4" s="21" customFormat="1">
      <c r="D2119" s="164"/>
    </row>
    <row r="2120" spans="4:4" s="21" customFormat="1">
      <c r="D2120" s="164"/>
    </row>
    <row r="2121" spans="4:4" s="21" customFormat="1">
      <c r="D2121" s="164"/>
    </row>
    <row r="2122" spans="4:4" s="21" customFormat="1">
      <c r="D2122" s="164"/>
    </row>
    <row r="2123" spans="4:4" s="21" customFormat="1">
      <c r="D2123" s="164"/>
    </row>
    <row r="2124" spans="4:4" s="21" customFormat="1">
      <c r="D2124" s="164"/>
    </row>
    <row r="2125" spans="4:4" s="21" customFormat="1">
      <c r="D2125" s="164"/>
    </row>
    <row r="2126" spans="4:4" s="21" customFormat="1">
      <c r="D2126" s="164"/>
    </row>
    <row r="2127" spans="4:4" s="21" customFormat="1">
      <c r="D2127" s="164"/>
    </row>
    <row r="2128" spans="4:4" s="21" customFormat="1">
      <c r="D2128" s="164"/>
    </row>
    <row r="2129" spans="4:4" s="21" customFormat="1">
      <c r="D2129" s="164"/>
    </row>
    <row r="2130" spans="4:4" s="21" customFormat="1">
      <c r="D2130" s="164"/>
    </row>
    <row r="2131" spans="4:4" s="21" customFormat="1">
      <c r="D2131" s="164"/>
    </row>
    <row r="2132" spans="4:4" s="21" customFormat="1">
      <c r="D2132" s="164"/>
    </row>
    <row r="2133" spans="4:4" s="21" customFormat="1">
      <c r="D2133" s="164"/>
    </row>
    <row r="2134" spans="4:4" s="21" customFormat="1">
      <c r="D2134" s="164"/>
    </row>
    <row r="2135" spans="4:4" s="21" customFormat="1">
      <c r="D2135" s="164"/>
    </row>
    <row r="2136" spans="4:4" s="21" customFormat="1">
      <c r="D2136" s="164"/>
    </row>
    <row r="2137" spans="4:4" s="21" customFormat="1">
      <c r="D2137" s="164"/>
    </row>
    <row r="2138" spans="4:4" s="21" customFormat="1">
      <c r="D2138" s="164"/>
    </row>
    <row r="2139" spans="4:4" s="21" customFormat="1">
      <c r="D2139" s="164"/>
    </row>
    <row r="2140" spans="4:4" s="21" customFormat="1">
      <c r="D2140" s="164"/>
    </row>
    <row r="2141" spans="4:4" s="21" customFormat="1">
      <c r="D2141" s="164"/>
    </row>
    <row r="2142" spans="4:4" s="21" customFormat="1">
      <c r="D2142" s="164"/>
    </row>
    <row r="2143" spans="4:4" s="21" customFormat="1">
      <c r="D2143" s="164"/>
    </row>
    <row r="2144" spans="4:4" s="21" customFormat="1">
      <c r="D2144" s="164"/>
    </row>
    <row r="2145" spans="4:4" s="21" customFormat="1">
      <c r="D2145" s="164"/>
    </row>
    <row r="2146" spans="4:4" s="21" customFormat="1">
      <c r="D2146" s="164"/>
    </row>
    <row r="2147" spans="4:4" s="21" customFormat="1">
      <c r="D2147" s="164"/>
    </row>
    <row r="2148" spans="4:4" s="21" customFormat="1">
      <c r="D2148" s="164"/>
    </row>
    <row r="2149" spans="4:4" s="21" customFormat="1">
      <c r="D2149" s="164"/>
    </row>
    <row r="2150" spans="4:4" s="21" customFormat="1">
      <c r="D2150" s="164"/>
    </row>
    <row r="2151" spans="4:4" s="21" customFormat="1">
      <c r="D2151" s="164"/>
    </row>
    <row r="2152" spans="4:4" s="21" customFormat="1">
      <c r="D2152" s="164"/>
    </row>
    <row r="2153" spans="4:4" s="21" customFormat="1">
      <c r="D2153" s="164"/>
    </row>
    <row r="2154" spans="4:4" s="21" customFormat="1">
      <c r="D2154" s="164"/>
    </row>
    <row r="2155" spans="4:4" s="21" customFormat="1">
      <c r="D2155" s="164"/>
    </row>
    <row r="2156" spans="4:4" s="21" customFormat="1">
      <c r="D2156" s="164"/>
    </row>
    <row r="2157" spans="4:4" s="21" customFormat="1">
      <c r="D2157" s="164"/>
    </row>
    <row r="2158" spans="4:4" s="21" customFormat="1">
      <c r="D2158" s="164"/>
    </row>
    <row r="2159" spans="4:4" s="21" customFormat="1">
      <c r="D2159" s="164"/>
    </row>
    <row r="2160" spans="4:4" s="21" customFormat="1">
      <c r="D2160" s="164"/>
    </row>
    <row r="2161" spans="4:4" s="21" customFormat="1">
      <c r="D2161" s="164"/>
    </row>
    <row r="2162" spans="4:4" s="21" customFormat="1">
      <c r="D2162" s="164"/>
    </row>
    <row r="2163" spans="4:4" s="21" customFormat="1">
      <c r="D2163" s="164"/>
    </row>
    <row r="2164" spans="4:4" s="21" customFormat="1">
      <c r="D2164" s="164"/>
    </row>
    <row r="2165" spans="4:4" s="21" customFormat="1">
      <c r="D2165" s="164"/>
    </row>
    <row r="2166" spans="4:4" s="21" customFormat="1">
      <c r="D2166" s="164"/>
    </row>
    <row r="2167" spans="4:4" s="21" customFormat="1">
      <c r="D2167" s="164"/>
    </row>
    <row r="2168" spans="4:4" s="21" customFormat="1">
      <c r="D2168" s="164"/>
    </row>
    <row r="2169" spans="4:4" s="21" customFormat="1">
      <c r="D2169" s="164"/>
    </row>
    <row r="2170" spans="4:4" s="21" customFormat="1">
      <c r="D2170" s="164"/>
    </row>
    <row r="2171" spans="4:4" s="21" customFormat="1">
      <c r="D2171" s="164"/>
    </row>
    <row r="2172" spans="4:4" s="21" customFormat="1">
      <c r="D2172" s="164"/>
    </row>
    <row r="2173" spans="4:4" s="21" customFormat="1">
      <c r="D2173" s="164"/>
    </row>
    <row r="2174" spans="4:4" s="21" customFormat="1">
      <c r="D2174" s="164"/>
    </row>
    <row r="2175" spans="4:4" s="21" customFormat="1">
      <c r="D2175" s="164"/>
    </row>
    <row r="2176" spans="4:4" s="21" customFormat="1">
      <c r="D2176" s="164"/>
    </row>
    <row r="2177" spans="4:4" s="21" customFormat="1">
      <c r="D2177" s="164"/>
    </row>
    <row r="2178" spans="4:4" s="21" customFormat="1">
      <c r="D2178" s="164"/>
    </row>
    <row r="2179" spans="4:4" s="21" customFormat="1">
      <c r="D2179" s="164"/>
    </row>
    <row r="2180" spans="4:4" s="21" customFormat="1">
      <c r="D2180" s="164"/>
    </row>
    <row r="2181" spans="4:4" s="21" customFormat="1">
      <c r="D2181" s="164"/>
    </row>
    <row r="2182" spans="4:4" s="21" customFormat="1">
      <c r="D2182" s="164"/>
    </row>
    <row r="2183" spans="4:4" s="21" customFormat="1">
      <c r="D2183" s="164"/>
    </row>
    <row r="2184" spans="4:4" s="21" customFormat="1">
      <c r="D2184" s="164"/>
    </row>
    <row r="2185" spans="4:4" s="21" customFormat="1">
      <c r="D2185" s="164"/>
    </row>
    <row r="2186" spans="4:4" s="21" customFormat="1">
      <c r="D2186" s="164"/>
    </row>
    <row r="2187" spans="4:4" s="21" customFormat="1">
      <c r="D2187" s="164"/>
    </row>
    <row r="2188" spans="4:4" s="21" customFormat="1">
      <c r="D2188" s="164"/>
    </row>
    <row r="2189" spans="4:4" s="21" customFormat="1">
      <c r="D2189" s="164"/>
    </row>
    <row r="2190" spans="4:4" s="21" customFormat="1">
      <c r="D2190" s="164"/>
    </row>
    <row r="2191" spans="4:4" s="21" customFormat="1">
      <c r="D2191" s="164"/>
    </row>
    <row r="2192" spans="4:4" s="21" customFormat="1">
      <c r="D2192" s="164"/>
    </row>
    <row r="2193" spans="4:4" s="21" customFormat="1">
      <c r="D2193" s="164"/>
    </row>
    <row r="2194" spans="4:4" s="21" customFormat="1">
      <c r="D2194" s="164"/>
    </row>
    <row r="2195" spans="4:4" s="21" customFormat="1">
      <c r="D2195" s="164"/>
    </row>
    <row r="2196" spans="4:4" s="21" customFormat="1">
      <c r="D2196" s="164"/>
    </row>
    <row r="2197" spans="4:4" s="21" customFormat="1">
      <c r="D2197" s="164"/>
    </row>
    <row r="2198" spans="4:4" s="21" customFormat="1">
      <c r="D2198" s="164"/>
    </row>
    <row r="2199" spans="4:4" s="21" customFormat="1">
      <c r="D2199" s="164"/>
    </row>
    <row r="2200" spans="4:4" s="21" customFormat="1">
      <c r="D2200" s="164"/>
    </row>
    <row r="2201" spans="4:4" s="21" customFormat="1">
      <c r="D2201" s="164"/>
    </row>
    <row r="2202" spans="4:4" s="21" customFormat="1">
      <c r="D2202" s="164"/>
    </row>
    <row r="2203" spans="4:4" s="21" customFormat="1">
      <c r="D2203" s="164"/>
    </row>
    <row r="2204" spans="4:4" s="21" customFormat="1">
      <c r="D2204" s="164"/>
    </row>
    <row r="2205" spans="4:4" s="21" customFormat="1">
      <c r="D2205" s="164"/>
    </row>
    <row r="2206" spans="4:4" s="21" customFormat="1">
      <c r="D2206" s="164"/>
    </row>
    <row r="2207" spans="4:4" s="21" customFormat="1">
      <c r="D2207" s="164"/>
    </row>
    <row r="2208" spans="4:4" s="21" customFormat="1">
      <c r="D2208" s="164"/>
    </row>
    <row r="2209" spans="4:4" s="21" customFormat="1">
      <c r="D2209" s="164"/>
    </row>
    <row r="2210" spans="4:4" s="21" customFormat="1">
      <c r="D2210" s="164"/>
    </row>
    <row r="2211" spans="4:4" s="21" customFormat="1">
      <c r="D2211" s="164"/>
    </row>
    <row r="2212" spans="4:4" s="21" customFormat="1">
      <c r="D2212" s="164"/>
    </row>
    <row r="2213" spans="4:4" s="21" customFormat="1">
      <c r="D2213" s="164"/>
    </row>
    <row r="2214" spans="4:4" s="21" customFormat="1">
      <c r="D2214" s="164"/>
    </row>
    <row r="2215" spans="4:4" s="21" customFormat="1">
      <c r="D2215" s="164"/>
    </row>
    <row r="2216" spans="4:4" s="21" customFormat="1">
      <c r="D2216" s="164"/>
    </row>
    <row r="2217" spans="4:4" s="21" customFormat="1">
      <c r="D2217" s="164"/>
    </row>
    <row r="2218" spans="4:4" s="21" customFormat="1">
      <c r="D2218" s="164"/>
    </row>
    <row r="2219" spans="4:4" s="21" customFormat="1">
      <c r="D2219" s="164"/>
    </row>
    <row r="2220" spans="4:4" s="21" customFormat="1">
      <c r="D2220" s="164"/>
    </row>
    <row r="2221" spans="4:4" s="21" customFormat="1">
      <c r="D2221" s="164"/>
    </row>
    <row r="2222" spans="4:4" s="21" customFormat="1">
      <c r="D2222" s="164"/>
    </row>
    <row r="2223" spans="4:4" s="21" customFormat="1">
      <c r="D2223" s="164"/>
    </row>
    <row r="2224" spans="4:4" s="21" customFormat="1">
      <c r="D2224" s="164"/>
    </row>
    <row r="2225" spans="4:4" s="21" customFormat="1">
      <c r="D2225" s="164"/>
    </row>
    <row r="2226" spans="4:4" s="21" customFormat="1">
      <c r="D2226" s="164"/>
    </row>
    <row r="2227" spans="4:4" s="21" customFormat="1">
      <c r="D2227" s="164"/>
    </row>
    <row r="2228" spans="4:4" s="21" customFormat="1">
      <c r="D2228" s="164"/>
    </row>
    <row r="2229" spans="4:4" s="21" customFormat="1">
      <c r="D2229" s="164"/>
    </row>
    <row r="2230" spans="4:4" s="21" customFormat="1">
      <c r="D2230" s="164"/>
    </row>
    <row r="2231" spans="4:4" s="21" customFormat="1">
      <c r="D2231" s="164"/>
    </row>
    <row r="2232" spans="4:4" s="21" customFormat="1">
      <c r="D2232" s="164"/>
    </row>
    <row r="2233" spans="4:4" s="21" customFormat="1">
      <c r="D2233" s="164"/>
    </row>
    <row r="2234" spans="4:4" s="21" customFormat="1">
      <c r="D2234" s="164"/>
    </row>
    <row r="2235" spans="4:4" s="21" customFormat="1">
      <c r="D2235" s="164"/>
    </row>
    <row r="2236" spans="4:4" s="21" customFormat="1">
      <c r="D2236" s="164"/>
    </row>
    <row r="2237" spans="4:4" s="21" customFormat="1">
      <c r="D2237" s="164"/>
    </row>
    <row r="2238" spans="4:4" s="21" customFormat="1">
      <c r="D2238" s="164"/>
    </row>
    <row r="2239" spans="4:4" s="21" customFormat="1">
      <c r="D2239" s="164"/>
    </row>
    <row r="2240" spans="4:4" s="21" customFormat="1">
      <c r="D2240" s="164"/>
    </row>
    <row r="2241" spans="4:4" s="21" customFormat="1">
      <c r="D2241" s="164"/>
    </row>
    <row r="2242" spans="4:4" s="21" customFormat="1">
      <c r="D2242" s="164"/>
    </row>
    <row r="2243" spans="4:4" s="21" customFormat="1">
      <c r="D2243" s="164"/>
    </row>
    <row r="2244" spans="4:4" s="21" customFormat="1">
      <c r="D2244" s="164"/>
    </row>
    <row r="2245" spans="4:4" s="21" customFormat="1">
      <c r="D2245" s="164"/>
    </row>
    <row r="2246" spans="4:4" s="21" customFormat="1">
      <c r="D2246" s="164"/>
    </row>
    <row r="2247" spans="4:4" s="21" customFormat="1">
      <c r="D2247" s="164"/>
    </row>
    <row r="2248" spans="4:4" s="21" customFormat="1">
      <c r="D2248" s="164"/>
    </row>
    <row r="2249" spans="4:4" s="21" customFormat="1">
      <c r="D2249" s="164"/>
    </row>
    <row r="2250" spans="4:4" s="21" customFormat="1">
      <c r="D2250" s="164"/>
    </row>
    <row r="2251" spans="4:4" s="21" customFormat="1">
      <c r="D2251" s="164"/>
    </row>
    <row r="2252" spans="4:4" s="21" customFormat="1">
      <c r="D2252" s="164"/>
    </row>
    <row r="2253" spans="4:4" s="21" customFormat="1">
      <c r="D2253" s="164"/>
    </row>
    <row r="2254" spans="4:4" s="21" customFormat="1">
      <c r="D2254" s="164"/>
    </row>
    <row r="2255" spans="4:4" s="21" customFormat="1">
      <c r="D2255" s="164"/>
    </row>
    <row r="2256" spans="4:4" s="21" customFormat="1">
      <c r="D2256" s="164"/>
    </row>
    <row r="2257" spans="4:4" s="21" customFormat="1">
      <c r="D2257" s="164"/>
    </row>
    <row r="2258" spans="4:4" s="21" customFormat="1">
      <c r="D2258" s="164"/>
    </row>
    <row r="2259" spans="4:4" s="21" customFormat="1">
      <c r="D2259" s="164"/>
    </row>
    <row r="2260" spans="4:4" s="21" customFormat="1">
      <c r="D2260" s="164"/>
    </row>
    <row r="2261" spans="4:4" s="21" customFormat="1">
      <c r="D2261" s="164"/>
    </row>
    <row r="2262" spans="4:4" s="21" customFormat="1">
      <c r="D2262" s="164"/>
    </row>
    <row r="2263" spans="4:4" s="21" customFormat="1">
      <c r="D2263" s="164"/>
    </row>
    <row r="2264" spans="4:4" s="21" customFormat="1">
      <c r="D2264" s="164"/>
    </row>
    <row r="2265" spans="4:4" s="21" customFormat="1">
      <c r="D2265" s="164"/>
    </row>
    <row r="2266" spans="4:4" s="21" customFormat="1">
      <c r="D2266" s="164"/>
    </row>
    <row r="2267" spans="4:4" s="21" customFormat="1">
      <c r="D2267" s="164"/>
    </row>
    <row r="2268" spans="4:4" s="21" customFormat="1">
      <c r="D2268" s="164"/>
    </row>
    <row r="2269" spans="4:4" s="21" customFormat="1">
      <c r="D2269" s="164"/>
    </row>
  </sheetData>
  <mergeCells count="1">
    <mergeCell ref="I52:K5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51.81640625" style="144" customWidth="1"/>
    <col min="3" max="3" width="30.54296875" style="144" customWidth="1"/>
    <col min="4" max="4" width="18.81640625" style="144" customWidth="1"/>
    <col min="5" max="5" width="6.81640625" style="144" customWidth="1"/>
    <col min="6" max="6" width="18.81640625" style="144" customWidth="1"/>
    <col min="7" max="7" width="6.81640625" style="144" customWidth="1"/>
    <col min="8" max="8" width="18.81640625" style="144" customWidth="1"/>
    <col min="9" max="9" width="6.81640625" style="144" customWidth="1"/>
    <col min="10" max="10" width="18.81640625" style="144" customWidth="1"/>
    <col min="11" max="11" width="1.1796875" style="144" customWidth="1"/>
    <col min="12" max="12" width="3.1796875" style="144" customWidth="1"/>
    <col min="13" max="16" width="9.1796875" style="144"/>
    <col min="17" max="17" width="15.1796875" style="144" bestFit="1" customWidth="1"/>
    <col min="18"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45848</v>
      </c>
      <c r="G2" s="107"/>
      <c r="H2" s="107"/>
      <c r="I2" s="107"/>
      <c r="J2" s="109"/>
      <c r="K2" s="359"/>
    </row>
    <row r="3" spans="1:13" s="102" customFormat="1" ht="18">
      <c r="A3" s="103"/>
      <c r="B3" s="104" t="str">
        <f>'Cover Sheet'!B3</f>
        <v>Monthly Investor Report</v>
      </c>
      <c r="C3" s="104"/>
      <c r="D3" s="112" t="str">
        <f>'Cover Sheet'!D3</f>
        <v>Payment Date</v>
      </c>
      <c r="E3" s="113"/>
      <c r="F3" s="114">
        <f>'Cover Sheet'!F3</f>
        <v>45852</v>
      </c>
      <c r="G3" s="113"/>
      <c r="H3" s="113"/>
      <c r="I3" s="113"/>
      <c r="J3" s="115"/>
      <c r="K3" s="125"/>
    </row>
    <row r="4" spans="1:13" s="102" customFormat="1" ht="13">
      <c r="A4" s="103"/>
      <c r="B4" s="157"/>
      <c r="C4" s="158"/>
      <c r="D4" s="112" t="str">
        <f>'Cover Sheet'!D4</f>
        <v>Period  No</v>
      </c>
      <c r="E4" s="113"/>
      <c r="F4" s="117">
        <f>'Cover Sheet'!F4</f>
        <v>33</v>
      </c>
      <c r="G4" s="113"/>
      <c r="H4" s="118"/>
      <c r="I4" s="113"/>
      <c r="J4" s="119"/>
      <c r="K4" s="359"/>
    </row>
    <row r="5" spans="1:13" s="102" customFormat="1" ht="18">
      <c r="A5" s="103"/>
      <c r="B5" s="160" t="s">
        <v>379</v>
      </c>
      <c r="C5" s="120"/>
      <c r="D5" s="112" t="str">
        <f>'Cover Sheet'!D5</f>
        <v>Monthly Period</v>
      </c>
      <c r="E5" s="113"/>
      <c r="F5" s="121">
        <f>'Cover Sheet'!F5</f>
        <v>45852</v>
      </c>
      <c r="G5" s="113"/>
      <c r="H5" s="118"/>
      <c r="I5" s="113"/>
      <c r="J5" s="119"/>
      <c r="K5" s="125"/>
    </row>
    <row r="6" spans="1:13"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s="102" customFormat="1" ht="13">
      <c r="A7" s="103"/>
      <c r="B7" s="105"/>
      <c r="C7" s="105"/>
      <c r="D7" s="127" t="str">
        <f>'Cover Sheet'!D7</f>
        <v>Collection Period</v>
      </c>
      <c r="E7" s="128" t="str">
        <f>'Cover Sheet'!E7</f>
        <v>from</v>
      </c>
      <c r="F7" s="129" t="str">
        <f>'Cover Sheet'!F7</f>
        <v>01.06.2025</v>
      </c>
      <c r="G7" s="128" t="str">
        <f>'Cover Sheet'!G7</f>
        <v>to</v>
      </c>
      <c r="H7" s="129">
        <f>'Cover Sheet'!H7</f>
        <v>45838</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105"/>
      <c r="F10" s="145"/>
      <c r="G10" s="105"/>
      <c r="H10" s="105"/>
      <c r="I10" s="21"/>
      <c r="J10" s="21"/>
      <c r="K10" s="110"/>
    </row>
    <row r="11" spans="1:13" s="102" customFormat="1" ht="17.5">
      <c r="A11" s="103"/>
      <c r="B11" s="169"/>
      <c r="C11" s="105"/>
      <c r="D11" s="21"/>
      <c r="E11" s="105"/>
      <c r="F11" s="21"/>
      <c r="G11" s="361"/>
      <c r="H11" s="361"/>
      <c r="I11" s="21"/>
      <c r="J11" s="105"/>
      <c r="K11" s="110"/>
      <c r="M11" s="175"/>
    </row>
    <row r="12" spans="1:13" s="102" customFormat="1">
      <c r="A12" s="103"/>
      <c r="B12" s="105"/>
      <c r="C12" s="21"/>
      <c r="D12" s="21"/>
      <c r="E12" s="21"/>
      <c r="F12" s="21"/>
      <c r="G12" s="362"/>
      <c r="H12" s="362"/>
      <c r="I12" s="21"/>
      <c r="J12" s="21"/>
      <c r="K12" s="110"/>
      <c r="M12" s="175"/>
    </row>
    <row r="13" spans="1:13" s="102" customFormat="1" ht="15" customHeight="1">
      <c r="A13" s="103"/>
      <c r="B13" s="105"/>
      <c r="C13" s="363"/>
      <c r="D13" s="363"/>
      <c r="E13" s="363"/>
      <c r="F13" s="363"/>
      <c r="G13" s="364"/>
      <c r="H13" s="364"/>
      <c r="I13" s="364"/>
      <c r="J13" s="21"/>
      <c r="K13" s="110"/>
      <c r="M13" s="175"/>
    </row>
    <row r="14" spans="1:13" s="102" customFormat="1" ht="12.75" customHeight="1">
      <c r="A14" s="103"/>
      <c r="B14" s="1008" t="s">
        <v>263</v>
      </c>
      <c r="C14" s="1008"/>
      <c r="D14" s="1008"/>
      <c r="E14" s="1008"/>
      <c r="F14" s="1008"/>
      <c r="G14" s="1008"/>
      <c r="H14" s="364"/>
      <c r="I14" s="364"/>
      <c r="J14" s="21"/>
      <c r="K14" s="110"/>
      <c r="M14" s="175"/>
    </row>
    <row r="15" spans="1:13" ht="12.75" customHeight="1">
      <c r="A15" s="180"/>
      <c r="B15" s="1008"/>
      <c r="C15" s="1008"/>
      <c r="D15" s="1008"/>
      <c r="E15" s="1008"/>
      <c r="F15" s="1008"/>
      <c r="G15" s="1008"/>
      <c r="H15" s="364"/>
      <c r="I15" s="364"/>
      <c r="J15" s="21"/>
      <c r="K15" s="174"/>
      <c r="M15" s="175"/>
    </row>
    <row r="16" spans="1:13" ht="12.75" customHeight="1">
      <c r="A16" s="180"/>
      <c r="B16" s="1008"/>
      <c r="C16" s="1008"/>
      <c r="D16" s="1008"/>
      <c r="E16" s="1008"/>
      <c r="F16" s="1008"/>
      <c r="G16" s="1008"/>
      <c r="H16" s="364"/>
      <c r="I16" s="364"/>
      <c r="J16" s="21"/>
      <c r="K16" s="174"/>
      <c r="M16" s="175"/>
    </row>
    <row r="17" spans="1:13" ht="24" customHeight="1">
      <c r="A17" s="180"/>
      <c r="B17" s="1008"/>
      <c r="C17" s="1008"/>
      <c r="D17" s="1008"/>
      <c r="E17" s="1008"/>
      <c r="F17" s="1008"/>
      <c r="G17" s="1008"/>
      <c r="H17" s="364"/>
      <c r="I17" s="364"/>
      <c r="J17" s="21"/>
      <c r="K17" s="174"/>
      <c r="M17" s="175"/>
    </row>
    <row r="18" spans="1:13" ht="12.75" customHeight="1">
      <c r="A18" s="180"/>
      <c r="B18" s="21"/>
      <c r="C18" s="13"/>
      <c r="D18" s="105"/>
      <c r="E18" s="365"/>
      <c r="F18" s="219"/>
      <c r="G18" s="366"/>
      <c r="H18" s="219"/>
      <c r="I18" s="219"/>
      <c r="J18" s="21"/>
      <c r="K18" s="174"/>
      <c r="M18" s="175"/>
    </row>
    <row r="19" spans="1:13">
      <c r="A19" s="180"/>
      <c r="B19" s="88" t="s">
        <v>324</v>
      </c>
      <c r="C19" s="89"/>
      <c r="D19" s="964">
        <f>VLOOKUP("Retention_amt",Assets,3,0)</f>
        <v>24937726.749999996</v>
      </c>
      <c r="E19" s="229"/>
      <c r="F19" s="21"/>
      <c r="G19" s="21"/>
      <c r="H19" s="229"/>
      <c r="I19" s="21"/>
      <c r="J19" s="21"/>
      <c r="K19" s="174"/>
      <c r="M19" s="175"/>
    </row>
    <row r="20" spans="1:13">
      <c r="A20" s="180"/>
      <c r="B20" s="45"/>
      <c r="C20" s="13"/>
      <c r="D20" s="21"/>
      <c r="E20" s="21"/>
      <c r="F20" s="21"/>
      <c r="G20" s="21"/>
      <c r="H20" s="367"/>
      <c r="I20" s="21"/>
      <c r="J20" s="21"/>
      <c r="K20" s="174"/>
      <c r="M20" s="175"/>
    </row>
    <row r="21" spans="1:13">
      <c r="A21" s="180"/>
      <c r="B21" s="14"/>
      <c r="C21" s="13"/>
      <c r="D21" s="21"/>
      <c r="E21" s="21"/>
      <c r="F21" s="21"/>
      <c r="G21" s="21"/>
      <c r="H21" s="21"/>
      <c r="I21" s="21"/>
      <c r="J21" s="21"/>
      <c r="K21" s="174"/>
      <c r="M21" s="175"/>
    </row>
    <row r="22" spans="1:13">
      <c r="A22" s="180"/>
      <c r="B22" s="14"/>
      <c r="C22" s="13"/>
      <c r="D22" s="21"/>
      <c r="E22" s="21"/>
      <c r="F22" s="21"/>
      <c r="G22" s="21"/>
      <c r="H22" s="21"/>
      <c r="I22" s="21"/>
      <c r="J22" s="21"/>
      <c r="K22" s="174"/>
      <c r="M22" s="175"/>
    </row>
    <row r="23" spans="1:13">
      <c r="A23" s="180"/>
      <c r="B23" s="14"/>
      <c r="C23" s="13"/>
      <c r="D23" s="21"/>
      <c r="E23" s="21"/>
      <c r="F23" s="21"/>
      <c r="G23" s="21"/>
      <c r="H23" s="21"/>
      <c r="I23" s="21"/>
      <c r="J23" s="21"/>
      <c r="K23" s="174"/>
      <c r="M23" s="175"/>
    </row>
    <row r="24" spans="1:13">
      <c r="A24" s="195"/>
      <c r="B24" s="29"/>
      <c r="C24" s="11"/>
      <c r="D24" s="50"/>
      <c r="E24" s="50"/>
      <c r="F24" s="368"/>
      <c r="G24" s="50"/>
      <c r="H24" s="50"/>
      <c r="I24" s="50"/>
      <c r="J24" s="50"/>
      <c r="K24" s="196"/>
      <c r="M24" s="175"/>
    </row>
    <row r="25" spans="1:13">
      <c r="A25" s="21"/>
      <c r="B25" s="14"/>
      <c r="C25" s="13"/>
      <c r="D25" s="21"/>
      <c r="E25" s="21"/>
      <c r="F25" s="21"/>
      <c r="G25" s="21"/>
      <c r="H25" s="21"/>
      <c r="I25" s="21"/>
      <c r="J25" s="21"/>
      <c r="K25" s="21"/>
      <c r="M25" s="175"/>
    </row>
    <row r="26" spans="1:13">
      <c r="A26" s="21"/>
      <c r="B26" s="14"/>
      <c r="C26" s="13"/>
      <c r="D26" s="21"/>
      <c r="E26" s="21"/>
      <c r="F26" s="21"/>
      <c r="G26" s="21"/>
      <c r="H26" s="21"/>
      <c r="I26" s="21"/>
      <c r="J26" s="21"/>
      <c r="K26" s="21"/>
      <c r="M26" s="175"/>
    </row>
    <row r="27" spans="1:13">
      <c r="A27" s="21"/>
      <c r="B27" s="14"/>
      <c r="C27" s="13"/>
      <c r="D27" s="21"/>
      <c r="E27" s="21"/>
      <c r="F27" s="21"/>
      <c r="G27" s="21"/>
      <c r="H27" s="21"/>
      <c r="I27" s="21"/>
      <c r="J27" s="21"/>
      <c r="K27" s="21"/>
      <c r="M27" s="175"/>
    </row>
    <row r="28" spans="1:13">
      <c r="A28" s="21"/>
      <c r="B28" s="14"/>
      <c r="C28" s="13"/>
      <c r="D28" s="21"/>
      <c r="E28" s="21"/>
      <c r="F28" s="210"/>
      <c r="G28" s="369"/>
      <c r="H28" s="46"/>
      <c r="I28" s="173"/>
      <c r="J28" s="173"/>
      <c r="K28" s="21"/>
    </row>
    <row r="29" spans="1:13">
      <c r="A29" s="21"/>
      <c r="B29" s="14"/>
      <c r="C29" s="13"/>
      <c r="D29" s="197"/>
      <c r="E29" s="13"/>
      <c r="F29" s="198"/>
      <c r="G29" s="199"/>
      <c r="H29" s="198"/>
      <c r="I29" s="173"/>
      <c r="J29" s="21"/>
      <c r="K29" s="21"/>
    </row>
    <row r="30" spans="1:13">
      <c r="A30" s="21"/>
      <c r="B30" s="14"/>
      <c r="C30" s="13"/>
      <c r="D30" s="197"/>
      <c r="E30" s="13"/>
      <c r="F30" s="198"/>
      <c r="G30" s="199"/>
      <c r="H30" s="198"/>
      <c r="I30" s="173"/>
      <c r="J30" s="21"/>
      <c r="K30" s="21"/>
    </row>
    <row r="31" spans="1:13">
      <c r="A31" s="21"/>
      <c r="B31" s="14"/>
      <c r="C31" s="13"/>
      <c r="D31" s="197"/>
      <c r="E31" s="13"/>
      <c r="F31" s="198"/>
      <c r="G31" s="199"/>
      <c r="H31" s="198"/>
      <c r="I31" s="173"/>
      <c r="J31" s="21"/>
      <c r="K31" s="21"/>
      <c r="L31" s="21"/>
    </row>
    <row r="32" spans="1:13" s="21" customFormat="1">
      <c r="B32" s="14"/>
      <c r="C32" s="13"/>
      <c r="D32" s="197"/>
      <c r="E32" s="13"/>
      <c r="F32" s="370"/>
      <c r="G32" s="199"/>
      <c r="H32" s="198"/>
      <c r="I32" s="173"/>
    </row>
    <row r="33" spans="2:9" s="21" customFormat="1">
      <c r="B33" s="14"/>
      <c r="C33" s="13"/>
      <c r="D33" s="197"/>
      <c r="E33" s="13"/>
      <c r="F33" s="198"/>
      <c r="G33" s="199"/>
      <c r="H33" s="198"/>
      <c r="I33" s="173"/>
    </row>
    <row r="34" spans="2:9" s="105" customFormat="1" ht="15" customHeight="1">
      <c r="B34" s="14"/>
      <c r="C34" s="13"/>
      <c r="D34" s="197"/>
      <c r="E34" s="13"/>
      <c r="F34" s="198"/>
      <c r="G34" s="199"/>
      <c r="H34" s="198"/>
      <c r="I34" s="145"/>
    </row>
    <row r="35" spans="2:9" s="105" customFormat="1">
      <c r="B35" s="14"/>
      <c r="C35" s="13"/>
      <c r="D35" s="197"/>
      <c r="E35" s="13"/>
      <c r="F35" s="198"/>
      <c r="G35" s="199"/>
      <c r="H35" s="198"/>
      <c r="I35" s="145"/>
    </row>
    <row r="36" spans="2:9" s="21" customFormat="1">
      <c r="B36" s="14"/>
      <c r="C36" s="13"/>
      <c r="D36" s="197"/>
      <c r="E36" s="13"/>
      <c r="F36" s="198"/>
      <c r="G36" s="199"/>
      <c r="H36" s="198"/>
      <c r="I36" s="173"/>
    </row>
    <row r="37" spans="2:9" s="21" customFormat="1">
      <c r="B37" s="14"/>
      <c r="C37" s="13"/>
      <c r="D37" s="197"/>
      <c r="E37" s="13"/>
      <c r="F37" s="198"/>
      <c r="G37" s="199"/>
      <c r="H37" s="198"/>
      <c r="I37" s="173"/>
    </row>
    <row r="38" spans="2:9" s="21" customFormat="1">
      <c r="B38" s="14"/>
      <c r="C38" s="13"/>
      <c r="D38" s="197"/>
      <c r="E38" s="13"/>
      <c r="F38" s="198"/>
      <c r="G38" s="199"/>
      <c r="H38" s="198"/>
      <c r="I38" s="173"/>
    </row>
    <row r="39" spans="2:9" s="21" customFormat="1">
      <c r="B39" s="14"/>
      <c r="C39" s="13"/>
      <c r="D39" s="197"/>
      <c r="E39" s="13"/>
      <c r="F39" s="198"/>
      <c r="G39" s="199"/>
      <c r="H39" s="198"/>
      <c r="I39" s="173"/>
    </row>
    <row r="40" spans="2:9" s="21" customFormat="1">
      <c r="B40" s="14"/>
      <c r="C40" s="13"/>
      <c r="D40" s="197"/>
      <c r="E40" s="13"/>
      <c r="F40" s="198"/>
      <c r="G40" s="199"/>
      <c r="H40" s="198"/>
      <c r="I40" s="173"/>
    </row>
    <row r="41" spans="2:9" s="21" customFormat="1">
      <c r="B41" s="14"/>
      <c r="C41" s="13"/>
      <c r="D41" s="197"/>
      <c r="E41" s="13"/>
      <c r="F41" s="198"/>
      <c r="G41" s="199"/>
      <c r="H41" s="198"/>
      <c r="I41" s="173"/>
    </row>
    <row r="42" spans="2:9" s="21" customFormat="1">
      <c r="B42" s="14"/>
      <c r="C42" s="13"/>
      <c r="D42" s="197"/>
      <c r="E42" s="13"/>
      <c r="F42" s="198"/>
      <c r="G42" s="199"/>
      <c r="H42" s="198"/>
      <c r="I42" s="173"/>
    </row>
    <row r="43" spans="2:9" s="21" customFormat="1">
      <c r="B43" s="14"/>
      <c r="C43" s="13"/>
      <c r="D43" s="197"/>
      <c r="E43" s="13"/>
      <c r="F43" s="198"/>
      <c r="G43" s="199"/>
      <c r="H43" s="198"/>
      <c r="I43" s="173"/>
    </row>
    <row r="44" spans="2:9" s="21" customFormat="1" ht="18">
      <c r="B44" s="14"/>
      <c r="C44" s="13"/>
      <c r="D44" s="104"/>
      <c r="E44" s="13"/>
      <c r="F44" s="198"/>
      <c r="G44" s="199"/>
      <c r="H44" s="198"/>
      <c r="I44" s="173"/>
    </row>
    <row r="45" spans="2:9" s="21" customFormat="1">
      <c r="B45" s="14"/>
      <c r="C45" s="13"/>
      <c r="D45" s="197"/>
      <c r="E45" s="13"/>
      <c r="F45" s="198"/>
      <c r="G45" s="199"/>
      <c r="H45" s="198"/>
      <c r="I45" s="173"/>
    </row>
    <row r="46" spans="2:9" s="21" customFormat="1">
      <c r="B46" s="14"/>
      <c r="C46" s="13"/>
      <c r="D46" s="197"/>
      <c r="E46" s="13"/>
      <c r="F46" s="198"/>
      <c r="G46" s="199"/>
      <c r="H46" s="198"/>
      <c r="I46" s="173"/>
    </row>
    <row r="47" spans="2:9" s="21" customFormat="1">
      <c r="B47" s="14"/>
      <c r="C47" s="13"/>
      <c r="D47" s="197"/>
      <c r="E47" s="13"/>
      <c r="F47" s="198"/>
      <c r="G47" s="199"/>
      <c r="H47" s="198"/>
      <c r="I47" s="173"/>
    </row>
    <row r="48" spans="2:9"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c r="B55" s="14"/>
      <c r="C55" s="13"/>
      <c r="D55" s="197"/>
      <c r="E55" s="13"/>
      <c r="F55" s="198"/>
      <c r="G55" s="199"/>
      <c r="H55" s="198"/>
      <c r="I55" s="173"/>
    </row>
    <row r="56" spans="2:9" s="21" customFormat="1">
      <c r="B56" s="14"/>
      <c r="C56" s="13"/>
      <c r="D56" s="197"/>
      <c r="E56" s="13"/>
      <c r="F56" s="198"/>
      <c r="G56" s="199"/>
      <c r="H56" s="198"/>
      <c r="I56" s="173"/>
    </row>
    <row r="57" spans="2:9" s="21" customFormat="1">
      <c r="B57" s="14"/>
      <c r="C57" s="13"/>
      <c r="D57" s="197"/>
      <c r="E57" s="13"/>
      <c r="F57" s="198"/>
      <c r="G57" s="199"/>
      <c r="H57" s="198"/>
      <c r="I57" s="173"/>
    </row>
    <row r="58" spans="2:9" s="21" customFormat="1">
      <c r="B58" s="14"/>
      <c r="C58" s="13"/>
      <c r="D58" s="197"/>
      <c r="E58" s="13"/>
      <c r="F58" s="198"/>
      <c r="G58" s="199"/>
      <c r="H58" s="198"/>
      <c r="I58" s="173"/>
    </row>
    <row r="59" spans="2:9" s="21" customFormat="1">
      <c r="B59" s="14"/>
      <c r="C59" s="13"/>
      <c r="D59" s="197"/>
      <c r="E59" s="13"/>
      <c r="F59" s="198"/>
      <c r="G59" s="199"/>
      <c r="H59" s="198"/>
      <c r="I59" s="173"/>
    </row>
    <row r="60" spans="2:9" s="21" customFormat="1">
      <c r="B60" s="14"/>
      <c r="C60" s="13"/>
      <c r="D60" s="197"/>
      <c r="E60" s="13"/>
      <c r="F60" s="198"/>
      <c r="G60" s="199"/>
      <c r="H60" s="198"/>
      <c r="I60" s="173"/>
    </row>
    <row r="61" spans="2:9" s="21" customFormat="1">
      <c r="B61" s="14"/>
      <c r="C61" s="13"/>
      <c r="D61" s="197"/>
      <c r="E61" s="13"/>
      <c r="F61" s="198"/>
      <c r="G61" s="199"/>
      <c r="H61" s="198"/>
      <c r="I61" s="173"/>
    </row>
    <row r="62" spans="2:9" s="21" customFormat="1">
      <c r="B62" s="14"/>
      <c r="C62" s="13"/>
      <c r="D62" s="197"/>
      <c r="E62" s="13"/>
      <c r="F62" s="198"/>
      <c r="G62" s="199"/>
      <c r="H62" s="198"/>
      <c r="I62" s="173"/>
    </row>
    <row r="63" spans="2:9" s="21" customFormat="1">
      <c r="B63" s="14"/>
      <c r="C63" s="13"/>
      <c r="D63" s="197"/>
      <c r="E63" s="13"/>
      <c r="F63" s="198"/>
      <c r="G63" s="199"/>
      <c r="H63" s="198"/>
      <c r="I63" s="173"/>
    </row>
    <row r="64" spans="2:9" s="21" customFormat="1">
      <c r="B64" s="14"/>
      <c r="C64" s="13"/>
      <c r="D64" s="200"/>
      <c r="E64" s="201"/>
      <c r="F64" s="232"/>
      <c r="G64" s="203"/>
      <c r="H64" s="232"/>
      <c r="I64" s="173"/>
    </row>
    <row r="65" spans="2:9" s="21" customFormat="1">
      <c r="B65" s="14"/>
      <c r="C65" s="13"/>
      <c r="D65" s="200"/>
      <c r="E65" s="200"/>
      <c r="F65" s="200"/>
      <c r="G65" s="200"/>
      <c r="H65" s="200"/>
      <c r="I65" s="173"/>
    </row>
    <row r="66" spans="2:9" s="21" customFormat="1">
      <c r="B66" s="14"/>
      <c r="C66" s="13"/>
      <c r="D66" s="200"/>
      <c r="E66" s="200"/>
      <c r="F66" s="200"/>
      <c r="G66" s="200"/>
      <c r="H66" s="200"/>
      <c r="I66" s="173"/>
    </row>
    <row r="67" spans="2:9" s="21" customFormat="1">
      <c r="B67" s="14"/>
      <c r="C67" s="13"/>
      <c r="D67" s="204"/>
      <c r="E67" s="233"/>
      <c r="F67" s="200"/>
      <c r="G67" s="200"/>
      <c r="H67" s="200"/>
      <c r="I67" s="173"/>
    </row>
    <row r="68" spans="2:9" s="21" customFormat="1">
      <c r="B68" s="14"/>
      <c r="C68" s="13"/>
      <c r="D68" s="201"/>
      <c r="E68" s="233"/>
      <c r="F68" s="200"/>
      <c r="G68" s="200"/>
      <c r="H68" s="200"/>
      <c r="I68" s="173"/>
    </row>
    <row r="69" spans="2:9" s="21" customFormat="1">
      <c r="B69" s="14"/>
      <c r="C69" s="13"/>
      <c r="D69" s="200"/>
      <c r="E69" s="233"/>
      <c r="F69" s="200"/>
      <c r="G69" s="200"/>
      <c r="H69" s="200"/>
      <c r="I69" s="173"/>
    </row>
    <row r="70" spans="2:9" s="21" customFormat="1" ht="14">
      <c r="B70" s="200"/>
      <c r="C70" s="201"/>
      <c r="D70" s="206"/>
      <c r="E70" s="206"/>
      <c r="F70" s="206"/>
      <c r="G70" s="206"/>
      <c r="H70" s="206"/>
      <c r="I70" s="173"/>
    </row>
    <row r="71" spans="2:9" s="21" customFormat="1" ht="14">
      <c r="B71" s="105"/>
      <c r="C71" s="105"/>
      <c r="D71" s="206"/>
      <c r="E71" s="206"/>
      <c r="F71" s="206"/>
      <c r="G71" s="206"/>
      <c r="H71" s="206"/>
      <c r="I71" s="173"/>
    </row>
    <row r="72" spans="2:9" s="21" customFormat="1" ht="14">
      <c r="B72" s="105"/>
      <c r="C72" s="105"/>
      <c r="D72" s="207"/>
      <c r="E72" s="234"/>
      <c r="F72" s="206"/>
      <c r="G72" s="206"/>
      <c r="H72" s="206"/>
      <c r="I72" s="173"/>
    </row>
    <row r="73" spans="2:9" s="21" customFormat="1" ht="14">
      <c r="B73" s="204"/>
      <c r="C73" s="233"/>
      <c r="D73" s="209"/>
      <c r="E73" s="234"/>
      <c r="F73" s="206"/>
      <c r="G73" s="206"/>
      <c r="H73" s="206"/>
      <c r="I73" s="173"/>
    </row>
    <row r="74" spans="2:9" s="21" customFormat="1" ht="14">
      <c r="B74" s="210"/>
      <c r="C74" s="233"/>
      <c r="D74" s="206"/>
      <c r="E74" s="234"/>
      <c r="F74" s="206"/>
      <c r="G74" s="206"/>
      <c r="H74" s="206"/>
      <c r="I74" s="173"/>
    </row>
    <row r="75" spans="2:9" s="21" customFormat="1">
      <c r="C75" s="233"/>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9"/>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51.54296875" style="238" customWidth="1"/>
    <col min="3" max="3" width="47.1796875" style="238" bestFit="1" customWidth="1"/>
    <col min="4" max="4" width="10.81640625" style="238" customWidth="1"/>
    <col min="5" max="5" width="12.1796875" style="238" customWidth="1"/>
    <col min="6" max="6" width="10.1796875" style="238" customWidth="1"/>
    <col min="7" max="10" width="10.81640625" style="238" customWidth="1"/>
    <col min="11" max="11" width="12.1796875" style="238" customWidth="1"/>
    <col min="12" max="12" width="10.81640625" style="238" customWidth="1"/>
    <col min="13" max="13" width="1.1796875" style="238" customWidth="1"/>
    <col min="14" max="16384" width="9.1796875" style="238"/>
  </cols>
  <sheetData>
    <row r="1" spans="1:13" ht="6" customHeight="1">
      <c r="A1" s="235"/>
      <c r="B1" s="236"/>
      <c r="C1" s="236"/>
      <c r="D1" s="236"/>
      <c r="E1" s="236"/>
      <c r="F1" s="236"/>
      <c r="G1" s="236"/>
      <c r="H1" s="236"/>
      <c r="I1" s="236"/>
      <c r="J1" s="236"/>
      <c r="K1" s="236"/>
      <c r="L1" s="236"/>
      <c r="M1" s="237"/>
    </row>
    <row r="2" spans="1:13" s="247" customFormat="1" ht="18">
      <c r="A2" s="239"/>
      <c r="B2" s="240" t="str">
        <f>'Cover Sheet'!B2</f>
        <v>SC Germany Consumer 2022-1</v>
      </c>
      <c r="C2" s="240"/>
      <c r="D2" s="1012" t="str">
        <f>'Cover Sheet'!D2</f>
        <v>Calculation Date</v>
      </c>
      <c r="E2" s="1013"/>
      <c r="F2" s="242"/>
      <c r="G2" s="108">
        <f>'Cover Sheet'!F2</f>
        <v>45848</v>
      </c>
      <c r="H2" s="353"/>
      <c r="I2" s="242"/>
      <c r="J2" s="242"/>
      <c r="K2" s="244"/>
      <c r="M2" s="246"/>
    </row>
    <row r="3" spans="1:13" s="247" customFormat="1" ht="18">
      <c r="A3" s="239"/>
      <c r="B3" s="240" t="str">
        <f>'Cover Sheet'!B3</f>
        <v>Monthly Investor Report</v>
      </c>
      <c r="C3" s="240"/>
      <c r="D3" s="1014" t="str">
        <f>'Cover Sheet'!D3</f>
        <v>Payment Date</v>
      </c>
      <c r="E3" s="1015"/>
      <c r="F3" s="250"/>
      <c r="G3" s="114">
        <f>'Cover Sheet'!F3</f>
        <v>45852</v>
      </c>
      <c r="H3" s="354"/>
      <c r="I3" s="249"/>
      <c r="J3" s="249"/>
      <c r="K3" s="251"/>
      <c r="M3" s="246"/>
    </row>
    <row r="4" spans="1:13" s="247" customFormat="1">
      <c r="A4" s="239"/>
      <c r="B4" s="253"/>
      <c r="C4" s="328"/>
      <c r="D4" s="1014" t="str">
        <f>'Cover Sheet'!D4</f>
        <v>Period  No</v>
      </c>
      <c r="E4" s="1015"/>
      <c r="F4" s="254"/>
      <c r="G4" s="117">
        <f>'Cover Sheet'!F4</f>
        <v>33</v>
      </c>
      <c r="H4" s="355"/>
      <c r="I4" s="255"/>
      <c r="J4" s="249"/>
      <c r="K4" s="256"/>
      <c r="M4" s="246"/>
    </row>
    <row r="5" spans="1:13" s="247" customFormat="1" ht="18">
      <c r="A5" s="239"/>
      <c r="B5" s="257" t="s">
        <v>378</v>
      </c>
      <c r="C5" s="329"/>
      <c r="D5" s="1014" t="str">
        <f>'Cover Sheet'!D5</f>
        <v>Monthly Period</v>
      </c>
      <c r="E5" s="1015"/>
      <c r="F5" s="356"/>
      <c r="G5" s="121">
        <f>'Cover Sheet'!F5</f>
        <v>45852</v>
      </c>
      <c r="H5" s="249"/>
      <c r="I5" s="255"/>
      <c r="J5" s="249"/>
      <c r="K5" s="256"/>
      <c r="M5" s="246"/>
    </row>
    <row r="6" spans="1:13" s="247" customFormat="1" ht="15" customHeight="1">
      <c r="A6" s="239"/>
      <c r="B6" s="258"/>
      <c r="C6" s="330"/>
      <c r="D6" s="1016" t="str">
        <f>'Cover Sheet'!D6</f>
        <v>Interest Period</v>
      </c>
      <c r="E6" s="1015"/>
      <c r="F6" s="250" t="s">
        <v>34</v>
      </c>
      <c r="G6" s="114">
        <f>'Cover Sheet'!F6</f>
        <v>45824</v>
      </c>
      <c r="H6" s="250" t="s">
        <v>4</v>
      </c>
      <c r="I6" s="250">
        <f>'Cover Sheet'!H6</f>
        <v>45852</v>
      </c>
      <c r="J6" s="250" t="s">
        <v>15</v>
      </c>
      <c r="K6" s="261" t="str">
        <f>'Cover Sheet'!J6</f>
        <v>28 days</v>
      </c>
      <c r="M6" s="262"/>
    </row>
    <row r="7" spans="1:13" s="247" customFormat="1" ht="13">
      <c r="A7" s="239"/>
      <c r="B7" s="33"/>
      <c r="C7" s="33"/>
      <c r="D7" s="1017" t="str">
        <f>'Cover Sheet'!D7</f>
        <v>Collection Period</v>
      </c>
      <c r="E7" s="1018"/>
      <c r="F7" s="264" t="s">
        <v>34</v>
      </c>
      <c r="G7" s="129" t="str">
        <f>'Cover Sheet'!F7</f>
        <v>01.06.2025</v>
      </c>
      <c r="H7" s="264" t="s">
        <v>4</v>
      </c>
      <c r="I7" s="264">
        <f>'Cover Sheet'!H7</f>
        <v>45838</v>
      </c>
      <c r="J7" s="357"/>
      <c r="K7" s="266"/>
      <c r="M7" s="246"/>
    </row>
    <row r="8" spans="1:13" s="247" customFormat="1" ht="13">
      <c r="A8" s="239"/>
      <c r="B8" s="33"/>
      <c r="C8" s="33"/>
      <c r="D8" s="25"/>
      <c r="E8" s="245"/>
      <c r="F8" s="267"/>
      <c r="G8" s="245"/>
      <c r="H8" s="33"/>
      <c r="I8" s="268"/>
      <c r="J8" s="33"/>
      <c r="K8" s="252"/>
      <c r="L8" s="33"/>
      <c r="M8" s="246"/>
    </row>
    <row r="9" spans="1:13" s="247" customFormat="1" ht="13">
      <c r="A9" s="239"/>
      <c r="B9" s="33"/>
      <c r="C9" s="33"/>
      <c r="D9" s="25"/>
      <c r="E9" s="33"/>
      <c r="F9" s="33"/>
      <c r="G9" s="33"/>
      <c r="H9" s="33"/>
      <c r="I9" s="33"/>
      <c r="J9" s="33"/>
      <c r="K9" s="33"/>
      <c r="L9" s="33"/>
      <c r="M9" s="269"/>
    </row>
    <row r="10" spans="1:13" s="247" customFormat="1">
      <c r="A10" s="239"/>
      <c r="B10" s="33"/>
      <c r="C10" s="33"/>
      <c r="D10" s="25"/>
      <c r="E10" s="33"/>
      <c r="F10" s="270"/>
      <c r="G10" s="33"/>
      <c r="H10" s="33"/>
      <c r="I10" s="25"/>
      <c r="J10" s="25"/>
      <c r="K10" s="33"/>
      <c r="L10" s="33"/>
      <c r="M10" s="246"/>
    </row>
    <row r="11" spans="1:13" s="247" customFormat="1" ht="12.75" customHeight="1">
      <c r="A11" s="239"/>
      <c r="B11" s="271"/>
      <c r="C11" s="33"/>
      <c r="D11" s="32" t="s">
        <v>418</v>
      </c>
      <c r="E11" s="32" t="s">
        <v>419</v>
      </c>
      <c r="F11" s="32" t="s">
        <v>421</v>
      </c>
      <c r="G11" s="32" t="s">
        <v>267</v>
      </c>
      <c r="H11" s="32" t="s">
        <v>420</v>
      </c>
      <c r="I11" s="32" t="s">
        <v>243</v>
      </c>
      <c r="J11" s="28"/>
      <c r="K11" s="28"/>
      <c r="L11" s="28"/>
      <c r="M11" s="273"/>
    </row>
    <row r="12" spans="1:13" s="247" customFormat="1" ht="15" customHeight="1">
      <c r="A12" s="239"/>
      <c r="B12" s="33"/>
      <c r="C12" s="25"/>
      <c r="D12" s="1009" t="s">
        <v>241</v>
      </c>
      <c r="E12" s="1010"/>
      <c r="F12" s="1011"/>
      <c r="G12" s="1009" t="s">
        <v>242</v>
      </c>
      <c r="H12" s="1010"/>
      <c r="I12" s="1011"/>
      <c r="J12" s="239"/>
      <c r="K12" s="33"/>
      <c r="L12" s="270"/>
      <c r="M12" s="246"/>
    </row>
    <row r="13" spans="1:13" s="247" customFormat="1" ht="33" customHeight="1">
      <c r="A13" s="239"/>
      <c r="B13" s="33"/>
      <c r="C13" s="24"/>
      <c r="D13" s="3" t="s">
        <v>106</v>
      </c>
      <c r="E13" s="3" t="s">
        <v>107</v>
      </c>
      <c r="F13" s="3" t="s">
        <v>108</v>
      </c>
      <c r="G13" s="3" t="s">
        <v>106</v>
      </c>
      <c r="H13" s="3" t="s">
        <v>107</v>
      </c>
      <c r="I13" s="3" t="s">
        <v>108</v>
      </c>
      <c r="J13" s="33"/>
      <c r="K13" s="4" t="s">
        <v>185</v>
      </c>
      <c r="L13" s="270"/>
      <c r="M13" s="246"/>
    </row>
    <row r="14" spans="1:13" ht="12.75" customHeight="1">
      <c r="A14" s="285"/>
      <c r="B14" s="25"/>
      <c r="C14" s="25"/>
      <c r="D14" s="34" t="s">
        <v>418</v>
      </c>
      <c r="E14" s="34" t="s">
        <v>419</v>
      </c>
      <c r="F14" s="35" t="s">
        <v>421</v>
      </c>
      <c r="G14" s="34" t="s">
        <v>267</v>
      </c>
      <c r="H14" s="34" t="s">
        <v>420</v>
      </c>
      <c r="I14" s="34" t="s">
        <v>243</v>
      </c>
      <c r="J14" s="25"/>
      <c r="K14" s="5"/>
      <c r="L14" s="270"/>
      <c r="M14" s="314"/>
    </row>
    <row r="15" spans="1:13" ht="12.75" customHeight="1">
      <c r="A15" s="285"/>
      <c r="B15" s="36" t="s">
        <v>441</v>
      </c>
      <c r="C15" s="67" t="s">
        <v>103</v>
      </c>
      <c r="D15" s="5" t="str">
        <f>VLOOKUP(C15,ratings,8,FALSE)</f>
        <v>A</v>
      </c>
      <c r="E15" s="5" t="str">
        <f>VLOOKUP(C15,ratings,10,FALSE)</f>
        <v>F1</v>
      </c>
      <c r="F15" s="6" t="str">
        <f>VLOOKUP(C15,ratings,11,FALSE)</f>
        <v>STABLE</v>
      </c>
      <c r="G15" s="5" t="str">
        <f>VLOOKUP(C15,ratings,3,FALSE)</f>
        <v>A2</v>
      </c>
      <c r="H15" s="6" t="str">
        <f>VLOOKUP(C15,ratings,5,FALSE)</f>
        <v>P-1</v>
      </c>
      <c r="I15" s="5" t="str">
        <f>VLOOKUP(C15,ratings,6,FALSE)</f>
        <v>POS</v>
      </c>
      <c r="J15" s="25"/>
      <c r="K15" s="5" t="s">
        <v>200</v>
      </c>
      <c r="L15" s="270"/>
      <c r="M15" s="314"/>
    </row>
    <row r="16" spans="1:13" ht="12.75" customHeight="1">
      <c r="A16" s="285"/>
      <c r="B16" s="7"/>
      <c r="C16" s="68" t="s">
        <v>459</v>
      </c>
      <c r="D16" s="38"/>
      <c r="E16" s="38"/>
      <c r="F16" s="25"/>
      <c r="G16" s="38"/>
      <c r="H16" s="25"/>
      <c r="I16" s="38"/>
      <c r="J16" s="25"/>
      <c r="K16" s="5"/>
      <c r="L16" s="270"/>
      <c r="M16" s="314"/>
    </row>
    <row r="17" spans="1:13" ht="12.75" customHeight="1">
      <c r="A17" s="285"/>
      <c r="B17" s="8"/>
      <c r="C17" s="68" t="s">
        <v>460</v>
      </c>
      <c r="D17" s="5"/>
      <c r="E17" s="5"/>
      <c r="F17" s="6"/>
      <c r="G17" s="5"/>
      <c r="H17" s="6"/>
      <c r="I17" s="5"/>
      <c r="J17" s="25"/>
      <c r="K17" s="5"/>
      <c r="L17" s="270"/>
      <c r="M17" s="314"/>
    </row>
    <row r="18" spans="1:13" ht="12.75" customHeight="1">
      <c r="A18" s="285"/>
      <c r="B18" s="8"/>
      <c r="C18" s="68" t="s">
        <v>261</v>
      </c>
      <c r="D18" s="38"/>
      <c r="E18" s="38"/>
      <c r="F18" s="25"/>
      <c r="G18" s="38"/>
      <c r="H18" s="25"/>
      <c r="I18" s="38"/>
      <c r="J18" s="25"/>
      <c r="K18" s="5"/>
      <c r="L18" s="270"/>
      <c r="M18" s="314"/>
    </row>
    <row r="19" spans="1:13" ht="12.75" customHeight="1">
      <c r="A19" s="285"/>
      <c r="B19" s="8"/>
      <c r="C19" s="68"/>
      <c r="D19" s="38"/>
      <c r="E19" s="38"/>
      <c r="F19" s="25"/>
      <c r="G19" s="38"/>
      <c r="H19" s="25"/>
      <c r="I19" s="38"/>
      <c r="J19" s="25"/>
      <c r="K19" s="5"/>
      <c r="L19" s="270"/>
      <c r="M19" s="314"/>
    </row>
    <row r="20" spans="1:13" ht="12.75" customHeight="1">
      <c r="A20" s="285"/>
      <c r="B20" s="8"/>
      <c r="C20" s="67" t="s">
        <v>256</v>
      </c>
      <c r="D20" s="5" t="str">
        <f>VLOOKUP(C20,ratings,8,FALSE)</f>
        <v>A-</v>
      </c>
      <c r="E20" s="5" t="str">
        <f>VLOOKUP(C20,ratings,10,FALSE)</f>
        <v>F1</v>
      </c>
      <c r="F20" s="6" t="str">
        <f>VLOOKUP(C20,ratings,11,FALSE)</f>
        <v>STABLE</v>
      </c>
      <c r="G20" s="5" t="str">
        <f>VLOOKUP(C20,ratings,3,FALSE)</f>
        <v>A1</v>
      </c>
      <c r="H20" s="6" t="str">
        <f>VLOOKUP(C20,ratings,5,FALSE)</f>
        <v>P-1</v>
      </c>
      <c r="I20" s="5" t="str">
        <f>VLOOKUP(C20,ratings,6,FALSE)</f>
        <v>NEG</v>
      </c>
      <c r="J20" s="25"/>
      <c r="K20" s="5" t="s">
        <v>200</v>
      </c>
      <c r="L20" s="270"/>
      <c r="M20" s="314"/>
    </row>
    <row r="21" spans="1:13" ht="12.75" customHeight="1">
      <c r="A21" s="285"/>
      <c r="B21" s="8"/>
      <c r="C21" s="68" t="s">
        <v>456</v>
      </c>
      <c r="D21" s="38"/>
      <c r="E21" s="38"/>
      <c r="F21" s="25"/>
      <c r="G21" s="38"/>
      <c r="H21" s="25"/>
      <c r="I21" s="38"/>
      <c r="J21" s="25"/>
      <c r="K21" s="5"/>
      <c r="L21" s="270"/>
      <c r="M21" s="314"/>
    </row>
    <row r="22" spans="1:13" ht="12.75" customHeight="1">
      <c r="A22" s="285"/>
      <c r="B22" s="8"/>
      <c r="C22" s="68" t="s">
        <v>457</v>
      </c>
      <c r="D22" s="38"/>
      <c r="E22" s="38"/>
      <c r="F22" s="25"/>
      <c r="G22" s="38"/>
      <c r="H22" s="25"/>
      <c r="I22" s="38"/>
      <c r="J22" s="25"/>
      <c r="K22" s="5"/>
      <c r="L22" s="270"/>
      <c r="M22" s="314"/>
    </row>
    <row r="23" spans="1:13" ht="12.75" customHeight="1">
      <c r="A23" s="285"/>
      <c r="B23" s="8"/>
      <c r="C23" s="68" t="s">
        <v>458</v>
      </c>
      <c r="D23" s="38"/>
      <c r="E23" s="38"/>
      <c r="F23" s="25"/>
      <c r="G23" s="38"/>
      <c r="H23" s="25"/>
      <c r="I23" s="38"/>
      <c r="J23" s="25"/>
      <c r="K23" s="5"/>
      <c r="L23" s="270"/>
      <c r="M23" s="314"/>
    </row>
    <row r="24" spans="1:13" ht="12.75" customHeight="1">
      <c r="A24" s="285"/>
      <c r="B24" s="8"/>
      <c r="C24" s="68"/>
      <c r="D24" s="38"/>
      <c r="E24" s="38"/>
      <c r="F24" s="25"/>
      <c r="G24" s="38"/>
      <c r="H24" s="25"/>
      <c r="I24" s="38"/>
      <c r="J24" s="25"/>
      <c r="K24" s="5"/>
      <c r="L24" s="270"/>
      <c r="M24" s="314"/>
    </row>
    <row r="25" spans="1:13" ht="12.75" customHeight="1">
      <c r="A25" s="285"/>
      <c r="B25" s="66"/>
      <c r="C25" s="67" t="s">
        <v>594</v>
      </c>
      <c r="D25" s="5" t="str">
        <f>VLOOKUP(C25,ratings,8,FALSE)</f>
        <v>A-</v>
      </c>
      <c r="E25" s="5" t="str">
        <f>VLOOKUP(C25,ratings,10,FALSE)</f>
        <v>F2</v>
      </c>
      <c r="F25" s="6" t="str">
        <f>VLOOKUP(C25,ratings,11,FALSE)</f>
        <v>STABLE</v>
      </c>
      <c r="G25" s="5" t="str">
        <f>VLOOKUP(C25,ratings,3,FALSE)</f>
        <v>A2</v>
      </c>
      <c r="H25" s="6" t="str">
        <f>VLOOKUP(C25,ratings,5,FALSE)</f>
        <v>P-1</v>
      </c>
      <c r="I25" s="5" t="str">
        <f>VLOOKUP(C25,ratings,6,FALSE)</f>
        <v>POS</v>
      </c>
      <c r="J25" s="25"/>
      <c r="K25" s="5" t="s">
        <v>200</v>
      </c>
      <c r="L25" s="270"/>
      <c r="M25" s="314"/>
    </row>
    <row r="26" spans="1:13" ht="12.75" customHeight="1">
      <c r="A26" s="285"/>
      <c r="B26" s="8"/>
      <c r="C26" s="68" t="s">
        <v>595</v>
      </c>
      <c r="D26" s="38"/>
      <c r="E26" s="38"/>
      <c r="F26" s="25"/>
      <c r="G26" s="38"/>
      <c r="H26" s="25"/>
      <c r="I26" s="38"/>
      <c r="J26" s="25"/>
      <c r="K26" s="5"/>
      <c r="L26" s="270"/>
      <c r="M26" s="314"/>
    </row>
    <row r="27" spans="1:13" ht="12.75" customHeight="1">
      <c r="A27" s="285"/>
      <c r="B27" s="8"/>
      <c r="C27" s="68" t="s">
        <v>596</v>
      </c>
      <c r="D27" s="38"/>
      <c r="E27" s="38"/>
      <c r="F27" s="25"/>
      <c r="G27" s="38"/>
      <c r="H27" s="25"/>
      <c r="I27" s="38"/>
      <c r="J27" s="25"/>
      <c r="K27" s="5"/>
      <c r="L27" s="270"/>
      <c r="M27" s="314"/>
    </row>
    <row r="28" spans="1:13" ht="12.75" customHeight="1">
      <c r="A28" s="285"/>
      <c r="B28" s="8"/>
      <c r="C28" s="68" t="s">
        <v>195</v>
      </c>
      <c r="D28" s="38"/>
      <c r="E28" s="38"/>
      <c r="F28" s="25"/>
      <c r="G28" s="38"/>
      <c r="H28" s="25"/>
      <c r="I28" s="38"/>
      <c r="J28" s="25"/>
      <c r="K28" s="5"/>
      <c r="L28" s="270"/>
      <c r="M28" s="314"/>
    </row>
    <row r="29" spans="1:13" ht="12.75" customHeight="1">
      <c r="A29" s="285"/>
      <c r="B29" s="8"/>
      <c r="C29" s="68"/>
      <c r="D29" s="38"/>
      <c r="E29" s="38"/>
      <c r="F29" s="25"/>
      <c r="G29" s="38"/>
      <c r="H29" s="25"/>
      <c r="I29" s="38"/>
      <c r="J29" s="25"/>
      <c r="K29" s="5"/>
      <c r="L29" s="270"/>
      <c r="M29" s="314"/>
    </row>
    <row r="30" spans="1:13" ht="12.75" customHeight="1">
      <c r="A30" s="285"/>
      <c r="B30" s="66" t="s">
        <v>439</v>
      </c>
      <c r="C30" s="67" t="s">
        <v>260</v>
      </c>
      <c r="D30" s="5" t="str">
        <f>VLOOKUP(C30,ratings,8,FALSE)</f>
        <v>-</v>
      </c>
      <c r="E30" s="5" t="str">
        <f>VLOOKUP(C30,ratings,10,FALSE)</f>
        <v>-</v>
      </c>
      <c r="F30" s="5" t="str">
        <f>VLOOKUP(C30,ratings,11,FALSE)</f>
        <v>-</v>
      </c>
      <c r="G30" s="5" t="str">
        <f>VLOOKUP(C30,ratings,3,FALSE)</f>
        <v>-</v>
      </c>
      <c r="H30" s="5" t="str">
        <f>VLOOKUP(C30,ratings,5,FALSE)</f>
        <v>-</v>
      </c>
      <c r="I30" s="5" t="str">
        <f>VLOOKUP(C30,ratings,6,FALSE)</f>
        <v>-</v>
      </c>
      <c r="J30" s="25"/>
      <c r="K30" s="5" t="s">
        <v>200</v>
      </c>
      <c r="L30" s="270"/>
      <c r="M30" s="314"/>
    </row>
    <row r="31" spans="1:13" ht="12.75" customHeight="1">
      <c r="A31" s="285"/>
      <c r="B31" s="8"/>
      <c r="C31" s="68" t="s">
        <v>455</v>
      </c>
      <c r="D31" s="38"/>
      <c r="E31" s="38"/>
      <c r="F31" s="25"/>
      <c r="G31" s="38"/>
      <c r="H31" s="25"/>
      <c r="I31" s="38"/>
      <c r="J31" s="25"/>
      <c r="K31" s="5"/>
      <c r="L31" s="270"/>
      <c r="M31" s="314"/>
    </row>
    <row r="32" spans="1:13" ht="12.75" customHeight="1">
      <c r="A32" s="285"/>
      <c r="B32" s="8"/>
      <c r="C32" s="68" t="s">
        <v>440</v>
      </c>
      <c r="D32" s="38"/>
      <c r="E32" s="38"/>
      <c r="F32" s="25"/>
      <c r="G32" s="38"/>
      <c r="H32" s="25"/>
      <c r="I32" s="38"/>
      <c r="J32" s="25"/>
      <c r="K32" s="5"/>
      <c r="L32" s="270"/>
      <c r="M32" s="314"/>
    </row>
    <row r="33" spans="1:13" ht="12.75" customHeight="1">
      <c r="A33" s="285"/>
      <c r="B33" s="8"/>
      <c r="C33" s="68" t="s">
        <v>258</v>
      </c>
      <c r="D33" s="38"/>
      <c r="E33" s="38"/>
      <c r="F33" s="25"/>
      <c r="G33" s="38"/>
      <c r="H33" s="25"/>
      <c r="I33" s="38"/>
      <c r="J33" s="25"/>
      <c r="K33" s="5"/>
      <c r="L33" s="270"/>
      <c r="M33" s="314"/>
    </row>
    <row r="34" spans="1:13" ht="12.75" customHeight="1">
      <c r="A34" s="285"/>
      <c r="B34" s="8"/>
      <c r="C34" s="68"/>
      <c r="D34" s="38"/>
      <c r="E34" s="38"/>
      <c r="F34" s="25"/>
      <c r="G34" s="38"/>
      <c r="H34" s="25"/>
      <c r="I34" s="38"/>
      <c r="J34" s="25"/>
      <c r="K34" s="5"/>
      <c r="L34" s="270"/>
      <c r="M34" s="314"/>
    </row>
    <row r="35" spans="1:13" ht="12.75" customHeight="1">
      <c r="A35" s="285"/>
      <c r="B35" s="8"/>
      <c r="C35" s="68"/>
      <c r="D35" s="38"/>
      <c r="E35" s="38"/>
      <c r="F35" s="25"/>
      <c r="G35" s="38"/>
      <c r="H35" s="25"/>
      <c r="I35" s="38"/>
      <c r="J35" s="25"/>
      <c r="K35" s="5"/>
      <c r="L35" s="270"/>
      <c r="M35" s="314"/>
    </row>
    <row r="36" spans="1:13" ht="12.75" customHeight="1">
      <c r="A36" s="285"/>
      <c r="B36" s="66" t="s">
        <v>445</v>
      </c>
      <c r="C36" s="94" t="s">
        <v>466</v>
      </c>
      <c r="D36" s="5" t="str">
        <f>VLOOKUP(C36,ratings,8,FALSE)</f>
        <v>AA</v>
      </c>
      <c r="E36" s="5" t="str">
        <f>VLOOKUP(C36,ratings,10,FALSE)</f>
        <v>F1+</v>
      </c>
      <c r="F36" s="6" t="str">
        <f>VLOOKUP(C36,ratings,11,FALSE)</f>
        <v>STABLE</v>
      </c>
      <c r="G36" s="5" t="str">
        <f>VLOOKUP(C36,ratings,3,FALSE)</f>
        <v>-</v>
      </c>
      <c r="H36" s="6" t="str">
        <f>VLOOKUP(C36,ratings,5,FALSE)</f>
        <v>P-1</v>
      </c>
      <c r="I36" s="5" t="str">
        <f>VLOOKUP(C36,ratings,6,FALSE)</f>
        <v>STABLE</v>
      </c>
      <c r="J36" s="25"/>
      <c r="K36" s="5" t="s">
        <v>200</v>
      </c>
      <c r="L36" s="270"/>
      <c r="M36" s="314"/>
    </row>
    <row r="37" spans="1:13" ht="12.75" customHeight="1">
      <c r="A37" s="285"/>
      <c r="B37" s="8" t="s">
        <v>437</v>
      </c>
      <c r="C37" s="92" t="s">
        <v>446</v>
      </c>
      <c r="D37" s="38"/>
      <c r="E37" s="38"/>
      <c r="F37" s="25"/>
      <c r="G37" s="38"/>
      <c r="H37" s="25"/>
      <c r="I37" s="38"/>
      <c r="J37" s="25"/>
      <c r="K37" s="5"/>
      <c r="L37" s="270"/>
      <c r="M37" s="314"/>
    </row>
    <row r="38" spans="1:13" ht="12.75" customHeight="1">
      <c r="A38" s="285"/>
      <c r="B38" s="8"/>
      <c r="C38" s="68" t="s">
        <v>438</v>
      </c>
      <c r="D38" s="38"/>
      <c r="E38" s="38"/>
      <c r="F38" s="25"/>
      <c r="G38" s="38"/>
      <c r="H38" s="25"/>
      <c r="I38" s="38"/>
      <c r="J38" s="25"/>
      <c r="K38" s="5"/>
      <c r="L38" s="270"/>
      <c r="M38" s="314"/>
    </row>
    <row r="39" spans="1:13" ht="12.75" customHeight="1">
      <c r="A39" s="285"/>
      <c r="B39" s="8"/>
      <c r="C39" s="68" t="s">
        <v>258</v>
      </c>
      <c r="D39" s="38"/>
      <c r="E39" s="38"/>
      <c r="F39" s="25"/>
      <c r="G39" s="38"/>
      <c r="H39" s="25"/>
      <c r="I39" s="38"/>
      <c r="J39" s="25"/>
      <c r="K39" s="5"/>
      <c r="L39" s="270"/>
      <c r="M39" s="314"/>
    </row>
    <row r="40" spans="1:13" ht="12.75" customHeight="1">
      <c r="A40" s="285"/>
      <c r="B40" s="8"/>
      <c r="C40" s="63"/>
      <c r="D40" s="38"/>
      <c r="E40" s="38"/>
      <c r="F40" s="25"/>
      <c r="G40" s="38"/>
      <c r="H40" s="25"/>
      <c r="I40" s="38"/>
      <c r="J40" s="25"/>
      <c r="K40" s="5"/>
      <c r="L40" s="270"/>
      <c r="M40" s="314"/>
    </row>
    <row r="41" spans="1:13" ht="12.75" customHeight="1">
      <c r="A41" s="285"/>
      <c r="B41" s="36" t="s">
        <v>432</v>
      </c>
      <c r="C41" s="69" t="s">
        <v>463</v>
      </c>
      <c r="D41" s="5" t="str">
        <f>VLOOKUP(C41,ratings,8,FALSE)</f>
        <v>AA</v>
      </c>
      <c r="E41" s="5" t="str">
        <f>VLOOKUP(C41,ratings,10,FALSE)</f>
        <v>F1+</v>
      </c>
      <c r="F41" s="6" t="str">
        <f>VLOOKUP(C41,ratings,11,FALSE)</f>
        <v>STABLE</v>
      </c>
      <c r="G41" s="5" t="str">
        <f>VLOOKUP(C41,ratings,3,FALSE)</f>
        <v>Aa2</v>
      </c>
      <c r="H41" s="6" t="str">
        <f>VLOOKUP(C41,ratings,5,FALSE)</f>
        <v>P-1</v>
      </c>
      <c r="I41" s="5" t="str">
        <f>VLOOKUP(C41,ratings,6,FALSE)</f>
        <v>STABLE</v>
      </c>
      <c r="J41" s="25"/>
      <c r="K41" s="5" t="s">
        <v>200</v>
      </c>
      <c r="L41" s="270"/>
      <c r="M41" s="314"/>
    </row>
    <row r="42" spans="1:13" ht="12.75" customHeight="1">
      <c r="A42" s="285"/>
      <c r="B42" s="65" t="s">
        <v>433</v>
      </c>
      <c r="C42" s="68" t="s">
        <v>443</v>
      </c>
      <c r="D42" s="38"/>
      <c r="E42" s="38"/>
      <c r="F42" s="25"/>
      <c r="G42" s="38"/>
      <c r="H42" s="25"/>
      <c r="I42" s="38"/>
      <c r="J42" s="25"/>
      <c r="K42" s="5"/>
      <c r="L42" s="270"/>
      <c r="M42" s="314"/>
    </row>
    <row r="43" spans="1:13" ht="12.75" customHeight="1">
      <c r="A43" s="285"/>
      <c r="B43" s="24" t="s">
        <v>434</v>
      </c>
      <c r="C43" s="68" t="s">
        <v>435</v>
      </c>
      <c r="D43" s="38"/>
      <c r="E43" s="38"/>
      <c r="F43" s="25"/>
      <c r="G43" s="38"/>
      <c r="H43" s="25"/>
      <c r="I43" s="38"/>
      <c r="J43" s="25"/>
      <c r="K43" s="5"/>
      <c r="L43" s="270"/>
      <c r="M43" s="314"/>
    </row>
    <row r="44" spans="1:13" ht="12.75" customHeight="1">
      <c r="A44" s="285"/>
      <c r="B44" s="25"/>
      <c r="C44" s="68" t="s">
        <v>184</v>
      </c>
      <c r="D44" s="38"/>
      <c r="E44" s="38"/>
      <c r="F44" s="25"/>
      <c r="G44" s="38"/>
      <c r="H44" s="25"/>
      <c r="I44" s="38"/>
      <c r="J44" s="25"/>
      <c r="K44" s="5"/>
      <c r="L44" s="270"/>
      <c r="M44" s="314"/>
    </row>
    <row r="45" spans="1:13" ht="12.75" customHeight="1">
      <c r="A45" s="285"/>
      <c r="B45" s="25"/>
      <c r="C45" s="63"/>
      <c r="D45" s="38"/>
      <c r="E45" s="38"/>
      <c r="F45" s="25"/>
      <c r="G45" s="38"/>
      <c r="H45" s="25"/>
      <c r="I45" s="38"/>
      <c r="J45" s="25"/>
      <c r="K45" s="5"/>
      <c r="L45" s="270"/>
      <c r="M45" s="314"/>
    </row>
    <row r="46" spans="1:13" ht="12.75" customHeight="1">
      <c r="A46" s="285"/>
      <c r="B46" s="25"/>
      <c r="C46" s="63"/>
      <c r="D46" s="38"/>
      <c r="E46" s="38"/>
      <c r="F46" s="25"/>
      <c r="G46" s="38"/>
      <c r="H46" s="25"/>
      <c r="I46" s="38"/>
      <c r="J46" s="25"/>
      <c r="K46" s="5"/>
      <c r="L46" s="270"/>
      <c r="M46" s="314"/>
    </row>
    <row r="47" spans="1:13" ht="12.75" customHeight="1">
      <c r="A47" s="285"/>
      <c r="B47" s="23" t="s">
        <v>436</v>
      </c>
      <c r="C47" s="69" t="s">
        <v>463</v>
      </c>
      <c r="D47" s="5" t="str">
        <f>VLOOKUP(C47,ratings,8,FALSE)</f>
        <v>AA</v>
      </c>
      <c r="E47" s="5" t="str">
        <f>VLOOKUP(C47,ratings,10,FALSE)</f>
        <v>F1+</v>
      </c>
      <c r="F47" s="6" t="str">
        <f>VLOOKUP(C47,ratings,11,FALSE)</f>
        <v>STABLE</v>
      </c>
      <c r="G47" s="5" t="str">
        <f>VLOOKUP(C47,ratings,3,FALSE)</f>
        <v>Aa2</v>
      </c>
      <c r="H47" s="6" t="str">
        <f>VLOOKUP(C47,ratings,5,FALSE)</f>
        <v>P-1</v>
      </c>
      <c r="I47" s="5" t="str">
        <f>VLOOKUP(C47,ratings,6,FALSE)</f>
        <v>STABLE</v>
      </c>
      <c r="J47" s="25"/>
      <c r="K47" s="5" t="s">
        <v>200</v>
      </c>
      <c r="L47" s="270"/>
      <c r="M47" s="314"/>
    </row>
    <row r="48" spans="1:13" ht="12.75" customHeight="1">
      <c r="A48" s="285"/>
      <c r="B48" s="25"/>
      <c r="C48" s="64" t="s">
        <v>442</v>
      </c>
      <c r="D48" s="38"/>
      <c r="E48" s="38"/>
      <c r="F48" s="25"/>
      <c r="G48" s="38"/>
      <c r="H48" s="25"/>
      <c r="I48" s="38"/>
      <c r="J48" s="25"/>
      <c r="K48" s="5"/>
      <c r="L48" s="270"/>
      <c r="M48" s="314"/>
    </row>
    <row r="49" spans="1:13" ht="12.75" customHeight="1">
      <c r="A49" s="285"/>
      <c r="B49" s="25"/>
      <c r="C49" s="64" t="s">
        <v>444</v>
      </c>
      <c r="D49" s="38"/>
      <c r="E49" s="38"/>
      <c r="F49" s="25"/>
      <c r="G49" s="38"/>
      <c r="H49" s="25"/>
      <c r="I49" s="38"/>
      <c r="J49" s="25"/>
      <c r="K49" s="5"/>
      <c r="L49" s="270"/>
      <c r="M49" s="314"/>
    </row>
    <row r="50" spans="1:13" ht="12.75" customHeight="1">
      <c r="A50" s="285"/>
      <c r="B50" s="25"/>
      <c r="C50" s="64" t="s">
        <v>195</v>
      </c>
      <c r="D50" s="38"/>
      <c r="E50" s="38"/>
      <c r="F50" s="25"/>
      <c r="G50" s="38"/>
      <c r="H50" s="25"/>
      <c r="I50" s="38"/>
      <c r="J50" s="25"/>
      <c r="K50" s="5"/>
      <c r="L50" s="270"/>
      <c r="M50" s="314"/>
    </row>
    <row r="51" spans="1:13" ht="12.75" customHeight="1">
      <c r="A51" s="285"/>
      <c r="B51" s="25"/>
      <c r="C51" s="61"/>
      <c r="D51" s="38"/>
      <c r="E51" s="38"/>
      <c r="F51" s="25"/>
      <c r="G51" s="38"/>
      <c r="H51" s="25"/>
      <c r="I51" s="38"/>
      <c r="J51" s="25"/>
      <c r="K51" s="5"/>
      <c r="L51" s="270"/>
      <c r="M51" s="314"/>
    </row>
    <row r="52" spans="1:13" ht="12.75" customHeight="1">
      <c r="A52" s="285"/>
      <c r="B52" s="25"/>
      <c r="C52" s="61"/>
      <c r="D52" s="38"/>
      <c r="E52" s="38"/>
      <c r="F52" s="25"/>
      <c r="G52" s="38"/>
      <c r="H52" s="25"/>
      <c r="I52" s="38"/>
      <c r="J52" s="25"/>
      <c r="K52" s="5"/>
      <c r="L52" s="270"/>
      <c r="M52" s="314"/>
    </row>
    <row r="53" spans="1:13" ht="12.75" customHeight="1">
      <c r="A53" s="285"/>
      <c r="B53" s="36" t="s">
        <v>262</v>
      </c>
      <c r="C53" s="69" t="s">
        <v>103</v>
      </c>
      <c r="D53" s="5" t="str">
        <f>VLOOKUP(C53,ratings,8,FALSE)</f>
        <v>A</v>
      </c>
      <c r="E53" s="5" t="str">
        <f>VLOOKUP(C53,ratings,10,FALSE)</f>
        <v>F1</v>
      </c>
      <c r="F53" s="6" t="str">
        <f>VLOOKUP(C53,ratings,11,FALSE)</f>
        <v>STABLE</v>
      </c>
      <c r="G53" s="5" t="str">
        <f>VLOOKUP(C53,ratings,3,FALSE)</f>
        <v>A2</v>
      </c>
      <c r="H53" s="6" t="str">
        <f>VLOOKUP(C53,ratings,5,FALSE)</f>
        <v>P-1</v>
      </c>
      <c r="I53" s="5" t="str">
        <f>VLOOKUP(C53,ratings,6,FALSE)</f>
        <v>POS</v>
      </c>
      <c r="J53" s="25"/>
      <c r="K53" s="5" t="s">
        <v>200</v>
      </c>
      <c r="L53" s="270"/>
      <c r="M53" s="314"/>
    </row>
    <row r="54" spans="1:13" ht="12.75" customHeight="1">
      <c r="A54" s="285"/>
      <c r="B54" s="25"/>
      <c r="C54" s="68" t="s">
        <v>590</v>
      </c>
      <c r="D54" s="38"/>
      <c r="E54" s="38"/>
      <c r="F54" s="38"/>
      <c r="G54" s="38"/>
      <c r="H54" s="38"/>
      <c r="I54" s="38"/>
      <c r="J54" s="25"/>
      <c r="K54" s="5"/>
      <c r="L54" s="25"/>
      <c r="M54" s="314"/>
    </row>
    <row r="55" spans="1:13" ht="12.75" customHeight="1">
      <c r="A55" s="285"/>
      <c r="C55" s="68" t="s">
        <v>591</v>
      </c>
      <c r="D55" s="38"/>
      <c r="E55" s="38"/>
      <c r="F55" s="25"/>
      <c r="G55" s="38"/>
      <c r="H55" s="25"/>
      <c r="I55" s="38"/>
      <c r="J55" s="25"/>
      <c r="K55" s="5"/>
      <c r="L55" s="25"/>
      <c r="M55" s="314"/>
    </row>
    <row r="56" spans="1:13" ht="12.75" customHeight="1">
      <c r="A56" s="285"/>
      <c r="B56" s="25"/>
      <c r="C56" s="68" t="s">
        <v>592</v>
      </c>
      <c r="D56" s="38"/>
      <c r="E56" s="38"/>
      <c r="F56" s="25"/>
      <c r="G56" s="38"/>
      <c r="H56" s="25"/>
      <c r="I56" s="38"/>
      <c r="J56" s="25"/>
      <c r="K56" s="5"/>
      <c r="L56" s="25"/>
      <c r="M56" s="314"/>
    </row>
    <row r="57" spans="1:13" ht="12.75" customHeight="1">
      <c r="A57" s="285"/>
      <c r="B57" s="25"/>
      <c r="C57" s="68" t="s">
        <v>593</v>
      </c>
      <c r="D57" s="38"/>
      <c r="E57" s="38"/>
      <c r="F57" s="25"/>
      <c r="G57" s="38"/>
      <c r="H57" s="25"/>
      <c r="I57" s="38"/>
      <c r="J57" s="25"/>
      <c r="K57" s="5"/>
      <c r="L57" s="25"/>
      <c r="M57" s="314"/>
    </row>
    <row r="58" spans="1:13" ht="12.75" customHeight="1">
      <c r="A58" s="285"/>
      <c r="B58" s="25"/>
      <c r="C58" s="68" t="s">
        <v>261</v>
      </c>
      <c r="D58" s="38"/>
      <c r="E58" s="38"/>
      <c r="F58" s="25"/>
      <c r="G58" s="38"/>
      <c r="H58" s="25"/>
      <c r="I58" s="38"/>
      <c r="J58" s="25"/>
      <c r="K58" s="5"/>
      <c r="L58" s="25"/>
      <c r="M58" s="314"/>
    </row>
    <row r="59" spans="1:13" ht="12.75" customHeight="1">
      <c r="A59" s="285"/>
      <c r="B59" s="25"/>
      <c r="C59" s="68"/>
      <c r="D59" s="38"/>
      <c r="E59" s="38"/>
      <c r="F59" s="25"/>
      <c r="G59" s="38"/>
      <c r="H59" s="25"/>
      <c r="I59" s="38"/>
      <c r="J59" s="25"/>
      <c r="K59" s="5"/>
      <c r="L59" s="25"/>
      <c r="M59" s="314"/>
    </row>
    <row r="60" spans="1:13" ht="12.75" customHeight="1">
      <c r="A60" s="285"/>
      <c r="B60" s="24" t="s">
        <v>186</v>
      </c>
      <c r="C60" s="67" t="s">
        <v>430</v>
      </c>
      <c r="D60" s="5" t="str">
        <f>VLOOKUP(C60,ratings,8,FALSE)</f>
        <v>-</v>
      </c>
      <c r="E60" s="5" t="str">
        <f>VLOOKUP(C60,ratings,10,FALSE)</f>
        <v>-</v>
      </c>
      <c r="F60" s="5" t="str">
        <f>VLOOKUP(C60,ratings,11,FALSE)</f>
        <v>-</v>
      </c>
      <c r="G60" s="5" t="str">
        <f>VLOOKUP(C60,ratings,3,FALSE)</f>
        <v>-</v>
      </c>
      <c r="H60" s="5" t="str">
        <f>VLOOKUP(C60,ratings,5,FALSE)</f>
        <v>-</v>
      </c>
      <c r="I60" s="5" t="str">
        <f>VLOOKUP(C60,ratings,6,FALSE)</f>
        <v>-</v>
      </c>
      <c r="J60" s="25"/>
      <c r="K60" s="5" t="s">
        <v>200</v>
      </c>
      <c r="L60" s="25"/>
      <c r="M60" s="314"/>
    </row>
    <row r="61" spans="1:13" ht="12.75" customHeight="1">
      <c r="A61" s="285"/>
      <c r="B61" s="25"/>
      <c r="C61" s="68" t="s">
        <v>610</v>
      </c>
      <c r="D61" s="38"/>
      <c r="E61" s="38"/>
      <c r="F61" s="25"/>
      <c r="G61" s="38"/>
      <c r="H61" s="25"/>
      <c r="I61" s="38"/>
      <c r="J61" s="25"/>
      <c r="K61" s="5"/>
      <c r="L61" s="25"/>
      <c r="M61" s="314"/>
    </row>
    <row r="62" spans="1:13" ht="12.75" customHeight="1">
      <c r="A62" s="285"/>
      <c r="B62" s="25"/>
      <c r="C62" s="68" t="s">
        <v>611</v>
      </c>
      <c r="D62" s="38"/>
      <c r="E62" s="38"/>
      <c r="F62" s="25"/>
      <c r="G62" s="38"/>
      <c r="H62" s="25"/>
      <c r="I62" s="38"/>
      <c r="J62" s="25"/>
      <c r="K62" s="5"/>
      <c r="L62" s="25"/>
      <c r="M62" s="314"/>
    </row>
    <row r="63" spans="1:13" ht="12.75" customHeight="1">
      <c r="A63" s="285"/>
      <c r="B63" s="25"/>
      <c r="C63" s="68" t="s">
        <v>431</v>
      </c>
      <c r="D63" s="38"/>
      <c r="E63" s="38"/>
      <c r="F63" s="25"/>
      <c r="G63" s="38"/>
      <c r="H63" s="25"/>
      <c r="I63" s="38"/>
      <c r="J63" s="25"/>
      <c r="K63" s="5"/>
      <c r="L63" s="25"/>
      <c r="M63" s="314"/>
    </row>
    <row r="64" spans="1:13" ht="12.75" customHeight="1">
      <c r="A64" s="285"/>
      <c r="B64" s="25"/>
      <c r="C64" s="68"/>
      <c r="D64" s="38"/>
      <c r="E64" s="38"/>
      <c r="F64" s="25"/>
      <c r="G64" s="38"/>
      <c r="H64" s="25"/>
      <c r="I64" s="38"/>
      <c r="J64" s="25"/>
      <c r="K64" s="5"/>
      <c r="L64" s="25"/>
      <c r="M64" s="314"/>
    </row>
    <row r="65" spans="1:13" ht="12.75" customHeight="1">
      <c r="A65" s="285"/>
      <c r="B65" s="25"/>
      <c r="C65" s="68"/>
      <c r="D65" s="38"/>
      <c r="E65" s="38"/>
      <c r="F65" s="25"/>
      <c r="G65" s="38"/>
      <c r="H65" s="25"/>
      <c r="I65" s="38"/>
      <c r="J65" s="25"/>
      <c r="K65" s="5"/>
      <c r="L65" s="25"/>
      <c r="M65" s="314"/>
    </row>
    <row r="66" spans="1:13" ht="12.75" customHeight="1">
      <c r="A66" s="285"/>
      <c r="B66" s="25"/>
      <c r="C66" s="68"/>
      <c r="D66" s="38"/>
      <c r="E66" s="38"/>
      <c r="F66" s="25"/>
      <c r="G66" s="38"/>
      <c r="H66" s="25"/>
      <c r="I66" s="38"/>
      <c r="J66" s="25"/>
      <c r="K66" s="5"/>
      <c r="L66" s="25"/>
      <c r="M66" s="314"/>
    </row>
    <row r="67" spans="1:13" ht="12.75" customHeight="1">
      <c r="A67" s="285"/>
      <c r="B67" s="25"/>
      <c r="C67" s="25"/>
      <c r="D67" s="39"/>
      <c r="E67" s="39"/>
      <c r="F67" s="40"/>
      <c r="G67" s="39"/>
      <c r="H67" s="40"/>
      <c r="I67" s="39"/>
      <c r="J67" s="38"/>
      <c r="K67" s="41"/>
      <c r="L67" s="25"/>
      <c r="M67" s="314"/>
    </row>
    <row r="68" spans="1:13" ht="12.75" customHeight="1">
      <c r="A68" s="285"/>
      <c r="B68" s="25"/>
      <c r="C68" s="25"/>
      <c r="D68" s="33"/>
      <c r="E68" s="33"/>
      <c r="F68" s="33"/>
      <c r="G68" s="33"/>
      <c r="H68" s="33"/>
      <c r="I68" s="33"/>
      <c r="J68" s="33"/>
      <c r="K68" s="33"/>
      <c r="L68" s="33"/>
      <c r="M68" s="314"/>
    </row>
    <row r="69" spans="1:13" ht="12.75" customHeight="1">
      <c r="A69" s="285"/>
      <c r="B69" s="25"/>
      <c r="C69" s="25"/>
      <c r="D69" s="33"/>
      <c r="E69" s="33"/>
      <c r="F69" s="33"/>
      <c r="G69" s="33"/>
      <c r="H69" s="33"/>
      <c r="I69" s="33"/>
      <c r="J69" s="33"/>
      <c r="K69" s="33"/>
      <c r="L69" s="33"/>
      <c r="M69" s="314"/>
    </row>
    <row r="70" spans="1:13" ht="12.75" customHeight="1">
      <c r="A70" s="285"/>
      <c r="B70" s="36" t="s">
        <v>187</v>
      </c>
      <c r="C70" s="65" t="s">
        <v>447</v>
      </c>
      <c r="D70" s="64"/>
      <c r="E70" s="65" t="s">
        <v>422</v>
      </c>
      <c r="F70" s="64"/>
      <c r="G70" s="64"/>
      <c r="H70" s="25"/>
      <c r="I70" s="24"/>
      <c r="J70" s="33"/>
      <c r="K70" s="33"/>
      <c r="L70" s="33"/>
      <c r="M70" s="314"/>
    </row>
    <row r="71" spans="1:13" ht="12.75" customHeight="1">
      <c r="A71" s="285"/>
      <c r="B71" s="25"/>
      <c r="C71" s="64" t="s">
        <v>448</v>
      </c>
      <c r="D71" s="64"/>
      <c r="E71" s="64" t="s">
        <v>450</v>
      </c>
      <c r="F71" s="64"/>
      <c r="G71" s="64"/>
      <c r="H71" s="64"/>
      <c r="I71" s="64"/>
      <c r="J71" s="33"/>
      <c r="K71" s="33"/>
      <c r="L71" s="33"/>
      <c r="M71" s="314"/>
    </row>
    <row r="72" spans="1:13" ht="12.75" customHeight="1">
      <c r="A72" s="285"/>
      <c r="B72" s="25"/>
      <c r="C72" s="64" t="s">
        <v>449</v>
      </c>
      <c r="D72" s="64"/>
      <c r="E72" s="64" t="s">
        <v>451</v>
      </c>
      <c r="F72" s="64"/>
      <c r="G72" s="64"/>
      <c r="H72" s="64"/>
      <c r="I72" s="64"/>
      <c r="J72" s="33"/>
      <c r="K72" s="33"/>
      <c r="L72" s="33"/>
      <c r="M72" s="314"/>
    </row>
    <row r="73" spans="1:13" s="33" customFormat="1" ht="12.75" customHeight="1">
      <c r="A73" s="239"/>
      <c r="B73" s="25"/>
      <c r="C73" s="64" t="s">
        <v>195</v>
      </c>
      <c r="D73" s="64"/>
      <c r="E73" s="64" t="s">
        <v>261</v>
      </c>
      <c r="F73" s="64"/>
      <c r="G73" s="64"/>
      <c r="H73" s="64"/>
      <c r="I73" s="64"/>
      <c r="M73" s="246"/>
    </row>
    <row r="74" spans="1:13" s="33" customFormat="1" ht="12.75" customHeight="1">
      <c r="A74" s="239"/>
      <c r="B74" s="25"/>
      <c r="C74" s="64"/>
      <c r="D74" s="64"/>
      <c r="E74" s="64"/>
      <c r="F74" s="64"/>
      <c r="G74" s="64"/>
      <c r="H74" s="64"/>
      <c r="I74" s="64"/>
      <c r="M74" s="246"/>
    </row>
    <row r="75" spans="1:13" s="25" customFormat="1" ht="12.75" customHeight="1">
      <c r="A75" s="285"/>
      <c r="M75" s="314"/>
    </row>
    <row r="76" spans="1:13" s="25" customFormat="1" ht="12.75" customHeight="1">
      <c r="A76" s="348"/>
      <c r="B76" s="50" t="str">
        <f>VLOOKUP("RatingDate",ratings,17,0)</f>
        <v>Ratings as of 30.06.2025, data source: Bloomberg</v>
      </c>
      <c r="C76" s="98"/>
      <c r="D76" s="42"/>
      <c r="E76" s="42"/>
      <c r="F76" s="42"/>
      <c r="G76" s="42"/>
      <c r="H76" s="42"/>
      <c r="I76" s="42"/>
      <c r="J76" s="42"/>
      <c r="K76" s="42"/>
      <c r="L76" s="42"/>
      <c r="M76" s="352"/>
    </row>
    <row r="77" spans="1:13" s="25" customFormat="1" ht="15.5">
      <c r="C77" s="13"/>
      <c r="D77" s="28"/>
      <c r="E77" s="28"/>
      <c r="F77" s="28"/>
      <c r="G77" s="28"/>
      <c r="H77" s="28"/>
      <c r="I77" s="28"/>
      <c r="J77" s="28"/>
      <c r="K77" s="28"/>
      <c r="L77" s="28"/>
    </row>
    <row r="78" spans="1:13" s="25" customFormat="1" ht="15.5">
      <c r="C78" s="13"/>
      <c r="D78" s="28"/>
      <c r="E78" s="28"/>
      <c r="F78" s="28"/>
      <c r="G78" s="28"/>
      <c r="H78" s="28"/>
      <c r="I78" s="28"/>
      <c r="J78" s="28"/>
      <c r="K78" s="28"/>
      <c r="L78" s="28"/>
    </row>
    <row r="79" spans="1:13" s="25" customFormat="1" ht="15.5">
      <c r="C79" s="13"/>
      <c r="D79" s="28"/>
      <c r="E79" s="28"/>
      <c r="F79" s="28"/>
      <c r="G79" s="28"/>
      <c r="H79" s="28"/>
      <c r="I79" s="28"/>
      <c r="J79" s="28"/>
      <c r="K79" s="28"/>
      <c r="L79" s="28"/>
    </row>
    <row r="80" spans="1:13" s="25" customFormat="1" ht="15.5">
      <c r="C80" s="358"/>
      <c r="D80" s="43"/>
      <c r="E80" s="43"/>
      <c r="F80" s="43"/>
      <c r="G80" s="9"/>
      <c r="H80" s="9"/>
      <c r="I80" s="9"/>
      <c r="J80" s="9"/>
      <c r="K80" s="270"/>
    </row>
    <row r="81" spans="2:11" s="25" customFormat="1" ht="15.5">
      <c r="C81" s="358"/>
      <c r="D81" s="43"/>
      <c r="E81" s="43"/>
      <c r="F81" s="43"/>
      <c r="G81" s="9"/>
      <c r="H81" s="9"/>
      <c r="I81" s="9"/>
      <c r="J81" s="9"/>
    </row>
    <row r="82" spans="2:11" s="25" customFormat="1" ht="15.5">
      <c r="D82" s="44"/>
      <c r="H82" s="24"/>
      <c r="J82" s="9"/>
    </row>
    <row r="83" spans="2:11" s="25" customFormat="1" ht="15.5">
      <c r="J83" s="9"/>
    </row>
    <row r="84" spans="2:11" s="25" customFormat="1" ht="15.5">
      <c r="B84" s="33"/>
      <c r="E84" s="33"/>
      <c r="G84" s="33"/>
      <c r="J84" s="9"/>
      <c r="K84" s="33"/>
    </row>
    <row r="85" spans="2:11" s="25" customFormat="1" ht="15.5">
      <c r="B85" s="33"/>
      <c r="E85" s="33"/>
      <c r="G85" s="33"/>
      <c r="J85" s="9"/>
      <c r="K85" s="33"/>
    </row>
    <row r="86" spans="2:11" s="25" customFormat="1" ht="15.5">
      <c r="J86" s="9"/>
    </row>
    <row r="87" spans="2:11" s="25" customFormat="1" ht="15.5">
      <c r="C87" s="43"/>
      <c r="D87" s="43"/>
      <c r="E87" s="43"/>
      <c r="F87" s="43"/>
      <c r="G87" s="9"/>
      <c r="H87" s="9"/>
      <c r="I87" s="9"/>
      <c r="J87" s="9"/>
    </row>
    <row r="88" spans="2:11" s="25" customFormat="1" ht="14">
      <c r="B88" s="33"/>
      <c r="C88" s="33"/>
      <c r="D88" s="207"/>
      <c r="E88" s="234"/>
      <c r="F88" s="323"/>
      <c r="G88" s="323"/>
      <c r="H88" s="323"/>
      <c r="I88" s="279"/>
    </row>
    <row r="89" spans="2:11" s="25" customFormat="1" ht="14">
      <c r="B89" s="204"/>
      <c r="C89" s="233"/>
      <c r="D89" s="324"/>
      <c r="E89" s="234"/>
      <c r="F89" s="323"/>
      <c r="G89" s="323"/>
      <c r="H89" s="323"/>
      <c r="I89" s="279"/>
    </row>
    <row r="90" spans="2:11" s="25" customFormat="1" ht="14">
      <c r="B90" s="325"/>
      <c r="C90" s="233"/>
      <c r="D90" s="323"/>
      <c r="E90" s="234"/>
      <c r="F90" s="323"/>
      <c r="G90" s="323"/>
      <c r="H90" s="323"/>
      <c r="I90" s="279"/>
    </row>
    <row r="91" spans="2:11" s="25" customFormat="1">
      <c r="C91" s="233"/>
      <c r="I91" s="279"/>
    </row>
    <row r="92" spans="2:11" s="25" customFormat="1">
      <c r="I92" s="279"/>
    </row>
    <row r="93" spans="2:11" s="25" customFormat="1">
      <c r="I93" s="279"/>
    </row>
    <row r="94" spans="2:11" s="25" customFormat="1">
      <c r="I94" s="279"/>
    </row>
    <row r="95" spans="2:11" s="25" customFormat="1">
      <c r="I95" s="279"/>
    </row>
    <row r="96" spans="2:11"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c r="I299" s="279"/>
    </row>
    <row r="300" spans="9:9" s="25" customFormat="1">
      <c r="I300" s="279"/>
    </row>
    <row r="301" spans="9:9" s="25" customFormat="1">
      <c r="I301" s="279"/>
    </row>
    <row r="302" spans="9:9" s="25" customFormat="1">
      <c r="I302" s="279"/>
    </row>
    <row r="303" spans="9:9" s="25" customFormat="1">
      <c r="I303" s="279"/>
    </row>
    <row r="304" spans="9:9" s="25" customFormat="1">
      <c r="I304" s="279"/>
    </row>
    <row r="305" spans="9:9" s="25" customFormat="1">
      <c r="I305" s="279"/>
    </row>
    <row r="306" spans="9:9" s="25" customFormat="1">
      <c r="I306" s="279"/>
    </row>
    <row r="307" spans="9:9" s="25" customFormat="1">
      <c r="I307" s="279"/>
    </row>
    <row r="308" spans="9:9" s="25" customFormat="1">
      <c r="I308" s="279"/>
    </row>
    <row r="309" spans="9:9" s="25" customFormat="1">
      <c r="I309" s="279"/>
    </row>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row r="2248" s="25" customFormat="1"/>
    <row r="2249"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34.54296875" style="238" customWidth="1"/>
    <col min="3" max="10" width="15.81640625" style="238" customWidth="1"/>
    <col min="11" max="11" width="1.1796875" style="238" customWidth="1"/>
    <col min="12" max="12" width="3.1796875" style="238" customWidth="1"/>
    <col min="13" max="16384" width="9.1796875" style="238"/>
  </cols>
  <sheetData>
    <row r="1" spans="1:16" ht="6" customHeight="1">
      <c r="A1" s="235"/>
      <c r="B1" s="236"/>
      <c r="C1" s="236"/>
      <c r="D1" s="236"/>
      <c r="E1" s="236"/>
      <c r="F1" s="236"/>
      <c r="G1" s="236"/>
      <c r="H1" s="236"/>
      <c r="I1" s="236"/>
      <c r="J1" s="236"/>
      <c r="K1" s="237"/>
    </row>
    <row r="2" spans="1:16" s="247" customFormat="1" ht="18">
      <c r="A2" s="239"/>
      <c r="B2" s="240" t="str">
        <f>'Cover Sheet'!B2</f>
        <v>SC Germany Consumer 2022-1</v>
      </c>
      <c r="C2" s="240"/>
      <c r="D2" s="241" t="str">
        <f>'Cover Sheet'!D2</f>
        <v>Calculation Date</v>
      </c>
      <c r="E2" s="242"/>
      <c r="F2" s="243">
        <f>'Cover Sheet'!F2</f>
        <v>45848</v>
      </c>
      <c r="G2" s="242"/>
      <c r="H2" s="242"/>
      <c r="I2" s="242"/>
      <c r="J2" s="244"/>
      <c r="K2" s="326"/>
    </row>
    <row r="3" spans="1:16" s="247" customFormat="1" ht="18">
      <c r="A3" s="239"/>
      <c r="B3" s="240" t="str">
        <f>'Cover Sheet'!B3</f>
        <v>Monthly Investor Report</v>
      </c>
      <c r="C3" s="240"/>
      <c r="D3" s="248" t="str">
        <f>'Cover Sheet'!D3</f>
        <v>Payment Date</v>
      </c>
      <c r="E3" s="249"/>
      <c r="F3" s="250">
        <f>'Cover Sheet'!F3</f>
        <v>45852</v>
      </c>
      <c r="G3" s="249"/>
      <c r="H3" s="249"/>
      <c r="I3" s="249"/>
      <c r="J3" s="251"/>
      <c r="K3" s="327"/>
    </row>
    <row r="4" spans="1:16" s="247" customFormat="1" ht="13">
      <c r="A4" s="239"/>
      <c r="B4" s="253"/>
      <c r="C4" s="328"/>
      <c r="D4" s="248" t="str">
        <f>'Cover Sheet'!D4</f>
        <v>Period  No</v>
      </c>
      <c r="E4" s="249"/>
      <c r="F4" s="254">
        <f>'Cover Sheet'!F4</f>
        <v>33</v>
      </c>
      <c r="G4" s="249"/>
      <c r="H4" s="255"/>
      <c r="I4" s="249"/>
      <c r="J4" s="256"/>
      <c r="K4" s="326"/>
    </row>
    <row r="5" spans="1:16" s="247" customFormat="1" ht="18">
      <c r="A5" s="239"/>
      <c r="B5" s="257" t="s">
        <v>377</v>
      </c>
      <c r="C5" s="329"/>
      <c r="D5" s="248" t="str">
        <f>'Cover Sheet'!D5</f>
        <v>Monthly Period</v>
      </c>
      <c r="E5" s="249"/>
      <c r="F5" s="121">
        <f>'Cover Sheet'!F5</f>
        <v>45852</v>
      </c>
      <c r="G5" s="249"/>
      <c r="H5" s="255"/>
      <c r="I5" s="249"/>
      <c r="J5" s="256"/>
      <c r="K5" s="327"/>
    </row>
    <row r="6" spans="1:16" s="247" customFormat="1" ht="15" customHeight="1">
      <c r="A6" s="239"/>
      <c r="B6" s="258"/>
      <c r="C6" s="330"/>
      <c r="D6" s="259" t="str">
        <f>'Cover Sheet'!D6</f>
        <v>Interest Period</v>
      </c>
      <c r="E6" s="250" t="s">
        <v>34</v>
      </c>
      <c r="F6" s="250">
        <f>'Cover Sheet'!F6</f>
        <v>45824</v>
      </c>
      <c r="G6" s="250" t="s">
        <v>4</v>
      </c>
      <c r="H6" s="250">
        <f>'Cover Sheet'!H6</f>
        <v>45852</v>
      </c>
      <c r="I6" s="260" t="s">
        <v>15</v>
      </c>
      <c r="J6" s="261" t="str">
        <f>'Cover Sheet'!J6</f>
        <v>28 days</v>
      </c>
      <c r="K6" s="327"/>
      <c r="M6" s="331"/>
    </row>
    <row r="7" spans="1:16" s="247" customFormat="1" ht="13">
      <c r="A7" s="239"/>
      <c r="B7" s="33"/>
      <c r="C7" s="33"/>
      <c r="D7" s="263" t="str">
        <f>'Cover Sheet'!D7</f>
        <v>Collection Period</v>
      </c>
      <c r="E7" s="264" t="s">
        <v>34</v>
      </c>
      <c r="F7" s="264" t="str">
        <f>'Cover Sheet'!F7</f>
        <v>01.06.2025</v>
      </c>
      <c r="G7" s="264" t="s">
        <v>4</v>
      </c>
      <c r="H7" s="264">
        <f>'Cover Sheet'!H7</f>
        <v>45838</v>
      </c>
      <c r="I7" s="265"/>
      <c r="J7" s="266"/>
      <c r="K7" s="327"/>
    </row>
    <row r="8" spans="1:16" s="247" customFormat="1" ht="13">
      <c r="A8" s="239"/>
      <c r="B8" s="33"/>
      <c r="C8" s="33"/>
      <c r="D8" s="25"/>
      <c r="E8" s="245"/>
      <c r="F8" s="267"/>
      <c r="G8" s="245"/>
      <c r="H8" s="33"/>
      <c r="I8" s="268"/>
      <c r="J8" s="33"/>
      <c r="K8" s="327"/>
    </row>
    <row r="9" spans="1:16" s="247" customFormat="1" ht="13">
      <c r="A9" s="239"/>
      <c r="B9" s="33"/>
      <c r="C9" s="33"/>
      <c r="D9" s="25"/>
      <c r="E9" s="33"/>
      <c r="F9" s="33"/>
      <c r="G9" s="33"/>
      <c r="H9" s="33"/>
      <c r="I9" s="33"/>
      <c r="J9" s="33"/>
      <c r="K9" s="246"/>
      <c r="M9" s="332"/>
    </row>
    <row r="10" spans="1:16" s="247" customFormat="1">
      <c r="A10" s="239"/>
      <c r="B10" s="33"/>
      <c r="C10" s="33"/>
      <c r="D10" s="25"/>
      <c r="E10" s="33"/>
      <c r="F10" s="270"/>
      <c r="G10" s="33"/>
      <c r="H10" s="33"/>
      <c r="I10" s="25"/>
      <c r="J10" s="25"/>
      <c r="K10" s="246"/>
    </row>
    <row r="11" spans="1:16" s="247" customFormat="1" ht="17.5">
      <c r="A11" s="239"/>
      <c r="B11" s="271"/>
      <c r="C11" s="33"/>
      <c r="D11" s="25"/>
      <c r="E11" s="33"/>
      <c r="F11" s="25"/>
      <c r="G11" s="272"/>
      <c r="H11" s="272"/>
      <c r="I11" s="25"/>
      <c r="J11" s="33"/>
      <c r="K11" s="246"/>
      <c r="M11" s="333"/>
    </row>
    <row r="12" spans="1:16" s="247" customFormat="1" ht="12.75" customHeight="1">
      <c r="A12" s="239"/>
      <c r="B12" s="334"/>
      <c r="C12" s="25"/>
      <c r="D12" s="25"/>
      <c r="E12" s="25"/>
      <c r="F12" s="25"/>
      <c r="G12" s="274"/>
      <c r="H12" s="274"/>
      <c r="I12" s="25"/>
      <c r="J12" s="25"/>
      <c r="K12" s="246"/>
      <c r="M12" s="333"/>
    </row>
    <row r="13" spans="1:16" s="247" customFormat="1" ht="12.75" customHeight="1">
      <c r="A13" s="239"/>
      <c r="B13" s="23" t="s">
        <v>188</v>
      </c>
      <c r="D13" s="24" t="s">
        <v>572</v>
      </c>
      <c r="F13" s="335"/>
      <c r="G13" s="336"/>
      <c r="H13" s="336"/>
      <c r="I13" s="279"/>
      <c r="J13" s="25"/>
      <c r="K13" s="246"/>
      <c r="M13" s="333"/>
      <c r="P13" s="24"/>
    </row>
    <row r="14" spans="1:16" s="247" customFormat="1" ht="12.75" customHeight="1">
      <c r="A14" s="239"/>
      <c r="B14" s="23"/>
      <c r="D14" s="25"/>
      <c r="F14" s="337"/>
      <c r="G14" s="337"/>
      <c r="H14" s="338"/>
      <c r="I14" s="172"/>
      <c r="J14" s="25"/>
      <c r="K14" s="246"/>
      <c r="M14" s="333"/>
      <c r="P14" s="25"/>
    </row>
    <row r="15" spans="1:16" ht="12.75" customHeight="1">
      <c r="A15" s="285"/>
      <c r="B15" s="23" t="s">
        <v>189</v>
      </c>
      <c r="D15" s="24" t="s">
        <v>601</v>
      </c>
      <c r="F15" s="26"/>
      <c r="G15" s="26"/>
      <c r="H15" s="339"/>
      <c r="I15" s="219"/>
      <c r="J15" s="25"/>
      <c r="K15" s="314"/>
      <c r="M15" s="333"/>
      <c r="P15" s="24"/>
    </row>
    <row r="16" spans="1:16" ht="12.75" customHeight="1">
      <c r="A16" s="285"/>
      <c r="B16" s="23"/>
      <c r="D16" s="25" t="s">
        <v>194</v>
      </c>
      <c r="F16" s="26"/>
      <c r="G16" s="26"/>
      <c r="H16" s="339"/>
      <c r="I16" s="219"/>
      <c r="J16" s="25"/>
      <c r="K16" s="314"/>
      <c r="M16" s="333"/>
      <c r="P16" s="25"/>
    </row>
    <row r="17" spans="1:16" ht="12.75" customHeight="1">
      <c r="A17" s="285"/>
      <c r="B17" s="23"/>
      <c r="D17" s="64" t="s">
        <v>257</v>
      </c>
      <c r="E17" s="340"/>
      <c r="F17" s="341"/>
      <c r="G17" s="26"/>
      <c r="H17" s="339"/>
      <c r="I17" s="219"/>
      <c r="J17" s="25"/>
      <c r="K17" s="314"/>
      <c r="M17" s="333"/>
      <c r="P17" s="25"/>
    </row>
    <row r="18" spans="1:16" ht="12.75" customHeight="1">
      <c r="A18" s="285"/>
      <c r="B18" s="23"/>
      <c r="D18" s="64" t="s">
        <v>259</v>
      </c>
      <c r="E18" s="340"/>
      <c r="F18" s="341"/>
      <c r="G18" s="26"/>
      <c r="H18" s="339"/>
      <c r="I18" s="219"/>
      <c r="J18" s="25"/>
      <c r="K18" s="314"/>
      <c r="M18" s="333"/>
      <c r="P18" s="25"/>
    </row>
    <row r="19" spans="1:16" ht="12.75" customHeight="1">
      <c r="A19" s="285"/>
      <c r="B19" s="23"/>
      <c r="D19" s="64" t="s">
        <v>258</v>
      </c>
      <c r="E19" s="340"/>
      <c r="F19" s="341"/>
      <c r="G19" s="26"/>
      <c r="H19" s="339"/>
      <c r="I19" s="219"/>
      <c r="J19" s="25"/>
      <c r="K19" s="314"/>
      <c r="M19" s="333"/>
      <c r="P19" s="25"/>
    </row>
    <row r="20" spans="1:16" ht="12.75" customHeight="1">
      <c r="A20" s="285"/>
      <c r="B20" s="23"/>
      <c r="D20" s="25"/>
      <c r="F20" s="26"/>
      <c r="G20" s="26"/>
      <c r="H20" s="339"/>
      <c r="I20" s="219"/>
      <c r="J20" s="25"/>
      <c r="K20" s="314"/>
      <c r="M20" s="333"/>
      <c r="P20" s="25"/>
    </row>
    <row r="21" spans="1:16" ht="12.75" customHeight="1">
      <c r="A21" s="285"/>
      <c r="B21" s="23" t="s">
        <v>205</v>
      </c>
      <c r="D21" s="64" t="s">
        <v>405</v>
      </c>
      <c r="E21" s="64"/>
      <c r="F21" s="26"/>
      <c r="G21" s="26"/>
      <c r="H21" s="339"/>
      <c r="I21" s="219"/>
      <c r="J21" s="25"/>
      <c r="K21" s="314"/>
      <c r="M21" s="333"/>
      <c r="P21" s="25"/>
    </row>
    <row r="22" spans="1:16" ht="12.75" customHeight="1">
      <c r="A22" s="285"/>
      <c r="B22" s="23"/>
      <c r="D22" s="25"/>
      <c r="F22" s="26"/>
      <c r="G22" s="26"/>
      <c r="H22" s="339"/>
      <c r="I22" s="219"/>
      <c r="J22" s="25"/>
      <c r="K22" s="314"/>
      <c r="M22" s="333"/>
      <c r="P22" s="25"/>
    </row>
    <row r="23" spans="1:16" ht="12.75" customHeight="1">
      <c r="A23" s="285"/>
      <c r="B23" s="23" t="s">
        <v>190</v>
      </c>
      <c r="D23" s="24" t="s">
        <v>196</v>
      </c>
      <c r="F23" s="26"/>
      <c r="G23" s="26"/>
      <c r="H23" s="339"/>
      <c r="I23" s="219"/>
      <c r="J23" s="25"/>
      <c r="K23" s="314"/>
      <c r="M23" s="333"/>
      <c r="P23" s="24"/>
    </row>
    <row r="24" spans="1:16" ht="12.75" customHeight="1">
      <c r="A24" s="285"/>
      <c r="B24" s="23"/>
      <c r="D24" s="25"/>
      <c r="F24" s="26"/>
      <c r="G24" s="26"/>
      <c r="H24" s="339"/>
      <c r="I24" s="219"/>
      <c r="J24" s="25"/>
      <c r="K24" s="314"/>
      <c r="M24" s="333"/>
      <c r="P24" s="25"/>
    </row>
    <row r="25" spans="1:16" ht="12.75" customHeight="1">
      <c r="A25" s="285"/>
      <c r="B25" s="23" t="s">
        <v>191</v>
      </c>
      <c r="D25" s="24" t="s">
        <v>196</v>
      </c>
      <c r="F25" s="26"/>
      <c r="G25" s="26"/>
      <c r="H25" s="339"/>
      <c r="I25" s="219"/>
      <c r="J25" s="25"/>
      <c r="K25" s="314"/>
      <c r="M25" s="333"/>
      <c r="P25" s="24"/>
    </row>
    <row r="26" spans="1:16" ht="12.75" customHeight="1">
      <c r="A26" s="285"/>
      <c r="B26" s="23"/>
      <c r="D26" s="25"/>
      <c r="F26" s="26"/>
      <c r="G26" s="26"/>
      <c r="H26" s="339"/>
      <c r="I26" s="219"/>
      <c r="J26" s="25"/>
      <c r="K26" s="314"/>
      <c r="M26" s="333"/>
      <c r="P26" s="25"/>
    </row>
    <row r="27" spans="1:16" ht="12.75" customHeight="1">
      <c r="A27" s="285"/>
      <c r="B27" s="23" t="s">
        <v>192</v>
      </c>
      <c r="D27" s="24" t="s">
        <v>196</v>
      </c>
      <c r="F27" s="27"/>
      <c r="G27" s="27"/>
      <c r="H27" s="339"/>
      <c r="I27" s="219"/>
      <c r="J27" s="25"/>
      <c r="K27" s="314"/>
      <c r="M27" s="333"/>
      <c r="P27" s="24"/>
    </row>
    <row r="28" spans="1:16" ht="12.75" customHeight="1">
      <c r="A28" s="285"/>
      <c r="B28" s="23"/>
      <c r="D28" s="25" t="s">
        <v>112</v>
      </c>
      <c r="F28" s="342"/>
      <c r="G28" s="343"/>
      <c r="H28" s="339"/>
      <c r="I28" s="219"/>
      <c r="J28" s="25"/>
      <c r="K28" s="314"/>
      <c r="M28" s="333"/>
      <c r="P28" s="25"/>
    </row>
    <row r="29" spans="1:16" ht="12.75" customHeight="1">
      <c r="A29" s="285"/>
      <c r="B29" s="25"/>
      <c r="D29" s="25" t="s">
        <v>197</v>
      </c>
      <c r="F29" s="26"/>
      <c r="G29" s="26"/>
      <c r="H29" s="339"/>
      <c r="I29" s="219"/>
      <c r="J29" s="25"/>
      <c r="K29" s="314"/>
      <c r="M29" s="333"/>
      <c r="P29" s="25"/>
    </row>
    <row r="30" spans="1:16" ht="12.75" customHeight="1">
      <c r="A30" s="285"/>
      <c r="B30" s="23"/>
      <c r="D30" s="25" t="s">
        <v>198</v>
      </c>
      <c r="F30" s="26"/>
      <c r="G30" s="26"/>
      <c r="H30" s="339"/>
      <c r="I30" s="224"/>
      <c r="J30" s="25"/>
      <c r="K30" s="314"/>
      <c r="M30" s="333"/>
      <c r="P30" s="25"/>
    </row>
    <row r="31" spans="1:16" ht="12.75" customHeight="1">
      <c r="A31" s="285"/>
      <c r="B31" s="23"/>
      <c r="D31" s="25" t="s">
        <v>195</v>
      </c>
      <c r="F31" s="344"/>
      <c r="G31" s="345"/>
      <c r="H31" s="344"/>
      <c r="I31" s="25"/>
      <c r="J31" s="25"/>
      <c r="K31" s="314"/>
      <c r="M31" s="333"/>
      <c r="P31" s="25"/>
    </row>
    <row r="32" spans="1:16" ht="12.75" customHeight="1">
      <c r="A32" s="285"/>
      <c r="B32" s="23"/>
      <c r="D32" s="25" t="s">
        <v>199</v>
      </c>
      <c r="F32" s="28"/>
      <c r="G32" s="28"/>
      <c r="H32" s="28"/>
      <c r="I32" s="28"/>
      <c r="J32" s="25"/>
      <c r="K32" s="314"/>
      <c r="M32" s="333"/>
      <c r="P32" s="25"/>
    </row>
    <row r="33" spans="1:16" ht="12.75" customHeight="1">
      <c r="A33" s="285"/>
      <c r="B33" s="23"/>
      <c r="D33" s="25"/>
      <c r="F33" s="28"/>
      <c r="G33" s="28"/>
      <c r="H33" s="28"/>
      <c r="I33" s="28"/>
      <c r="J33" s="25"/>
      <c r="K33" s="314"/>
      <c r="M33" s="333"/>
      <c r="P33" s="25"/>
    </row>
    <row r="34" spans="1:16" ht="12.75" customHeight="1">
      <c r="A34" s="285"/>
      <c r="B34" s="23"/>
      <c r="D34" s="25"/>
      <c r="F34" s="28"/>
      <c r="G34" s="28"/>
      <c r="H34" s="28"/>
      <c r="I34" s="28"/>
      <c r="J34" s="25"/>
      <c r="K34" s="314"/>
      <c r="M34" s="333"/>
      <c r="P34" s="25"/>
    </row>
    <row r="35" spans="1:16" ht="12.75" customHeight="1">
      <c r="A35" s="285"/>
      <c r="B35" s="23" t="s">
        <v>193</v>
      </c>
      <c r="D35" s="65" t="s">
        <v>260</v>
      </c>
      <c r="E35" s="340"/>
      <c r="F35" s="62"/>
      <c r="G35" s="28"/>
      <c r="H35" s="28"/>
      <c r="I35" s="28"/>
      <c r="J35" s="25"/>
      <c r="K35" s="314"/>
      <c r="M35" s="333"/>
      <c r="P35" s="24"/>
    </row>
    <row r="36" spans="1:16" ht="12.75" customHeight="1">
      <c r="A36" s="285"/>
      <c r="B36" s="23"/>
      <c r="D36" s="64" t="s">
        <v>257</v>
      </c>
      <c r="E36" s="340"/>
      <c r="F36" s="346"/>
      <c r="G36" s="347"/>
      <c r="H36" s="347"/>
      <c r="I36" s="279"/>
      <c r="J36" s="279"/>
      <c r="K36" s="314"/>
      <c r="P36" s="25"/>
    </row>
    <row r="37" spans="1:16" ht="12.75" customHeight="1">
      <c r="A37" s="285"/>
      <c r="B37" s="25"/>
      <c r="D37" s="64" t="s">
        <v>259</v>
      </c>
      <c r="E37" s="340"/>
      <c r="F37" s="346"/>
      <c r="G37" s="347"/>
      <c r="H37" s="347"/>
      <c r="I37" s="279"/>
      <c r="J37" s="25"/>
      <c r="K37" s="314"/>
      <c r="P37" s="25"/>
    </row>
    <row r="38" spans="1:16" ht="12.75" customHeight="1">
      <c r="A38" s="285"/>
      <c r="B38" s="23"/>
      <c r="D38" s="64" t="s">
        <v>258</v>
      </c>
      <c r="E38" s="340"/>
      <c r="F38" s="62"/>
      <c r="G38" s="28"/>
      <c r="H38" s="28"/>
      <c r="I38" s="25"/>
      <c r="J38" s="25"/>
      <c r="K38" s="314"/>
      <c r="P38" s="25"/>
    </row>
    <row r="39" spans="1:16" ht="12.75" customHeight="1">
      <c r="A39" s="285"/>
      <c r="B39" s="23"/>
      <c r="D39" s="61"/>
      <c r="E39" s="340"/>
      <c r="F39" s="62"/>
      <c r="G39" s="28"/>
      <c r="H39" s="28"/>
      <c r="I39" s="25"/>
      <c r="J39" s="25"/>
      <c r="K39" s="314"/>
      <c r="P39" s="25"/>
    </row>
    <row r="40" spans="1:16" ht="12.75" customHeight="1">
      <c r="A40" s="285"/>
      <c r="B40" s="23"/>
      <c r="D40" s="61"/>
      <c r="E40" s="340"/>
      <c r="F40" s="62"/>
      <c r="G40" s="28"/>
      <c r="H40" s="28"/>
      <c r="I40" s="279"/>
      <c r="J40" s="25"/>
      <c r="K40" s="314"/>
      <c r="L40" s="25"/>
      <c r="P40" s="25"/>
    </row>
    <row r="41" spans="1:16" s="25" customFormat="1" ht="12.75" customHeight="1">
      <c r="A41" s="348"/>
      <c r="B41" s="29"/>
      <c r="C41" s="11"/>
      <c r="D41" s="349"/>
      <c r="E41" s="11"/>
      <c r="F41" s="316"/>
      <c r="G41" s="350"/>
      <c r="H41" s="316"/>
      <c r="I41" s="351"/>
      <c r="J41" s="40"/>
      <c r="K41" s="352"/>
    </row>
    <row r="42" spans="1:16" s="25" customFormat="1"/>
    <row r="43" spans="1:16" s="25" customFormat="1">
      <c r="B43" s="14"/>
      <c r="C43" s="13"/>
      <c r="D43" s="197"/>
      <c r="E43" s="13"/>
      <c r="F43" s="198"/>
      <c r="G43" s="199"/>
      <c r="H43" s="198"/>
      <c r="I43" s="279"/>
    </row>
    <row r="44" spans="1:16" s="25" customFormat="1">
      <c r="B44" s="14"/>
      <c r="C44" s="13"/>
      <c r="D44" s="197"/>
      <c r="E44" s="13"/>
      <c r="F44" s="198"/>
      <c r="G44" s="199"/>
      <c r="H44" s="198"/>
      <c r="I44" s="279"/>
    </row>
    <row r="45" spans="1:16" s="25" customFormat="1">
      <c r="B45" s="14"/>
      <c r="C45" s="13"/>
      <c r="D45" s="197"/>
      <c r="E45" s="13"/>
      <c r="F45" s="198"/>
      <c r="G45" s="199"/>
      <c r="H45" s="198"/>
      <c r="I45" s="279"/>
    </row>
    <row r="46" spans="1:16" s="25" customFormat="1" ht="15.5">
      <c r="B46" s="14"/>
      <c r="C46" s="30"/>
      <c r="D46" s="197"/>
      <c r="E46" s="13"/>
      <c r="F46" s="198"/>
      <c r="G46" s="199"/>
      <c r="H46" s="198"/>
      <c r="I46" s="279"/>
    </row>
    <row r="47" spans="1:16" s="25" customFormat="1" ht="15.5">
      <c r="B47" s="14"/>
      <c r="C47" s="30"/>
      <c r="D47" s="197"/>
      <c r="E47" s="13"/>
      <c r="F47" s="198"/>
      <c r="G47" s="199"/>
      <c r="H47" s="198"/>
      <c r="I47" s="279"/>
    </row>
    <row r="48" spans="1:16" s="25" customFormat="1" ht="15.5">
      <c r="B48" s="14"/>
      <c r="C48" s="31"/>
      <c r="D48" s="197"/>
      <c r="E48" s="13"/>
      <c r="F48" s="198"/>
      <c r="G48" s="199"/>
      <c r="H48" s="198"/>
      <c r="I48" s="279"/>
    </row>
    <row r="49" spans="2:9" s="25" customFormat="1" ht="15.5">
      <c r="B49" s="14"/>
      <c r="C49" s="31"/>
      <c r="D49" s="197"/>
      <c r="E49" s="13"/>
      <c r="F49" s="198"/>
      <c r="G49" s="199"/>
      <c r="H49" s="198"/>
      <c r="I49" s="279"/>
    </row>
    <row r="50" spans="2:9" s="25" customFormat="1" ht="15.5">
      <c r="B50" s="14"/>
      <c r="C50" s="31"/>
      <c r="D50" s="197"/>
      <c r="E50" s="13"/>
      <c r="F50" s="198"/>
      <c r="G50" s="199"/>
      <c r="H50" s="198"/>
      <c r="I50" s="279"/>
    </row>
    <row r="51" spans="2:9" s="25" customFormat="1" ht="15.5">
      <c r="B51" s="14"/>
      <c r="C51" s="31"/>
      <c r="D51" s="197"/>
      <c r="E51" s="13"/>
      <c r="F51" s="198"/>
      <c r="G51" s="199"/>
      <c r="H51" s="198"/>
      <c r="I51" s="279"/>
    </row>
    <row r="52" spans="2:9" s="25" customFormat="1" ht="15.5">
      <c r="B52" s="14"/>
      <c r="C52" s="31"/>
      <c r="D52" s="197"/>
      <c r="E52" s="13"/>
      <c r="F52" s="198"/>
      <c r="G52" s="199"/>
      <c r="H52" s="198"/>
      <c r="I52" s="279"/>
    </row>
    <row r="53" spans="2:9" s="25" customFormat="1" ht="15.5">
      <c r="B53" s="14"/>
      <c r="C53" s="31"/>
      <c r="D53" s="197"/>
      <c r="E53" s="13"/>
      <c r="F53" s="198"/>
      <c r="G53" s="199"/>
      <c r="H53" s="198"/>
      <c r="I53" s="279"/>
    </row>
    <row r="54" spans="2:9" s="25" customFormat="1">
      <c r="B54" s="14"/>
      <c r="C54" s="13"/>
      <c r="D54" s="197"/>
      <c r="E54" s="13"/>
      <c r="F54" s="198"/>
      <c r="G54" s="199"/>
      <c r="H54" s="198"/>
      <c r="I54" s="279"/>
    </row>
    <row r="55" spans="2:9" s="25" customFormat="1">
      <c r="B55" s="14"/>
      <c r="C55" s="13"/>
      <c r="D55" s="197"/>
      <c r="E55" s="13"/>
      <c r="F55" s="198"/>
      <c r="G55" s="199"/>
      <c r="H55" s="198"/>
      <c r="I55" s="279"/>
    </row>
    <row r="56" spans="2:9" s="25" customFormat="1">
      <c r="B56" s="14"/>
      <c r="C56" s="13"/>
      <c r="D56" s="197"/>
      <c r="E56" s="13"/>
      <c r="F56" s="198"/>
      <c r="G56" s="199"/>
      <c r="H56" s="198"/>
      <c r="I56" s="279"/>
    </row>
    <row r="57" spans="2:9" s="25" customFormat="1">
      <c r="B57" s="14"/>
      <c r="C57" s="13"/>
      <c r="D57" s="197"/>
      <c r="E57" s="13"/>
      <c r="F57" s="198"/>
      <c r="G57" s="199"/>
      <c r="H57" s="198"/>
      <c r="I57" s="279"/>
    </row>
    <row r="58" spans="2:9" s="25" customFormat="1">
      <c r="B58" s="14"/>
      <c r="C58" s="13"/>
      <c r="D58" s="197"/>
      <c r="E58" s="13"/>
      <c r="F58" s="198"/>
      <c r="G58" s="199"/>
      <c r="H58" s="198"/>
      <c r="I58" s="279"/>
    </row>
    <row r="59" spans="2:9" s="25" customFormat="1">
      <c r="B59" s="14"/>
      <c r="C59" s="13"/>
      <c r="D59" s="197"/>
      <c r="E59" s="13"/>
      <c r="F59" s="198"/>
      <c r="G59" s="199"/>
      <c r="H59" s="198"/>
      <c r="I59" s="279"/>
    </row>
    <row r="60" spans="2:9" s="25" customFormat="1">
      <c r="B60" s="14"/>
      <c r="C60" s="13"/>
      <c r="D60" s="197"/>
      <c r="E60" s="13"/>
      <c r="F60" s="198"/>
      <c r="G60" s="199"/>
      <c r="H60" s="198"/>
      <c r="I60" s="279"/>
    </row>
    <row r="61" spans="2:9" s="25" customFormat="1">
      <c r="B61" s="14"/>
      <c r="C61" s="13"/>
      <c r="D61" s="197"/>
      <c r="E61" s="13"/>
      <c r="F61" s="198"/>
      <c r="G61" s="199"/>
      <c r="H61" s="198"/>
      <c r="I61" s="279"/>
    </row>
    <row r="62" spans="2:9" s="25" customFormat="1">
      <c r="B62" s="14"/>
      <c r="C62" s="13"/>
      <c r="D62" s="197"/>
      <c r="E62" s="13"/>
      <c r="F62" s="198"/>
      <c r="G62" s="199"/>
      <c r="H62" s="198"/>
      <c r="I62" s="279"/>
    </row>
    <row r="63" spans="2:9" s="25" customFormat="1">
      <c r="B63" s="14"/>
      <c r="C63" s="13"/>
      <c r="D63" s="197"/>
      <c r="E63" s="13"/>
      <c r="F63" s="198"/>
      <c r="G63" s="199"/>
      <c r="H63" s="198"/>
      <c r="I63" s="279"/>
    </row>
    <row r="64" spans="2:9" s="25" customFormat="1">
      <c r="B64" s="14"/>
      <c r="C64" s="13"/>
      <c r="D64" s="197"/>
      <c r="E64" s="13"/>
      <c r="F64" s="198"/>
      <c r="G64" s="199"/>
      <c r="H64" s="198"/>
      <c r="I64" s="279"/>
    </row>
    <row r="65" spans="2:9" s="25" customFormat="1">
      <c r="B65" s="14"/>
      <c r="C65" s="13"/>
      <c r="D65" s="197"/>
      <c r="E65" s="13"/>
      <c r="F65" s="198"/>
      <c r="G65" s="199"/>
      <c r="H65" s="198"/>
      <c r="I65" s="279"/>
    </row>
    <row r="66" spans="2:9" s="25" customFormat="1">
      <c r="B66" s="14"/>
      <c r="C66" s="13"/>
      <c r="D66" s="197"/>
      <c r="E66" s="13"/>
      <c r="F66" s="198"/>
      <c r="G66" s="199"/>
      <c r="H66" s="198"/>
      <c r="I66" s="279"/>
    </row>
    <row r="67" spans="2:9" s="25" customFormat="1">
      <c r="B67" s="14"/>
      <c r="C67" s="13"/>
      <c r="D67" s="197"/>
      <c r="E67" s="13"/>
      <c r="F67" s="198"/>
      <c r="G67" s="199"/>
      <c r="H67" s="198"/>
      <c r="I67" s="279"/>
    </row>
    <row r="68" spans="2:9" s="25" customFormat="1">
      <c r="B68" s="14"/>
      <c r="C68" s="13"/>
      <c r="D68" s="197"/>
      <c r="E68" s="13"/>
      <c r="F68" s="198"/>
      <c r="G68" s="199"/>
      <c r="H68" s="198"/>
      <c r="I68" s="279"/>
    </row>
    <row r="69" spans="2:9" s="25" customFormat="1">
      <c r="B69" s="14"/>
      <c r="C69" s="13"/>
      <c r="D69" s="320"/>
      <c r="E69" s="321"/>
      <c r="F69" s="232"/>
      <c r="G69" s="322"/>
      <c r="H69" s="232"/>
      <c r="I69" s="279"/>
    </row>
    <row r="70" spans="2:9" s="25" customFormat="1">
      <c r="B70" s="14"/>
      <c r="C70" s="13"/>
      <c r="D70" s="320"/>
      <c r="E70" s="320"/>
      <c r="F70" s="320"/>
      <c r="G70" s="320"/>
      <c r="H70" s="320"/>
      <c r="I70" s="279"/>
    </row>
    <row r="71" spans="2:9" s="25" customFormat="1">
      <c r="B71" s="14"/>
      <c r="C71" s="13"/>
      <c r="D71" s="320"/>
      <c r="E71" s="320"/>
      <c r="F71" s="320"/>
      <c r="G71" s="320"/>
      <c r="H71" s="320"/>
      <c r="I71" s="279"/>
    </row>
    <row r="72" spans="2:9" s="25" customFormat="1">
      <c r="B72" s="14"/>
      <c r="C72" s="13"/>
      <c r="D72" s="204"/>
      <c r="E72" s="233"/>
      <c r="F72" s="320"/>
      <c r="G72" s="320"/>
      <c r="H72" s="320"/>
      <c r="I72" s="279"/>
    </row>
    <row r="73" spans="2:9" s="25" customFormat="1">
      <c r="B73" s="14"/>
      <c r="C73" s="13"/>
      <c r="D73" s="321"/>
      <c r="E73" s="233"/>
      <c r="F73" s="320"/>
      <c r="G73" s="320"/>
      <c r="H73" s="320"/>
      <c r="I73" s="279"/>
    </row>
    <row r="74" spans="2:9" s="25" customFormat="1">
      <c r="B74" s="14"/>
      <c r="C74" s="13"/>
      <c r="D74" s="320"/>
      <c r="E74" s="233"/>
      <c r="F74" s="320"/>
      <c r="G74" s="320"/>
      <c r="H74" s="320"/>
      <c r="I74" s="279"/>
    </row>
    <row r="75" spans="2:9" s="25" customFormat="1" ht="14">
      <c r="B75" s="320"/>
      <c r="C75" s="321"/>
      <c r="D75" s="323"/>
      <c r="E75" s="323"/>
      <c r="F75" s="323"/>
      <c r="G75" s="323"/>
      <c r="H75" s="323"/>
      <c r="I75" s="279"/>
    </row>
    <row r="76" spans="2:9" s="25" customFormat="1" ht="14">
      <c r="B76" s="33"/>
      <c r="C76" s="33"/>
      <c r="D76" s="323"/>
      <c r="E76" s="323"/>
      <c r="F76" s="323"/>
      <c r="G76" s="323"/>
      <c r="H76" s="323"/>
      <c r="I76" s="279"/>
    </row>
    <row r="77" spans="2:9" s="25" customFormat="1" ht="14">
      <c r="B77" s="33"/>
      <c r="C77" s="33"/>
      <c r="D77" s="207"/>
      <c r="E77" s="234"/>
      <c r="F77" s="323"/>
      <c r="G77" s="323"/>
      <c r="H77" s="323"/>
      <c r="I77" s="279"/>
    </row>
    <row r="78" spans="2:9" s="25" customFormat="1" ht="14">
      <c r="B78" s="204"/>
      <c r="C78" s="233"/>
      <c r="D78" s="324"/>
      <c r="E78" s="234"/>
      <c r="F78" s="323"/>
      <c r="G78" s="323"/>
      <c r="H78" s="323"/>
      <c r="I78" s="279"/>
    </row>
    <row r="79" spans="2:9" s="25" customFormat="1" ht="14">
      <c r="B79" s="325"/>
      <c r="C79" s="233"/>
      <c r="D79" s="323"/>
      <c r="E79" s="234"/>
      <c r="F79" s="323"/>
      <c r="G79" s="323"/>
      <c r="H79" s="323"/>
      <c r="I79" s="279"/>
    </row>
    <row r="80" spans="2:9" s="25" customFormat="1">
      <c r="C80" s="233"/>
      <c r="I80" s="279"/>
    </row>
    <row r="81" spans="9:9" s="25" customFormat="1">
      <c r="I81" s="279"/>
    </row>
    <row r="82" spans="9:9" s="25" customFormat="1">
      <c r="I82" s="279"/>
    </row>
    <row r="83" spans="9:9" s="25" customFormat="1">
      <c r="I83" s="279"/>
    </row>
    <row r="84" spans="9:9" s="25" customFormat="1">
      <c r="I84" s="279"/>
    </row>
    <row r="85" spans="9:9" s="25" customFormat="1">
      <c r="I85" s="279"/>
    </row>
    <row r="86" spans="9:9" s="25" customFormat="1">
      <c r="I86" s="279"/>
    </row>
    <row r="87" spans="9:9" s="25" customFormat="1">
      <c r="I87" s="279"/>
    </row>
    <row r="88" spans="9:9" s="25" customFormat="1">
      <c r="I88" s="279"/>
    </row>
    <row r="89" spans="9:9" s="25" customFormat="1">
      <c r="I89" s="279"/>
    </row>
    <row r="90" spans="9:9" s="25" customFormat="1">
      <c r="I90" s="279"/>
    </row>
    <row r="91" spans="9:9" s="25" customFormat="1">
      <c r="I91" s="279"/>
    </row>
    <row r="92" spans="9:9" s="25" customFormat="1">
      <c r="I92" s="279"/>
    </row>
    <row r="93" spans="9:9" s="25" customFormat="1">
      <c r="I93" s="279"/>
    </row>
    <row r="94" spans="9:9" s="25" customFormat="1">
      <c r="I94" s="279"/>
    </row>
    <row r="95" spans="9:9" s="25" customFormat="1">
      <c r="I95" s="279"/>
    </row>
    <row r="96" spans="9:9"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8" customWidth="1"/>
    <col min="2" max="2" width="45.54296875" style="238" bestFit="1" customWidth="1"/>
    <col min="3" max="3" width="22.54296875" style="238" customWidth="1"/>
    <col min="4" max="4" width="15" style="238" customWidth="1"/>
    <col min="5" max="6" width="10.81640625" style="238" customWidth="1"/>
    <col min="7" max="7" width="11.81640625" style="238" customWidth="1"/>
    <col min="8" max="12" width="10.81640625" style="238" customWidth="1"/>
    <col min="13" max="13" width="9.81640625" style="238" customWidth="1"/>
    <col min="14" max="16384" width="9.1796875" style="238"/>
  </cols>
  <sheetData>
    <row r="1" spans="1:14" ht="6" customHeight="1">
      <c r="A1" s="235"/>
      <c r="B1" s="236"/>
      <c r="C1" s="236"/>
      <c r="D1" s="236"/>
      <c r="E1" s="236"/>
      <c r="F1" s="236"/>
      <c r="G1" s="236"/>
      <c r="H1" s="236"/>
      <c r="I1" s="236"/>
      <c r="J1" s="236"/>
      <c r="K1" s="236"/>
      <c r="L1" s="236"/>
      <c r="M1" s="236"/>
      <c r="N1" s="237"/>
    </row>
    <row r="2" spans="1:14" s="247" customFormat="1" ht="18">
      <c r="A2" s="239"/>
      <c r="B2" s="240" t="str">
        <f>'Cover Sheet'!B2</f>
        <v>SC Germany Consumer 2022-1</v>
      </c>
      <c r="C2" s="240"/>
      <c r="D2" s="241" t="str">
        <f>'Cover Sheet'!D2</f>
        <v>Calculation Date</v>
      </c>
      <c r="E2" s="242"/>
      <c r="F2" s="243">
        <f>'Cover Sheet'!F2</f>
        <v>45848</v>
      </c>
      <c r="G2" s="242"/>
      <c r="H2" s="242"/>
      <c r="I2" s="242"/>
      <c r="J2" s="244"/>
      <c r="K2" s="245"/>
      <c r="L2" s="245"/>
      <c r="M2" s="33"/>
      <c r="N2" s="246"/>
    </row>
    <row r="3" spans="1:14" s="247" customFormat="1" ht="18">
      <c r="A3" s="239"/>
      <c r="B3" s="240" t="str">
        <f>'Cover Sheet'!B3</f>
        <v>Monthly Investor Report</v>
      </c>
      <c r="C3" s="240"/>
      <c r="D3" s="248" t="str">
        <f>'Cover Sheet'!D3</f>
        <v>Payment Date</v>
      </c>
      <c r="E3" s="249"/>
      <c r="F3" s="250">
        <f>'Cover Sheet'!F3</f>
        <v>45852</v>
      </c>
      <c r="G3" s="249"/>
      <c r="H3" s="249"/>
      <c r="I3" s="249"/>
      <c r="J3" s="251"/>
      <c r="K3" s="252"/>
      <c r="L3" s="252"/>
      <c r="M3" s="33"/>
      <c r="N3" s="246"/>
    </row>
    <row r="4" spans="1:14" s="247" customFormat="1" ht="13">
      <c r="A4" s="239"/>
      <c r="B4" s="253"/>
      <c r="C4" s="253"/>
      <c r="D4" s="248" t="str">
        <f>'Cover Sheet'!D4</f>
        <v>Period  No</v>
      </c>
      <c r="E4" s="249"/>
      <c r="F4" s="254">
        <f>'Cover Sheet'!F4</f>
        <v>33</v>
      </c>
      <c r="G4" s="249"/>
      <c r="H4" s="255"/>
      <c r="I4" s="249"/>
      <c r="J4" s="256"/>
      <c r="K4" s="245"/>
      <c r="L4" s="245"/>
      <c r="M4" s="33"/>
      <c r="N4" s="246"/>
    </row>
    <row r="5" spans="1:14" s="247" customFormat="1" ht="18">
      <c r="A5" s="239"/>
      <c r="B5" s="257" t="s">
        <v>374</v>
      </c>
      <c r="C5" s="257"/>
      <c r="D5" s="248" t="str">
        <f>'Cover Sheet'!D5</f>
        <v>Monthly Period</v>
      </c>
      <c r="E5" s="249"/>
      <c r="F5" s="121">
        <f>'Cover Sheet'!F5</f>
        <v>45852</v>
      </c>
      <c r="G5" s="249"/>
      <c r="H5" s="255"/>
      <c r="I5" s="249"/>
      <c r="J5" s="256"/>
      <c r="K5" s="252"/>
      <c r="L5" s="252"/>
      <c r="M5" s="33"/>
      <c r="N5" s="246"/>
    </row>
    <row r="6" spans="1:14" s="247" customFormat="1" ht="15" customHeight="1">
      <c r="A6" s="239"/>
      <c r="B6" s="258"/>
      <c r="C6" s="258"/>
      <c r="D6" s="259" t="str">
        <f>'Cover Sheet'!D6</f>
        <v>Interest Period</v>
      </c>
      <c r="E6" s="250" t="s">
        <v>34</v>
      </c>
      <c r="F6" s="250">
        <f>'Cover Sheet'!F6</f>
        <v>45824</v>
      </c>
      <c r="G6" s="250" t="s">
        <v>4</v>
      </c>
      <c r="H6" s="250">
        <f>'Cover Sheet'!H6</f>
        <v>45852</v>
      </c>
      <c r="I6" s="260" t="s">
        <v>15</v>
      </c>
      <c r="J6" s="261" t="str">
        <f>'Cover Sheet'!J6</f>
        <v>28 days</v>
      </c>
      <c r="K6" s="252"/>
      <c r="L6" s="252"/>
      <c r="M6" s="33"/>
      <c r="N6" s="262"/>
    </row>
    <row r="7" spans="1:14" s="247" customFormat="1" ht="13">
      <c r="A7" s="239"/>
      <c r="B7" s="33"/>
      <c r="C7" s="33"/>
      <c r="D7" s="263" t="str">
        <f>'Cover Sheet'!D7</f>
        <v>Collection Period</v>
      </c>
      <c r="E7" s="264" t="s">
        <v>34</v>
      </c>
      <c r="F7" s="264" t="str">
        <f>'Cover Sheet'!F7</f>
        <v>01.06.2025</v>
      </c>
      <c r="G7" s="264" t="s">
        <v>4</v>
      </c>
      <c r="H7" s="264">
        <f>'Cover Sheet'!H7</f>
        <v>45838</v>
      </c>
      <c r="I7" s="265"/>
      <c r="J7" s="266"/>
      <c r="K7" s="252"/>
      <c r="L7" s="252"/>
      <c r="M7" s="33"/>
      <c r="N7" s="246"/>
    </row>
    <row r="8" spans="1:14" s="247" customFormat="1" ht="13">
      <c r="A8" s="239"/>
      <c r="B8" s="33"/>
      <c r="C8" s="33"/>
      <c r="D8" s="33"/>
      <c r="E8" s="33"/>
      <c r="F8" s="245"/>
      <c r="G8" s="267"/>
      <c r="H8" s="245"/>
      <c r="I8" s="33"/>
      <c r="J8" s="268"/>
      <c r="K8" s="33"/>
      <c r="L8" s="252"/>
      <c r="M8" s="33"/>
      <c r="N8" s="246"/>
    </row>
    <row r="9" spans="1:14" s="247" customFormat="1" ht="13">
      <c r="A9" s="239"/>
      <c r="B9" s="33"/>
      <c r="C9" s="33"/>
      <c r="D9" s="33"/>
      <c r="E9" s="33"/>
      <c r="F9" s="33"/>
      <c r="G9" s="33"/>
      <c r="H9" s="33"/>
      <c r="I9" s="33"/>
      <c r="J9" s="33"/>
      <c r="K9" s="33"/>
      <c r="L9" s="33"/>
      <c r="M9" s="33"/>
      <c r="N9" s="269"/>
    </row>
    <row r="10" spans="1:14" s="247" customFormat="1">
      <c r="A10" s="239"/>
      <c r="B10" s="33"/>
      <c r="C10" s="33"/>
      <c r="D10" s="33"/>
      <c r="E10" s="25"/>
      <c r="F10" s="33"/>
      <c r="G10" s="270"/>
      <c r="H10" s="33"/>
      <c r="I10" s="33"/>
      <c r="J10" s="25"/>
      <c r="K10" s="25"/>
      <c r="L10" s="33"/>
      <c r="M10" s="33"/>
      <c r="N10" s="246"/>
    </row>
    <row r="11" spans="1:14" s="247" customFormat="1" ht="17.5">
      <c r="A11" s="239"/>
      <c r="B11" s="271"/>
      <c r="C11" s="271"/>
      <c r="D11" s="33"/>
      <c r="E11" s="25"/>
      <c r="F11" s="33"/>
      <c r="G11" s="25"/>
      <c r="H11" s="272"/>
      <c r="I11" s="272"/>
      <c r="J11" s="25"/>
      <c r="K11" s="33"/>
      <c r="L11" s="33"/>
      <c r="M11" s="33"/>
      <c r="N11" s="273"/>
    </row>
    <row r="12" spans="1:14" s="247" customFormat="1">
      <c r="A12" s="239"/>
      <c r="B12" s="33"/>
      <c r="C12" s="33"/>
      <c r="D12" s="25"/>
      <c r="E12" s="25"/>
      <c r="F12" s="25"/>
      <c r="G12" s="25"/>
      <c r="H12" s="274"/>
      <c r="I12" s="274"/>
      <c r="J12" s="25"/>
      <c r="K12" s="25"/>
      <c r="L12" s="33"/>
      <c r="M12" s="33"/>
      <c r="N12" s="273"/>
    </row>
    <row r="13" spans="1:14" s="247" customFormat="1" ht="18">
      <c r="A13" s="239"/>
      <c r="B13" s="275" t="s">
        <v>264</v>
      </c>
      <c r="C13" s="275"/>
      <c r="D13" s="25"/>
      <c r="E13" s="276"/>
      <c r="F13" s="276"/>
      <c r="G13" s="277"/>
      <c r="H13" s="278"/>
      <c r="I13" s="278"/>
      <c r="J13" s="279"/>
      <c r="K13" s="25"/>
      <c r="L13" s="33"/>
      <c r="M13" s="33"/>
      <c r="N13" s="273"/>
    </row>
    <row r="14" spans="1:14" s="247" customFormat="1" ht="12.75" customHeight="1">
      <c r="A14" s="239"/>
      <c r="B14" s="25" t="s">
        <v>265</v>
      </c>
      <c r="C14" s="280" t="s">
        <v>103</v>
      </c>
      <c r="E14" s="281"/>
      <c r="F14" s="282"/>
      <c r="G14" s="283"/>
      <c r="H14" s="283"/>
      <c r="I14" s="284"/>
      <c r="J14" s="278"/>
      <c r="K14" s="25"/>
      <c r="L14" s="33"/>
      <c r="M14" s="33"/>
      <c r="N14" s="273"/>
    </row>
    <row r="15" spans="1:14">
      <c r="A15" s="285"/>
      <c r="B15" s="45" t="s">
        <v>266</v>
      </c>
      <c r="C15" s="922" t="s">
        <v>43</v>
      </c>
      <c r="E15" s="25"/>
      <c r="F15" s="286"/>
      <c r="G15" s="287"/>
      <c r="H15" s="288"/>
      <c r="I15" s="287"/>
      <c r="J15" s="287"/>
      <c r="K15" s="25"/>
      <c r="L15" s="25"/>
      <c r="M15" s="25"/>
      <c r="N15" s="273"/>
    </row>
    <row r="16" spans="1:14" ht="13" thickBot="1">
      <c r="A16" s="285"/>
      <c r="B16" s="14"/>
      <c r="C16" s="73"/>
      <c r="D16" s="32" t="s">
        <v>609</v>
      </c>
      <c r="E16" s="32" t="s">
        <v>419</v>
      </c>
      <c r="F16" s="32" t="s">
        <v>421</v>
      </c>
      <c r="G16" s="32" t="s">
        <v>424</v>
      </c>
      <c r="H16" s="32" t="s">
        <v>420</v>
      </c>
      <c r="I16" s="32" t="s">
        <v>243</v>
      </c>
      <c r="J16" s="287"/>
      <c r="K16" s="25"/>
      <c r="L16" s="25"/>
      <c r="M16" s="25"/>
      <c r="N16" s="273"/>
    </row>
    <row r="17" spans="1:14" ht="13" thickBot="1">
      <c r="A17" s="285"/>
      <c r="D17" s="1019" t="s">
        <v>241</v>
      </c>
      <c r="E17" s="1020"/>
      <c r="F17" s="1020"/>
      <c r="G17" s="1019" t="s">
        <v>242</v>
      </c>
      <c r="H17" s="1020"/>
      <c r="I17" s="1021"/>
      <c r="J17" s="25"/>
      <c r="N17" s="273"/>
    </row>
    <row r="18" spans="1:14" ht="50">
      <c r="A18" s="285"/>
      <c r="B18" s="289" t="s">
        <v>268</v>
      </c>
      <c r="C18" s="290" t="s">
        <v>269</v>
      </c>
      <c r="D18" s="74" t="s">
        <v>607</v>
      </c>
      <c r="E18" s="74" t="s">
        <v>107</v>
      </c>
      <c r="F18" s="74" t="s">
        <v>108</v>
      </c>
      <c r="G18" s="75" t="s">
        <v>270</v>
      </c>
      <c r="H18" s="75" t="s">
        <v>107</v>
      </c>
      <c r="I18" s="75" t="s">
        <v>108</v>
      </c>
      <c r="J18" s="291" t="s">
        <v>271</v>
      </c>
      <c r="N18" s="273"/>
    </row>
    <row r="19" spans="1:14" ht="8.25" customHeight="1">
      <c r="A19" s="285"/>
      <c r="B19" s="292"/>
      <c r="C19" s="38"/>
      <c r="D19" s="293" t="s">
        <v>609</v>
      </c>
      <c r="E19" s="293" t="s">
        <v>419</v>
      </c>
      <c r="F19" s="293" t="s">
        <v>421</v>
      </c>
      <c r="G19" s="294" t="s">
        <v>424</v>
      </c>
      <c r="H19" s="295" t="s">
        <v>420</v>
      </c>
      <c r="I19" s="296" t="s">
        <v>243</v>
      </c>
      <c r="J19" s="297"/>
      <c r="N19" s="273"/>
    </row>
    <row r="20" spans="1:14" ht="25">
      <c r="A20" s="285"/>
      <c r="B20" s="292" t="s">
        <v>272</v>
      </c>
      <c r="C20" s="298" t="s">
        <v>397</v>
      </c>
      <c r="D20" s="93" t="s">
        <v>400</v>
      </c>
      <c r="E20" s="93" t="s">
        <v>401</v>
      </c>
      <c r="F20" s="93"/>
      <c r="G20" s="93" t="s">
        <v>398</v>
      </c>
      <c r="H20" s="93"/>
      <c r="I20" s="93"/>
      <c r="J20" s="299" t="s">
        <v>43</v>
      </c>
      <c r="K20" s="292"/>
      <c r="N20" s="273"/>
    </row>
    <row r="21" spans="1:14" ht="7.5" customHeight="1">
      <c r="A21" s="285"/>
      <c r="B21" s="292"/>
      <c r="C21" s="38"/>
      <c r="D21" s="6"/>
      <c r="E21" s="6"/>
      <c r="F21" s="6"/>
      <c r="G21" s="300"/>
      <c r="H21" s="6"/>
      <c r="I21" s="301"/>
      <c r="J21" s="6"/>
      <c r="K21" s="292"/>
      <c r="N21" s="273"/>
    </row>
    <row r="22" spans="1:14" ht="25.5" customHeight="1">
      <c r="A22" s="285"/>
      <c r="B22" s="292" t="s">
        <v>273</v>
      </c>
      <c r="C22" s="298" t="s">
        <v>465</v>
      </c>
      <c r="D22" s="93" t="s">
        <v>402</v>
      </c>
      <c r="E22" s="93" t="s">
        <v>403</v>
      </c>
      <c r="F22" s="93"/>
      <c r="G22" s="93" t="s">
        <v>399</v>
      </c>
      <c r="H22" s="93"/>
      <c r="I22" s="93"/>
      <c r="J22" s="299" t="s">
        <v>43</v>
      </c>
      <c r="K22" s="292"/>
      <c r="N22" s="273"/>
    </row>
    <row r="23" spans="1:14" ht="9" customHeight="1">
      <c r="A23" s="285"/>
      <c r="B23" s="76"/>
      <c r="C23" s="90"/>
      <c r="D23" s="91"/>
      <c r="E23" s="6"/>
      <c r="F23" s="302"/>
      <c r="G23" s="303"/>
      <c r="H23" s="6"/>
      <c r="I23" s="301"/>
      <c r="J23" s="297"/>
      <c r="N23" s="273"/>
    </row>
    <row r="24" spans="1:14" ht="13">
      <c r="A24" s="285"/>
      <c r="B24" s="304" t="s">
        <v>274</v>
      </c>
      <c r="C24" s="305"/>
      <c r="D24" s="93" t="str">
        <f>VLOOKUP($C$14,ratings,12,FALSE)</f>
        <v>A+(dcr)</v>
      </c>
      <c r="E24" s="93" t="str">
        <f>VLOOKUP($C$14,ratings,10,FALSE)</f>
        <v>F1</v>
      </c>
      <c r="F24" s="93" t="str">
        <f>VLOOKUP($C$14,ratings,11,FALSE)</f>
        <v>STABLE</v>
      </c>
      <c r="G24" s="93" t="str">
        <f>VLOOKUP($C$14,ratings,2,FALSE)</f>
        <v>A3(cr)</v>
      </c>
      <c r="H24" s="93" t="str">
        <f>VLOOKUP($C$14,ratings,5,FALSE)</f>
        <v>P-1</v>
      </c>
      <c r="I24" s="93" t="str">
        <f>VLOOKUP($C$14,ratings,6,FALSE)</f>
        <v>POS</v>
      </c>
      <c r="J24" s="306"/>
      <c r="N24" s="273"/>
    </row>
    <row r="25" spans="1:14" ht="13.5" thickBot="1">
      <c r="A25" s="285"/>
      <c r="B25" s="307"/>
      <c r="C25" s="308"/>
      <c r="D25" s="77"/>
      <c r="E25" s="77"/>
      <c r="F25" s="77"/>
      <c r="G25" s="77"/>
      <c r="H25" s="77"/>
      <c r="I25" s="77"/>
      <c r="J25" s="309"/>
      <c r="N25" s="273"/>
    </row>
    <row r="26" spans="1:14" ht="13">
      <c r="A26" s="285"/>
      <c r="D26" s="78"/>
      <c r="E26" s="78"/>
      <c r="F26" s="78"/>
      <c r="G26" s="78"/>
      <c r="H26" s="78"/>
      <c r="I26" s="78"/>
      <c r="J26" s="78"/>
      <c r="K26" s="78"/>
      <c r="L26" s="78"/>
      <c r="M26" s="25"/>
      <c r="N26" s="273"/>
    </row>
    <row r="27" spans="1:14" ht="18">
      <c r="A27" s="285"/>
      <c r="B27" s="240" t="s">
        <v>275</v>
      </c>
      <c r="C27" s="240"/>
      <c r="D27" s="72"/>
      <c r="E27" s="275" t="s">
        <v>276</v>
      </c>
      <c r="G27" s="287"/>
      <c r="H27" s="288"/>
      <c r="I27" s="275" t="s">
        <v>277</v>
      </c>
      <c r="J27" s="73"/>
      <c r="K27" s="25"/>
      <c r="L27" s="25"/>
      <c r="M27" s="25"/>
      <c r="N27" s="273"/>
    </row>
    <row r="28" spans="1:14">
      <c r="A28" s="285"/>
      <c r="B28" s="25" t="s">
        <v>278</v>
      </c>
      <c r="C28" s="79" t="s">
        <v>279</v>
      </c>
      <c r="E28" s="280" t="s">
        <v>589</v>
      </c>
      <c r="G28" s="287"/>
      <c r="H28" s="288"/>
      <c r="I28" s="79" t="s">
        <v>280</v>
      </c>
      <c r="K28" s="25"/>
      <c r="L28" s="80" t="str">
        <f>C14</f>
        <v>Banco Santander S.A.</v>
      </c>
      <c r="M28" s="25"/>
      <c r="N28" s="273"/>
    </row>
    <row r="29" spans="1:14" ht="13">
      <c r="A29" s="285"/>
      <c r="B29" s="45" t="s">
        <v>281</v>
      </c>
      <c r="C29" s="310">
        <f>VLOOKUP("Swap_Notional_amount",calcdata_22,2,FALSE)</f>
        <v>515571397.83999991</v>
      </c>
      <c r="E29" s="79" t="s">
        <v>597</v>
      </c>
      <c r="G29" s="311"/>
      <c r="H29" s="312"/>
      <c r="I29" s="79" t="s">
        <v>282</v>
      </c>
      <c r="K29" s="25"/>
      <c r="L29" s="80" t="str">
        <f>C14</f>
        <v>Banco Santander S.A.</v>
      </c>
      <c r="M29" s="25"/>
      <c r="N29" s="273"/>
    </row>
    <row r="30" spans="1:14">
      <c r="A30" s="285"/>
      <c r="B30" s="45" t="s">
        <v>283</v>
      </c>
      <c r="C30" s="81">
        <f>VLOOKUP("Fixed_Rate",calcdata_22,2,FALSE)</f>
        <v>2.12E-2</v>
      </c>
      <c r="E30" s="79" t="s">
        <v>591</v>
      </c>
      <c r="G30" s="25"/>
      <c r="H30" s="33"/>
      <c r="I30" s="33"/>
      <c r="J30" s="25"/>
      <c r="K30" s="25"/>
      <c r="L30" s="25"/>
      <c r="M30" s="25"/>
      <c r="N30" s="273"/>
    </row>
    <row r="31" spans="1:14">
      <c r="A31" s="285"/>
      <c r="B31" s="45" t="s">
        <v>284</v>
      </c>
      <c r="C31" s="81">
        <f>VLOOKUP("Floating_Rate",calcdata_22,2,FALSE)</f>
        <v>1.8919999999999999E-2</v>
      </c>
      <c r="E31" s="79" t="s">
        <v>592</v>
      </c>
      <c r="G31" s="25"/>
      <c r="H31" s="33"/>
      <c r="I31" s="33"/>
      <c r="J31" s="25"/>
      <c r="K31" s="25"/>
      <c r="L31" s="25"/>
      <c r="M31" s="25"/>
      <c r="N31" s="273"/>
    </row>
    <row r="32" spans="1:14">
      <c r="A32" s="285"/>
      <c r="B32" s="45" t="s">
        <v>285</v>
      </c>
      <c r="C32" s="921">
        <f>VLOOKUP("Net_Swap_Payments",calcdata_22,2,FALSE)</f>
        <v>91428</v>
      </c>
      <c r="E32" s="79" t="s">
        <v>593</v>
      </c>
      <c r="G32" s="25"/>
      <c r="H32" s="33"/>
      <c r="I32" s="33"/>
      <c r="J32" s="25"/>
      <c r="K32" s="25"/>
      <c r="L32" s="25"/>
      <c r="M32" s="25"/>
      <c r="N32" s="273"/>
    </row>
    <row r="33" spans="1:14">
      <c r="A33" s="285"/>
      <c r="B33" s="45" t="s">
        <v>286</v>
      </c>
      <c r="C33" s="921">
        <f>VLOOKUP("Swap_Notional_amount_next",calcdata_22,2,FALSE)</f>
        <v>498839454.63999987</v>
      </c>
      <c r="D33" s="25"/>
      <c r="E33" s="79" t="s">
        <v>598</v>
      </c>
      <c r="G33" s="25"/>
      <c r="H33" s="25"/>
      <c r="I33" s="25"/>
      <c r="J33" s="25"/>
      <c r="K33" s="25"/>
      <c r="L33" s="25"/>
      <c r="M33" s="25"/>
      <c r="N33" s="273"/>
    </row>
    <row r="34" spans="1:14">
      <c r="A34" s="285"/>
      <c r="B34" s="14"/>
      <c r="E34" s="79" t="s">
        <v>261</v>
      </c>
      <c r="F34" s="25"/>
      <c r="G34" s="25"/>
      <c r="H34" s="25"/>
      <c r="I34" s="25"/>
      <c r="J34" s="25"/>
      <c r="K34" s="25"/>
      <c r="L34" s="25"/>
      <c r="M34" s="25"/>
      <c r="N34" s="273"/>
    </row>
    <row r="35" spans="1:14" ht="18">
      <c r="A35" s="285"/>
      <c r="B35" s="275" t="s">
        <v>287</v>
      </c>
      <c r="C35" s="313"/>
      <c r="E35" s="25" t="s">
        <v>599</v>
      </c>
      <c r="F35" s="25"/>
      <c r="G35" s="25"/>
      <c r="H35" s="25"/>
      <c r="I35" s="25"/>
      <c r="J35" s="25"/>
      <c r="K35" s="25"/>
      <c r="L35" s="25"/>
      <c r="M35" s="25"/>
      <c r="N35" s="273"/>
    </row>
    <row r="36" spans="1:14">
      <c r="A36" s="285"/>
      <c r="B36" s="238" t="s">
        <v>288</v>
      </c>
      <c r="C36" s="310">
        <v>0</v>
      </c>
      <c r="E36" s="25" t="s">
        <v>600</v>
      </c>
      <c r="F36" s="61"/>
      <c r="G36" s="61"/>
      <c r="H36" s="61"/>
      <c r="I36" s="61"/>
      <c r="J36" s="61"/>
      <c r="K36" s="61"/>
      <c r="L36" s="61"/>
      <c r="M36" s="25"/>
      <c r="N36" s="273"/>
    </row>
    <row r="37" spans="1:14">
      <c r="A37" s="285"/>
      <c r="B37" s="33" t="s">
        <v>79</v>
      </c>
      <c r="C37" s="310">
        <v>0</v>
      </c>
      <c r="F37" s="25"/>
      <c r="G37" s="25"/>
      <c r="H37" s="25"/>
      <c r="I37" s="25"/>
      <c r="J37" s="25"/>
      <c r="K37" s="25"/>
      <c r="L37" s="25"/>
      <c r="M37" s="25"/>
      <c r="N37" s="273"/>
    </row>
    <row r="38" spans="1:14">
      <c r="A38" s="285"/>
      <c r="B38" s="33" t="s">
        <v>80</v>
      </c>
      <c r="C38" s="310">
        <v>0</v>
      </c>
      <c r="D38" s="13"/>
      <c r="E38" s="197"/>
      <c r="F38" s="13"/>
      <c r="G38" s="198"/>
      <c r="H38" s="199"/>
      <c r="I38" s="198"/>
      <c r="J38" s="279"/>
      <c r="K38" s="25"/>
      <c r="L38" s="25"/>
      <c r="M38" s="25"/>
      <c r="N38" s="314"/>
    </row>
    <row r="39" spans="1:14" s="25" customFormat="1">
      <c r="A39" s="285"/>
      <c r="B39" s="238" t="s">
        <v>14</v>
      </c>
      <c r="C39" s="310">
        <v>0</v>
      </c>
      <c r="D39" s="6"/>
      <c r="E39" s="6"/>
      <c r="F39" s="6"/>
      <c r="G39" s="198"/>
      <c r="H39" s="199"/>
      <c r="I39" s="198"/>
      <c r="J39" s="279"/>
      <c r="N39" s="314"/>
    </row>
    <row r="40" spans="1:14" s="25" customFormat="1">
      <c r="A40" s="285"/>
      <c r="B40" s="14"/>
      <c r="C40" s="14"/>
      <c r="D40" s="13"/>
      <c r="E40" s="197"/>
      <c r="F40" s="13"/>
      <c r="G40" s="198"/>
      <c r="H40" s="199"/>
      <c r="I40" s="198"/>
      <c r="J40" s="279"/>
      <c r="N40" s="314"/>
    </row>
    <row r="41" spans="1:14" s="33" customFormat="1" ht="15" customHeight="1">
      <c r="A41" s="315"/>
      <c r="B41" s="40" t="str">
        <f>VLOOKUP("RatingDate",ratings,17,0)</f>
        <v>Ratings as of 30.06.2025, data source: Bloomberg</v>
      </c>
      <c r="C41" s="29"/>
      <c r="D41" s="1022" t="s">
        <v>608</v>
      </c>
      <c r="E41" s="1023"/>
      <c r="F41" s="1023"/>
      <c r="G41" s="1023"/>
      <c r="H41" s="1023"/>
      <c r="I41" s="316"/>
      <c r="J41" s="317"/>
      <c r="K41" s="318"/>
      <c r="L41" s="318"/>
      <c r="M41" s="318"/>
      <c r="N41" s="319"/>
    </row>
    <row r="42" spans="1:14" s="33" customFormat="1">
      <c r="B42" s="14"/>
      <c r="C42" s="14"/>
      <c r="D42" s="13"/>
      <c r="E42" s="197"/>
      <c r="F42" s="13"/>
      <c r="G42" s="198"/>
      <c r="H42" s="199"/>
      <c r="I42" s="198"/>
      <c r="J42" s="270"/>
    </row>
    <row r="43" spans="1:14" s="25" customFormat="1">
      <c r="B43" s="14"/>
      <c r="C43" s="14"/>
      <c r="D43" s="13"/>
      <c r="E43" s="197"/>
      <c r="F43" s="13"/>
      <c r="G43" s="198"/>
      <c r="H43" s="199"/>
      <c r="I43" s="198"/>
      <c r="J43" s="279"/>
    </row>
    <row r="44" spans="1:14" s="25" customFormat="1">
      <c r="B44" s="14"/>
      <c r="C44" s="14"/>
      <c r="D44" s="13"/>
      <c r="E44" s="197"/>
      <c r="F44" s="13"/>
      <c r="G44" s="198"/>
      <c r="H44" s="199"/>
      <c r="I44" s="198"/>
      <c r="J44" s="279"/>
    </row>
    <row r="45" spans="1:14" s="25" customFormat="1">
      <c r="B45" s="14"/>
      <c r="C45" s="14"/>
      <c r="D45" s="13"/>
      <c r="E45" s="197"/>
      <c r="F45" s="13"/>
      <c r="G45" s="198"/>
      <c r="H45" s="199"/>
      <c r="I45" s="198"/>
      <c r="J45" s="279"/>
    </row>
    <row r="46" spans="1:14" s="25" customFormat="1">
      <c r="B46" s="14"/>
      <c r="C46" s="14"/>
      <c r="D46" s="13"/>
      <c r="E46" s="197"/>
      <c r="F46" s="13"/>
      <c r="G46" s="198"/>
      <c r="H46" s="199"/>
      <c r="I46" s="198"/>
      <c r="J46" s="279"/>
    </row>
    <row r="47" spans="1:14" s="25" customFormat="1">
      <c r="B47" s="14"/>
      <c r="C47" s="14"/>
      <c r="D47" s="13"/>
      <c r="E47" s="197"/>
      <c r="F47" s="13"/>
      <c r="G47" s="198"/>
      <c r="H47" s="199"/>
      <c r="I47" s="198"/>
      <c r="J47" s="279"/>
    </row>
    <row r="48" spans="1:14" s="25" customFormat="1">
      <c r="B48" s="14"/>
      <c r="C48" s="14"/>
      <c r="D48" s="13"/>
      <c r="E48" s="197"/>
      <c r="F48" s="13"/>
      <c r="G48" s="198"/>
      <c r="H48" s="199"/>
      <c r="I48" s="198"/>
      <c r="J48" s="279"/>
    </row>
    <row r="49" spans="2:10" s="25" customFormat="1">
      <c r="B49" s="14"/>
      <c r="C49" s="14"/>
      <c r="D49" s="13"/>
      <c r="E49" s="197"/>
      <c r="F49" s="13"/>
      <c r="G49" s="198"/>
      <c r="H49" s="199"/>
      <c r="I49" s="198"/>
      <c r="J49" s="279"/>
    </row>
    <row r="50" spans="2:10" s="25" customFormat="1">
      <c r="B50" s="14"/>
      <c r="C50" s="14"/>
      <c r="D50" s="13"/>
      <c r="E50" s="197"/>
      <c r="F50" s="13"/>
      <c r="G50" s="198"/>
      <c r="H50" s="199"/>
      <c r="I50" s="198"/>
      <c r="J50" s="279"/>
    </row>
    <row r="51" spans="2:10" s="25" customFormat="1" ht="18">
      <c r="B51" s="14"/>
      <c r="C51" s="14"/>
      <c r="D51" s="13"/>
      <c r="E51" s="240"/>
      <c r="F51" s="13"/>
      <c r="G51" s="198"/>
      <c r="H51" s="199"/>
      <c r="I51" s="198"/>
      <c r="J51" s="279"/>
    </row>
    <row r="52" spans="2:10" s="25" customFormat="1">
      <c r="B52" s="14"/>
      <c r="C52" s="14"/>
      <c r="D52" s="13"/>
      <c r="E52" s="197"/>
      <c r="F52" s="13"/>
      <c r="G52" s="198"/>
      <c r="H52" s="199"/>
      <c r="I52" s="198"/>
      <c r="J52" s="279"/>
    </row>
    <row r="53" spans="2:10" s="25" customFormat="1">
      <c r="B53" s="14"/>
      <c r="C53" s="14"/>
      <c r="D53" s="13"/>
      <c r="E53" s="197"/>
      <c r="F53" s="13"/>
      <c r="G53" s="198"/>
      <c r="H53" s="199"/>
      <c r="I53" s="198"/>
      <c r="J53" s="279"/>
    </row>
    <row r="54" spans="2:10" s="25" customFormat="1">
      <c r="B54" s="14"/>
      <c r="C54" s="14"/>
      <c r="D54" s="13"/>
      <c r="E54" s="197"/>
      <c r="F54" s="13"/>
      <c r="G54" s="198"/>
      <c r="H54" s="199"/>
      <c r="I54" s="198"/>
      <c r="J54" s="279"/>
    </row>
    <row r="55" spans="2:10" s="25" customFormat="1">
      <c r="B55" s="14"/>
      <c r="C55" s="14"/>
      <c r="D55" s="13"/>
      <c r="E55" s="197"/>
      <c r="F55" s="13"/>
      <c r="G55" s="198"/>
      <c r="H55" s="199"/>
      <c r="I55" s="198"/>
      <c r="J55" s="279"/>
    </row>
    <row r="56" spans="2:10" s="25" customFormat="1">
      <c r="B56" s="14"/>
      <c r="C56" s="14"/>
      <c r="D56" s="13"/>
      <c r="E56" s="197"/>
      <c r="F56" s="13"/>
      <c r="G56" s="198"/>
      <c r="H56" s="199"/>
      <c r="I56" s="198"/>
      <c r="J56" s="279"/>
    </row>
    <row r="57" spans="2:10" s="25" customFormat="1">
      <c r="B57" s="14"/>
      <c r="C57" s="14"/>
      <c r="D57" s="13"/>
      <c r="E57" s="197"/>
      <c r="F57" s="13"/>
      <c r="G57" s="198"/>
      <c r="H57" s="199"/>
      <c r="I57" s="198"/>
      <c r="J57" s="279"/>
    </row>
    <row r="58" spans="2:10" s="25" customFormat="1">
      <c r="B58" s="14"/>
      <c r="C58" s="14"/>
      <c r="D58" s="13"/>
      <c r="E58" s="197"/>
      <c r="F58" s="13"/>
      <c r="G58" s="198"/>
      <c r="H58" s="199"/>
      <c r="I58" s="198"/>
      <c r="J58" s="279"/>
    </row>
    <row r="59" spans="2:10" s="25" customFormat="1">
      <c r="B59" s="14"/>
      <c r="C59" s="14"/>
      <c r="D59" s="13"/>
      <c r="E59" s="197"/>
      <c r="F59" s="13"/>
      <c r="G59" s="198"/>
      <c r="H59" s="199"/>
      <c r="I59" s="198"/>
      <c r="J59" s="279"/>
    </row>
    <row r="60" spans="2:10" s="25" customFormat="1">
      <c r="B60" s="14"/>
      <c r="C60" s="14"/>
      <c r="D60" s="13"/>
      <c r="E60" s="197"/>
      <c r="F60" s="13"/>
      <c r="G60" s="198"/>
      <c r="H60" s="199"/>
      <c r="I60" s="198"/>
      <c r="J60" s="279"/>
    </row>
    <row r="61" spans="2:10" s="25" customFormat="1">
      <c r="B61" s="14"/>
      <c r="C61" s="14"/>
      <c r="D61" s="13"/>
      <c r="E61" s="197"/>
      <c r="F61" s="13"/>
      <c r="G61" s="198"/>
      <c r="H61" s="199"/>
      <c r="I61" s="198"/>
      <c r="J61" s="279"/>
    </row>
    <row r="62" spans="2:10" s="25" customFormat="1">
      <c r="B62" s="14"/>
      <c r="C62" s="14"/>
      <c r="D62" s="13"/>
      <c r="E62" s="197"/>
      <c r="F62" s="13"/>
      <c r="G62" s="198"/>
      <c r="H62" s="199"/>
      <c r="I62" s="198"/>
      <c r="J62" s="279"/>
    </row>
    <row r="63" spans="2:10" s="25" customFormat="1">
      <c r="B63" s="14"/>
      <c r="C63" s="14"/>
      <c r="D63" s="13"/>
      <c r="E63" s="197"/>
      <c r="F63" s="13"/>
      <c r="G63" s="198"/>
      <c r="H63" s="199"/>
      <c r="I63" s="198"/>
      <c r="J63" s="279"/>
    </row>
    <row r="64" spans="2:10" s="25" customFormat="1">
      <c r="B64" s="14"/>
      <c r="C64" s="14"/>
      <c r="D64" s="13"/>
      <c r="E64" s="197"/>
      <c r="F64" s="13"/>
      <c r="G64" s="198"/>
      <c r="H64" s="199"/>
      <c r="I64" s="198"/>
      <c r="J64" s="279"/>
    </row>
    <row r="65" spans="2:10" s="25" customFormat="1">
      <c r="B65" s="14"/>
      <c r="C65" s="14"/>
      <c r="D65" s="13"/>
      <c r="E65" s="197"/>
      <c r="F65" s="13"/>
      <c r="G65" s="198"/>
      <c r="H65" s="199"/>
      <c r="I65" s="198"/>
      <c r="J65" s="279"/>
    </row>
    <row r="66" spans="2:10" s="25" customFormat="1">
      <c r="B66" s="14"/>
      <c r="C66" s="14"/>
      <c r="D66" s="13"/>
      <c r="E66" s="197"/>
      <c r="F66" s="13"/>
      <c r="G66" s="198"/>
      <c r="H66" s="199"/>
      <c r="I66" s="198"/>
      <c r="J66" s="279"/>
    </row>
    <row r="67" spans="2:10" s="25" customFormat="1">
      <c r="B67" s="14"/>
      <c r="C67" s="14"/>
      <c r="D67" s="13"/>
      <c r="E67" s="197"/>
      <c r="F67" s="13"/>
      <c r="G67" s="198"/>
      <c r="H67" s="199"/>
      <c r="I67" s="198"/>
      <c r="J67" s="279"/>
    </row>
    <row r="68" spans="2:10" s="25" customFormat="1">
      <c r="B68" s="14"/>
      <c r="C68" s="14"/>
      <c r="D68" s="13"/>
      <c r="E68" s="197"/>
      <c r="F68" s="13"/>
      <c r="G68" s="198"/>
      <c r="H68" s="199"/>
      <c r="I68" s="198"/>
      <c r="J68" s="279"/>
    </row>
    <row r="69" spans="2:10" s="25" customFormat="1">
      <c r="B69" s="14"/>
      <c r="C69" s="14"/>
      <c r="D69" s="13"/>
      <c r="E69" s="197"/>
      <c r="F69" s="13"/>
      <c r="G69" s="198"/>
      <c r="H69" s="199"/>
      <c r="I69" s="198"/>
      <c r="J69" s="279"/>
    </row>
    <row r="70" spans="2:10" s="25" customFormat="1">
      <c r="B70" s="14"/>
      <c r="C70" s="14"/>
      <c r="D70" s="13"/>
      <c r="E70" s="197"/>
      <c r="F70" s="13"/>
      <c r="G70" s="198"/>
      <c r="H70" s="199"/>
      <c r="I70" s="198"/>
      <c r="J70" s="279"/>
    </row>
    <row r="71" spans="2:10" s="25" customFormat="1">
      <c r="B71" s="14"/>
      <c r="C71" s="14"/>
      <c r="D71" s="13"/>
      <c r="E71" s="320"/>
      <c r="F71" s="321"/>
      <c r="G71" s="232"/>
      <c r="H71" s="322"/>
      <c r="I71" s="232"/>
      <c r="J71" s="279"/>
    </row>
    <row r="72" spans="2:10" s="25" customFormat="1">
      <c r="B72" s="14"/>
      <c r="C72" s="14"/>
      <c r="D72" s="13"/>
      <c r="E72" s="320"/>
      <c r="F72" s="320"/>
      <c r="G72" s="320"/>
      <c r="H72" s="320"/>
      <c r="I72" s="320"/>
      <c r="J72" s="279"/>
    </row>
    <row r="73" spans="2:10" s="25" customFormat="1">
      <c r="B73" s="14"/>
      <c r="C73" s="14"/>
      <c r="D73" s="13"/>
      <c r="E73" s="320"/>
      <c r="F73" s="320"/>
      <c r="G73" s="320"/>
      <c r="H73" s="320"/>
      <c r="I73" s="320"/>
      <c r="J73" s="279"/>
    </row>
    <row r="74" spans="2:10" s="25" customFormat="1">
      <c r="B74" s="14"/>
      <c r="C74" s="14"/>
      <c r="D74" s="13"/>
      <c r="E74" s="204"/>
      <c r="F74" s="233"/>
      <c r="G74" s="320"/>
      <c r="H74" s="320"/>
      <c r="I74" s="320"/>
      <c r="J74" s="279"/>
    </row>
    <row r="75" spans="2:10" s="25" customFormat="1">
      <c r="B75" s="14"/>
      <c r="C75" s="14"/>
      <c r="D75" s="13"/>
      <c r="E75" s="321"/>
      <c r="F75" s="233"/>
      <c r="G75" s="320"/>
      <c r="H75" s="320"/>
      <c r="I75" s="320"/>
      <c r="J75" s="279"/>
    </row>
    <row r="76" spans="2:10" s="25" customFormat="1">
      <c r="B76" s="14"/>
      <c r="C76" s="14"/>
      <c r="D76" s="13"/>
      <c r="E76" s="320"/>
      <c r="F76" s="233"/>
      <c r="G76" s="320"/>
      <c r="H76" s="320"/>
      <c r="I76" s="320"/>
      <c r="J76" s="279"/>
    </row>
    <row r="77" spans="2:10" s="25" customFormat="1" ht="14">
      <c r="B77" s="14"/>
      <c r="C77" s="320"/>
      <c r="D77" s="321"/>
      <c r="E77" s="323"/>
      <c r="F77" s="323"/>
      <c r="G77" s="323"/>
      <c r="H77" s="323"/>
      <c r="I77" s="323"/>
      <c r="J77" s="279"/>
    </row>
    <row r="78" spans="2:10" s="25" customFormat="1" ht="14">
      <c r="B78" s="320"/>
      <c r="C78" s="33"/>
      <c r="D78" s="33"/>
      <c r="E78" s="323"/>
      <c r="F78" s="323"/>
      <c r="G78" s="323"/>
      <c r="H78" s="323"/>
      <c r="I78" s="323"/>
      <c r="J78" s="279"/>
    </row>
    <row r="79" spans="2:10" s="25" customFormat="1" ht="14">
      <c r="B79" s="33"/>
      <c r="C79" s="33"/>
      <c r="D79" s="33"/>
      <c r="E79" s="207"/>
      <c r="F79" s="234"/>
      <c r="G79" s="323"/>
      <c r="H79" s="323"/>
      <c r="I79" s="323"/>
      <c r="J79" s="279"/>
    </row>
    <row r="80" spans="2:10" s="25" customFormat="1" ht="14">
      <c r="B80" s="33"/>
      <c r="C80" s="204"/>
      <c r="D80" s="233"/>
      <c r="E80" s="324"/>
      <c r="F80" s="234"/>
      <c r="G80" s="323"/>
      <c r="H80" s="323"/>
      <c r="I80" s="323"/>
      <c r="J80" s="279"/>
    </row>
    <row r="81" spans="2:10" s="25" customFormat="1" ht="14">
      <c r="B81" s="204"/>
      <c r="C81" s="325"/>
      <c r="D81" s="233"/>
      <c r="E81" s="323"/>
      <c r="F81" s="234"/>
      <c r="G81" s="323"/>
      <c r="H81" s="323"/>
      <c r="I81" s="323"/>
      <c r="J81" s="279"/>
    </row>
    <row r="82" spans="2:10" s="25" customFormat="1">
      <c r="B82" s="325"/>
      <c r="D82" s="233"/>
      <c r="J82" s="279"/>
    </row>
    <row r="83" spans="2:10" s="25" customFormat="1">
      <c r="J83" s="279"/>
    </row>
    <row r="84" spans="2:10" s="25" customFormat="1">
      <c r="J84" s="279"/>
    </row>
    <row r="85" spans="2:10" s="25" customFormat="1">
      <c r="J85" s="279"/>
    </row>
    <row r="86" spans="2:10" s="25" customFormat="1">
      <c r="J86" s="279"/>
    </row>
    <row r="87" spans="2:10" s="25" customFormat="1">
      <c r="J87" s="279"/>
    </row>
    <row r="88" spans="2:10" s="25" customFormat="1">
      <c r="J88" s="279"/>
    </row>
    <row r="89" spans="2:10" s="25" customFormat="1">
      <c r="J89" s="279"/>
    </row>
    <row r="90" spans="2:10" s="25" customFormat="1">
      <c r="J90" s="279"/>
    </row>
    <row r="91" spans="2:10" s="25" customFormat="1">
      <c r="J91" s="279"/>
    </row>
    <row r="92" spans="2:10" s="25" customFormat="1">
      <c r="J92" s="279"/>
    </row>
    <row r="93" spans="2:10" s="25" customFormat="1">
      <c r="J93" s="279"/>
    </row>
    <row r="94" spans="2:10" s="25" customFormat="1">
      <c r="J94" s="279"/>
    </row>
    <row r="95" spans="2:10" s="25" customFormat="1">
      <c r="J95" s="279"/>
    </row>
    <row r="96" spans="2:10" s="25" customFormat="1">
      <c r="J96" s="279"/>
    </row>
    <row r="97" spans="10:10" s="25" customFormat="1">
      <c r="J97" s="279"/>
    </row>
    <row r="98" spans="10:10" s="25" customFormat="1">
      <c r="J98" s="279"/>
    </row>
    <row r="99" spans="10:10" s="25" customFormat="1">
      <c r="J99" s="279"/>
    </row>
    <row r="100" spans="10:10" s="25" customFormat="1">
      <c r="J100" s="279"/>
    </row>
    <row r="101" spans="10:10" s="25" customFormat="1">
      <c r="J101" s="279"/>
    </row>
    <row r="102" spans="10:10" s="25" customFormat="1">
      <c r="J102" s="279"/>
    </row>
    <row r="103" spans="10:10" s="25" customFormat="1">
      <c r="J103" s="279"/>
    </row>
    <row r="104" spans="10:10" s="25" customFormat="1">
      <c r="J104" s="279"/>
    </row>
    <row r="105" spans="10:10" s="25" customFormat="1">
      <c r="J105" s="279"/>
    </row>
    <row r="106" spans="10:10" s="25" customFormat="1">
      <c r="J106" s="279"/>
    </row>
    <row r="107" spans="10:10" s="25" customFormat="1">
      <c r="J107" s="279"/>
    </row>
    <row r="108" spans="10:10" s="25" customFormat="1">
      <c r="J108" s="279"/>
    </row>
    <row r="109" spans="10:10" s="25" customFormat="1">
      <c r="J109" s="279"/>
    </row>
    <row r="110" spans="10:10" s="25" customFormat="1">
      <c r="J110" s="279"/>
    </row>
    <row r="111" spans="10:10" s="25" customFormat="1">
      <c r="J111" s="279"/>
    </row>
    <row r="112" spans="10:10" s="25" customFormat="1">
      <c r="J112" s="279"/>
    </row>
    <row r="113" spans="10:10" s="25" customFormat="1">
      <c r="J113" s="279"/>
    </row>
    <row r="114" spans="10:10" s="25" customFormat="1">
      <c r="J114" s="279"/>
    </row>
    <row r="115" spans="10:10" s="25" customFormat="1">
      <c r="J115" s="279"/>
    </row>
    <row r="116" spans="10:10" s="25" customFormat="1">
      <c r="J116" s="279"/>
    </row>
    <row r="117" spans="10:10" s="25" customFormat="1">
      <c r="J117" s="279"/>
    </row>
    <row r="118" spans="10:10" s="25" customFormat="1">
      <c r="J118" s="279"/>
    </row>
    <row r="119" spans="10:10" s="25" customFormat="1">
      <c r="J119" s="279"/>
    </row>
    <row r="120" spans="10:10" s="25" customFormat="1">
      <c r="J120" s="279"/>
    </row>
    <row r="121" spans="10:10" s="25" customFormat="1">
      <c r="J121" s="279"/>
    </row>
    <row r="122" spans="10:10" s="25" customFormat="1">
      <c r="J122" s="279"/>
    </row>
    <row r="123" spans="10:10" s="25" customFormat="1">
      <c r="J123" s="279"/>
    </row>
    <row r="124" spans="10:10" s="25" customFormat="1">
      <c r="J124" s="279"/>
    </row>
    <row r="125" spans="10:10" s="25" customFormat="1">
      <c r="J125" s="279"/>
    </row>
    <row r="126" spans="10:10" s="25" customFormat="1">
      <c r="J126" s="279"/>
    </row>
    <row r="127" spans="10:10" s="25" customFormat="1">
      <c r="J127" s="279"/>
    </row>
    <row r="128" spans="10:10" s="25" customFormat="1">
      <c r="J128" s="279"/>
    </row>
    <row r="129" spans="10:10" s="25" customFormat="1">
      <c r="J129" s="279"/>
    </row>
    <row r="130" spans="10:10" s="25" customFormat="1">
      <c r="J130" s="279"/>
    </row>
    <row r="131" spans="10:10" s="25" customFormat="1">
      <c r="J131" s="279"/>
    </row>
    <row r="132" spans="10:10" s="25" customFormat="1">
      <c r="J132" s="279"/>
    </row>
    <row r="133" spans="10:10" s="25" customFormat="1">
      <c r="J133" s="279"/>
    </row>
    <row r="134" spans="10:10" s="25" customFormat="1">
      <c r="J134" s="279"/>
    </row>
    <row r="135" spans="10:10" s="25" customFormat="1">
      <c r="J135" s="279"/>
    </row>
    <row r="136" spans="10:10" s="25" customFormat="1">
      <c r="J136" s="279"/>
    </row>
    <row r="137" spans="10:10" s="25" customFormat="1">
      <c r="J137" s="279"/>
    </row>
    <row r="138" spans="10:10" s="25" customFormat="1">
      <c r="J138" s="279"/>
    </row>
    <row r="139" spans="10:10" s="25" customFormat="1">
      <c r="J139" s="279"/>
    </row>
    <row r="140" spans="10:10" s="25" customFormat="1">
      <c r="J140" s="279"/>
    </row>
    <row r="141" spans="10:10" s="25" customFormat="1">
      <c r="J141" s="279"/>
    </row>
    <row r="142" spans="10:10" s="25" customFormat="1">
      <c r="J142" s="279"/>
    </row>
    <row r="143" spans="10:10" s="25" customFormat="1">
      <c r="J143" s="279"/>
    </row>
    <row r="144" spans="10:10" s="25" customFormat="1">
      <c r="J144" s="279"/>
    </row>
    <row r="145" spans="10:10" s="25" customFormat="1">
      <c r="J145" s="279"/>
    </row>
    <row r="146" spans="10:10" s="25" customFormat="1">
      <c r="J146" s="279"/>
    </row>
    <row r="147" spans="10:10" s="25" customFormat="1">
      <c r="J147" s="279"/>
    </row>
    <row r="148" spans="10:10" s="25" customFormat="1">
      <c r="J148" s="279"/>
    </row>
    <row r="149" spans="10:10" s="25" customFormat="1">
      <c r="J149" s="279"/>
    </row>
    <row r="150" spans="10:10" s="25" customFormat="1">
      <c r="J150" s="279"/>
    </row>
    <row r="151" spans="10:10" s="25" customFormat="1">
      <c r="J151" s="279"/>
    </row>
    <row r="152" spans="10:10" s="25" customFormat="1">
      <c r="J152" s="279"/>
    </row>
    <row r="153" spans="10:10" s="25" customFormat="1">
      <c r="J153" s="279"/>
    </row>
    <row r="154" spans="10:10" s="25" customFormat="1">
      <c r="J154" s="279"/>
    </row>
    <row r="155" spans="10:10" s="25" customFormat="1">
      <c r="J155" s="279"/>
    </row>
    <row r="156" spans="10:10" s="25" customFormat="1">
      <c r="J156" s="279"/>
    </row>
    <row r="157" spans="10:10" s="25" customFormat="1">
      <c r="J157" s="279"/>
    </row>
    <row r="158" spans="10:10" s="25" customFormat="1">
      <c r="J158" s="279"/>
    </row>
    <row r="159" spans="10:10" s="25" customFormat="1">
      <c r="J159" s="279"/>
    </row>
    <row r="160" spans="10:10" s="25" customFormat="1">
      <c r="J160" s="279"/>
    </row>
    <row r="161" spans="10:10" s="25" customFormat="1">
      <c r="J161" s="279"/>
    </row>
    <row r="162" spans="10:10" s="25" customFormat="1">
      <c r="J162" s="279"/>
    </row>
    <row r="163" spans="10:10" s="25" customFormat="1">
      <c r="J163" s="279"/>
    </row>
    <row r="164" spans="10:10" s="25" customFormat="1">
      <c r="J164" s="279"/>
    </row>
    <row r="165" spans="10:10" s="25" customFormat="1">
      <c r="J165" s="279"/>
    </row>
    <row r="166" spans="10:10" s="25" customFormat="1">
      <c r="J166" s="279"/>
    </row>
    <row r="167" spans="10:10" s="25" customFormat="1">
      <c r="J167" s="279"/>
    </row>
    <row r="168" spans="10:10" s="25" customFormat="1">
      <c r="J168" s="279"/>
    </row>
    <row r="169" spans="10:10" s="25" customFormat="1">
      <c r="J169" s="279"/>
    </row>
    <row r="170" spans="10:10" s="25" customFormat="1">
      <c r="J170" s="279"/>
    </row>
    <row r="171" spans="10:10" s="25" customFormat="1">
      <c r="J171" s="279"/>
    </row>
    <row r="172" spans="10:10" s="25" customFormat="1">
      <c r="J172" s="279"/>
    </row>
    <row r="173" spans="10:10" s="25" customFormat="1">
      <c r="J173" s="279"/>
    </row>
    <row r="174" spans="10:10" s="25" customFormat="1">
      <c r="J174" s="279"/>
    </row>
    <row r="175" spans="10:10" s="25" customFormat="1">
      <c r="J175" s="279"/>
    </row>
    <row r="176" spans="10:10" s="25" customFormat="1">
      <c r="J176" s="279"/>
    </row>
    <row r="177" spans="10:10" s="25" customFormat="1">
      <c r="J177" s="279"/>
    </row>
    <row r="178" spans="10:10" s="25" customFormat="1">
      <c r="J178" s="279"/>
    </row>
    <row r="179" spans="10:10" s="25" customFormat="1">
      <c r="J179" s="279"/>
    </row>
    <row r="180" spans="10:10" s="25" customFormat="1">
      <c r="J180" s="279"/>
    </row>
    <row r="181" spans="10:10" s="25" customFormat="1">
      <c r="J181" s="279"/>
    </row>
    <row r="182" spans="10:10" s="25" customFormat="1">
      <c r="J182" s="279"/>
    </row>
    <row r="183" spans="10:10" s="25" customFormat="1">
      <c r="J183" s="279"/>
    </row>
    <row r="184" spans="10:10" s="25" customFormat="1">
      <c r="J184" s="279"/>
    </row>
    <row r="185" spans="10:10" s="25" customFormat="1">
      <c r="J185" s="279"/>
    </row>
    <row r="186" spans="10:10" s="25" customFormat="1">
      <c r="J186" s="279"/>
    </row>
    <row r="187" spans="10:10" s="25" customFormat="1">
      <c r="J187" s="279"/>
    </row>
    <row r="188" spans="10:10" s="25" customFormat="1">
      <c r="J188" s="279"/>
    </row>
    <row r="189" spans="10:10" s="25" customFormat="1">
      <c r="J189" s="279"/>
    </row>
    <row r="190" spans="10:10" s="25" customFormat="1">
      <c r="J190" s="279"/>
    </row>
    <row r="191" spans="10:10" s="25" customFormat="1">
      <c r="J191" s="279"/>
    </row>
    <row r="192" spans="10:10" s="25" customFormat="1">
      <c r="J192" s="279"/>
    </row>
    <row r="193" spans="10:10" s="25" customFormat="1">
      <c r="J193" s="279"/>
    </row>
    <row r="194" spans="10:10" s="25" customFormat="1">
      <c r="J194" s="279"/>
    </row>
    <row r="195" spans="10:10" s="25" customFormat="1">
      <c r="J195" s="279"/>
    </row>
    <row r="196" spans="10:10" s="25" customFormat="1">
      <c r="J196" s="279"/>
    </row>
    <row r="197" spans="10:10" s="25" customFormat="1">
      <c r="J197" s="279"/>
    </row>
    <row r="198" spans="10:10" s="25" customFormat="1">
      <c r="J198" s="279"/>
    </row>
    <row r="199" spans="10:10" s="25" customFormat="1">
      <c r="J199" s="279"/>
    </row>
    <row r="200" spans="10:10" s="25" customFormat="1">
      <c r="J200" s="279"/>
    </row>
    <row r="201" spans="10:10" s="25" customFormat="1">
      <c r="J201" s="279"/>
    </row>
    <row r="202" spans="10:10" s="25" customFormat="1">
      <c r="J202" s="279"/>
    </row>
    <row r="203" spans="10:10" s="25" customFormat="1">
      <c r="J203" s="279"/>
    </row>
    <row r="204" spans="10:10" s="25" customFormat="1">
      <c r="J204" s="279"/>
    </row>
    <row r="205" spans="10:10" s="25" customFormat="1">
      <c r="J205" s="279"/>
    </row>
    <row r="206" spans="10:10" s="25" customFormat="1">
      <c r="J206" s="279"/>
    </row>
    <row r="207" spans="10:10" s="25" customFormat="1">
      <c r="J207" s="279"/>
    </row>
    <row r="208" spans="10:10" s="25" customFormat="1">
      <c r="J208" s="279"/>
    </row>
    <row r="209" spans="10:10" s="25" customFormat="1">
      <c r="J209" s="279"/>
    </row>
    <row r="210" spans="10:10" s="25" customFormat="1">
      <c r="J210" s="279"/>
    </row>
    <row r="211" spans="10:10" s="25" customFormat="1">
      <c r="J211" s="279"/>
    </row>
    <row r="212" spans="10:10" s="25" customFormat="1">
      <c r="J212" s="279"/>
    </row>
    <row r="213" spans="10:10" s="25" customFormat="1">
      <c r="J213" s="279"/>
    </row>
    <row r="214" spans="10:10" s="25" customFormat="1">
      <c r="J214" s="279"/>
    </row>
    <row r="215" spans="10:10" s="25" customFormat="1">
      <c r="J215" s="279"/>
    </row>
    <row r="216" spans="10:10" s="25" customFormat="1">
      <c r="J216" s="279"/>
    </row>
    <row r="217" spans="10:10" s="25" customFormat="1">
      <c r="J217" s="279"/>
    </row>
    <row r="218" spans="10:10" s="25" customFormat="1">
      <c r="J218" s="279"/>
    </row>
    <row r="219" spans="10:10" s="25" customFormat="1">
      <c r="J219" s="279"/>
    </row>
    <row r="220" spans="10:10" s="25" customFormat="1">
      <c r="J220" s="279"/>
    </row>
    <row r="221" spans="10:10" s="25" customFormat="1">
      <c r="J221" s="279"/>
    </row>
    <row r="222" spans="10:10" s="25" customFormat="1">
      <c r="J222" s="279"/>
    </row>
    <row r="223" spans="10:10" s="25" customFormat="1">
      <c r="J223" s="279"/>
    </row>
    <row r="224" spans="10:10" s="25" customFormat="1">
      <c r="J224" s="279"/>
    </row>
    <row r="225" spans="10:10" s="25" customFormat="1">
      <c r="J225" s="279"/>
    </row>
    <row r="226" spans="10:10" s="25" customFormat="1">
      <c r="J226" s="279"/>
    </row>
    <row r="227" spans="10:10" s="25" customFormat="1">
      <c r="J227" s="279"/>
    </row>
    <row r="228" spans="10:10" s="25" customFormat="1">
      <c r="J228" s="279"/>
    </row>
    <row r="229" spans="10:10" s="25" customFormat="1">
      <c r="J229" s="279"/>
    </row>
    <row r="230" spans="10:10" s="25" customFormat="1">
      <c r="J230" s="279"/>
    </row>
    <row r="231" spans="10:10" s="25" customFormat="1">
      <c r="J231" s="279"/>
    </row>
    <row r="232" spans="10:10" s="25" customFormat="1">
      <c r="J232" s="279"/>
    </row>
    <row r="233" spans="10:10" s="25" customFormat="1">
      <c r="J233" s="279"/>
    </row>
    <row r="234" spans="10:10" s="25" customFormat="1">
      <c r="J234" s="279"/>
    </row>
    <row r="235" spans="10:10" s="25" customFormat="1">
      <c r="J235" s="279"/>
    </row>
    <row r="236" spans="10:10" s="25" customFormat="1">
      <c r="J236" s="279"/>
    </row>
    <row r="237" spans="10:10" s="25" customFormat="1">
      <c r="J237" s="279"/>
    </row>
    <row r="238" spans="10:10" s="25" customFormat="1">
      <c r="J238" s="279"/>
    </row>
    <row r="239" spans="10:10" s="25" customFormat="1">
      <c r="J239" s="279"/>
    </row>
    <row r="240" spans="10:10" s="25" customFormat="1">
      <c r="J240" s="279"/>
    </row>
    <row r="241" spans="10:10" s="25" customFormat="1">
      <c r="J241" s="279"/>
    </row>
    <row r="242" spans="10:10" s="25" customFormat="1">
      <c r="J242" s="279"/>
    </row>
    <row r="243" spans="10:10" s="25" customFormat="1">
      <c r="J243" s="279"/>
    </row>
    <row r="244" spans="10:10" s="25" customFormat="1">
      <c r="J244" s="279"/>
    </row>
    <row r="245" spans="10:10" s="25" customFormat="1">
      <c r="J245" s="279"/>
    </row>
    <row r="246" spans="10:10" s="25" customFormat="1">
      <c r="J246" s="279"/>
    </row>
    <row r="247" spans="10:10" s="25" customFormat="1">
      <c r="J247" s="279"/>
    </row>
    <row r="248" spans="10:10" s="25" customFormat="1">
      <c r="J248" s="279"/>
    </row>
    <row r="249" spans="10:10" s="25" customFormat="1">
      <c r="J249" s="279"/>
    </row>
    <row r="250" spans="10:10" s="25" customFormat="1">
      <c r="J250" s="279"/>
    </row>
    <row r="251" spans="10:10" s="25" customFormat="1">
      <c r="J251" s="279"/>
    </row>
    <row r="252" spans="10:10" s="25" customFormat="1">
      <c r="J252" s="279"/>
    </row>
    <row r="253" spans="10:10" s="25" customFormat="1">
      <c r="J253" s="279"/>
    </row>
    <row r="254" spans="10:10" s="25" customFormat="1">
      <c r="J254" s="279"/>
    </row>
    <row r="255" spans="10:10" s="25" customFormat="1">
      <c r="J255" s="279"/>
    </row>
    <row r="256" spans="10:10" s="25" customFormat="1">
      <c r="J256" s="279"/>
    </row>
    <row r="257" spans="10:10" s="25" customFormat="1">
      <c r="J257" s="279"/>
    </row>
    <row r="258" spans="10:10" s="25" customFormat="1">
      <c r="J258" s="279"/>
    </row>
    <row r="259" spans="10:10" s="25" customFormat="1">
      <c r="J259" s="279"/>
    </row>
    <row r="260" spans="10:10" s="25" customFormat="1">
      <c r="J260" s="279"/>
    </row>
    <row r="261" spans="10:10" s="25" customFormat="1">
      <c r="J261" s="279"/>
    </row>
    <row r="262" spans="10:10" s="25" customFormat="1">
      <c r="J262" s="279"/>
    </row>
    <row r="263" spans="10:10" s="25" customFormat="1">
      <c r="J263" s="279"/>
    </row>
    <row r="264" spans="10:10" s="25" customFormat="1">
      <c r="J264" s="279"/>
    </row>
    <row r="265" spans="10:10" s="25" customFormat="1">
      <c r="J265" s="279"/>
    </row>
    <row r="266" spans="10:10" s="25" customFormat="1">
      <c r="J266" s="279"/>
    </row>
    <row r="267" spans="10:10" s="25" customFormat="1">
      <c r="J267" s="279"/>
    </row>
    <row r="268" spans="10:10" s="25" customFormat="1">
      <c r="J268" s="279"/>
    </row>
    <row r="269" spans="10:10" s="25" customFormat="1">
      <c r="J269" s="279"/>
    </row>
    <row r="270" spans="10:10" s="25" customFormat="1">
      <c r="J270" s="279"/>
    </row>
    <row r="271" spans="10:10" s="25" customFormat="1">
      <c r="J271" s="279"/>
    </row>
    <row r="272" spans="10:10" s="25" customFormat="1">
      <c r="J272" s="279"/>
    </row>
    <row r="273" spans="10:10" s="25" customFormat="1">
      <c r="J273" s="279"/>
    </row>
    <row r="274" spans="10:10" s="25" customFormat="1">
      <c r="J274" s="279"/>
    </row>
    <row r="275" spans="10:10" s="25" customFormat="1">
      <c r="J275" s="279"/>
    </row>
    <row r="276" spans="10:10" s="25" customFormat="1">
      <c r="J276" s="279"/>
    </row>
    <row r="277" spans="10:10" s="25" customFormat="1">
      <c r="J277" s="279"/>
    </row>
    <row r="278" spans="10:10" s="25" customFormat="1">
      <c r="J278" s="279"/>
    </row>
    <row r="279" spans="10:10" s="25" customFormat="1">
      <c r="J279" s="279"/>
    </row>
    <row r="280" spans="10:10" s="25" customFormat="1">
      <c r="J280" s="279"/>
    </row>
    <row r="281" spans="10:10" s="25" customFormat="1">
      <c r="J281" s="279"/>
    </row>
    <row r="282" spans="10:10" s="25" customFormat="1">
      <c r="J282" s="279"/>
    </row>
    <row r="283" spans="10:10" s="25" customFormat="1">
      <c r="J283" s="279"/>
    </row>
    <row r="284" spans="10:10" s="25" customFormat="1">
      <c r="J284" s="279"/>
    </row>
    <row r="285" spans="10:10" s="25" customFormat="1">
      <c r="J285" s="279"/>
    </row>
    <row r="286" spans="10:10" s="25" customFormat="1">
      <c r="J286" s="279"/>
    </row>
    <row r="287" spans="10:10" s="25" customFormat="1">
      <c r="J287" s="279"/>
    </row>
    <row r="288" spans="10:10" s="25" customFormat="1">
      <c r="J288" s="279"/>
    </row>
    <row r="289" spans="10:10" s="25" customFormat="1">
      <c r="J289" s="279"/>
    </row>
    <row r="290" spans="10:10" s="25" customFormat="1">
      <c r="J290" s="279"/>
    </row>
    <row r="291" spans="10:10" s="25" customFormat="1">
      <c r="J291" s="279"/>
    </row>
    <row r="292" spans="10:10" s="25" customFormat="1">
      <c r="J292" s="279"/>
    </row>
    <row r="293" spans="10:10" s="25" customFormat="1">
      <c r="J293" s="279"/>
    </row>
    <row r="294" spans="10:10" s="25" customFormat="1">
      <c r="J294" s="279"/>
    </row>
    <row r="295" spans="10:10" s="25" customFormat="1">
      <c r="J295" s="279"/>
    </row>
    <row r="296" spans="10:10" s="25" customFormat="1">
      <c r="J296" s="279"/>
    </row>
    <row r="297" spans="10:10" s="25" customFormat="1">
      <c r="J297" s="279"/>
    </row>
    <row r="298" spans="10:10" s="25" customFormat="1">
      <c r="J298" s="279"/>
    </row>
    <row r="299" spans="10:10" s="25" customFormat="1">
      <c r="J299" s="279"/>
    </row>
    <row r="300" spans="10:10" s="25" customFormat="1">
      <c r="J300" s="279"/>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27.81640625" style="144" customWidth="1"/>
    <col min="3" max="3" width="20.81640625" style="144" customWidth="1"/>
    <col min="4" max="4" width="10.81640625" style="144" customWidth="1"/>
    <col min="5" max="5" width="12.1796875" style="144" customWidth="1"/>
    <col min="6" max="6" width="10.1796875" style="144" customWidth="1"/>
    <col min="7" max="7" width="10.81640625" style="144" customWidth="1"/>
    <col min="8" max="8" width="13.1796875" style="144" customWidth="1"/>
    <col min="9" max="9" width="10.81640625" style="144" customWidth="1"/>
    <col min="10" max="10" width="12.81640625" style="144" customWidth="1"/>
    <col min="11" max="12" width="10.81640625" style="144" customWidth="1"/>
    <col min="13" max="16384" width="9.1796875" style="144"/>
  </cols>
  <sheetData>
    <row r="1" spans="1:15" ht="6" customHeight="1">
      <c r="A1" s="153"/>
      <c r="B1" s="49"/>
      <c r="C1" s="49"/>
      <c r="D1" s="49"/>
      <c r="E1" s="49"/>
      <c r="F1" s="49"/>
      <c r="G1" s="49"/>
      <c r="H1" s="49"/>
      <c r="I1" s="49"/>
      <c r="J1" s="49"/>
      <c r="K1" s="49"/>
      <c r="L1" s="49"/>
      <c r="M1" s="154"/>
      <c r="N1" s="21"/>
      <c r="O1" s="21"/>
    </row>
    <row r="2" spans="1:15" s="102" customFormat="1" ht="18">
      <c r="A2" s="103"/>
      <c r="B2" s="104" t="str">
        <f>'Cover Sheet'!B2</f>
        <v>SC Germany Consumer 2022-1</v>
      </c>
      <c r="C2" s="104"/>
      <c r="D2" s="105"/>
      <c r="E2" s="1038" t="str">
        <f>'Cover Sheet'!D2</f>
        <v>Calculation Date</v>
      </c>
      <c r="F2" s="1039"/>
      <c r="G2" s="107"/>
      <c r="H2" s="108">
        <f>'Cover Sheet'!F2</f>
        <v>45848</v>
      </c>
      <c r="I2" s="155"/>
      <c r="J2" s="107"/>
      <c r="K2" s="107"/>
      <c r="L2" s="109"/>
      <c r="M2" s="110"/>
      <c r="N2" s="105"/>
      <c r="O2" s="105"/>
    </row>
    <row r="3" spans="1:15" s="102" customFormat="1" ht="18">
      <c r="A3" s="103"/>
      <c r="B3" s="104" t="str">
        <f>'Cover Sheet'!B3</f>
        <v>Monthly Investor Report</v>
      </c>
      <c r="C3" s="104"/>
      <c r="D3" s="105"/>
      <c r="E3" s="1040" t="str">
        <f>'Cover Sheet'!D3</f>
        <v>Payment Date</v>
      </c>
      <c r="F3" s="1041"/>
      <c r="G3" s="114"/>
      <c r="H3" s="114">
        <f>'Cover Sheet'!F3</f>
        <v>45852</v>
      </c>
      <c r="I3" s="156"/>
      <c r="J3" s="113"/>
      <c r="K3" s="113"/>
      <c r="L3" s="115"/>
      <c r="M3" s="110"/>
      <c r="N3" s="105"/>
      <c r="O3" s="105"/>
    </row>
    <row r="4" spans="1:15" s="102" customFormat="1">
      <c r="A4" s="103"/>
      <c r="B4" s="157"/>
      <c r="C4" s="158"/>
      <c r="D4" s="105"/>
      <c r="E4" s="1040" t="str">
        <f>'Cover Sheet'!D4</f>
        <v>Period  No</v>
      </c>
      <c r="F4" s="1041"/>
      <c r="G4" s="117"/>
      <c r="H4" s="117">
        <f>'Cover Sheet'!F4</f>
        <v>33</v>
      </c>
      <c r="I4" s="159"/>
      <c r="J4" s="118"/>
      <c r="K4" s="113"/>
      <c r="L4" s="119"/>
      <c r="M4" s="110"/>
      <c r="N4" s="105"/>
      <c r="O4" s="105"/>
    </row>
    <row r="5" spans="1:15" s="102" customFormat="1" ht="18">
      <c r="A5" s="103"/>
      <c r="B5" s="160" t="s">
        <v>375</v>
      </c>
      <c r="C5" s="120"/>
      <c r="D5" s="105"/>
      <c r="E5" s="1040" t="str">
        <f>'Cover Sheet'!D5</f>
        <v>Monthly Period</v>
      </c>
      <c r="F5" s="1041"/>
      <c r="G5" s="161"/>
      <c r="H5" s="121">
        <f>'Cover Sheet'!F5</f>
        <v>45852</v>
      </c>
      <c r="I5" s="113"/>
      <c r="J5" s="118"/>
      <c r="K5" s="113"/>
      <c r="L5" s="119"/>
      <c r="M5" s="110"/>
      <c r="N5" s="105"/>
      <c r="O5" s="105"/>
    </row>
    <row r="6" spans="1:15" s="102" customFormat="1" ht="15" customHeight="1">
      <c r="A6" s="103"/>
      <c r="B6" s="122"/>
      <c r="C6" s="111"/>
      <c r="D6" s="105"/>
      <c r="E6" s="1034" t="str">
        <f>'Cover Sheet'!D6</f>
        <v>Interest Period</v>
      </c>
      <c r="F6" s="1035"/>
      <c r="G6" s="114" t="s">
        <v>34</v>
      </c>
      <c r="H6" s="114">
        <f>'Cover Sheet'!F6</f>
        <v>45824</v>
      </c>
      <c r="I6" s="114" t="s">
        <v>4</v>
      </c>
      <c r="J6" s="114">
        <f>'Cover Sheet'!$H$6</f>
        <v>45852</v>
      </c>
      <c r="K6" s="114" t="s">
        <v>15</v>
      </c>
      <c r="L6" s="162" t="str">
        <f>'Cover Sheet'!$J$6</f>
        <v>28 days</v>
      </c>
      <c r="M6" s="163"/>
      <c r="N6" s="105"/>
      <c r="O6" s="105"/>
    </row>
    <row r="7" spans="1:15" s="102" customFormat="1" ht="13">
      <c r="A7" s="103"/>
      <c r="B7" s="105"/>
      <c r="C7" s="105"/>
      <c r="D7" s="164"/>
      <c r="E7" s="1036" t="str">
        <f>'Cover Sheet'!D7</f>
        <v>Collection Period</v>
      </c>
      <c r="F7" s="1037"/>
      <c r="G7" s="129" t="s">
        <v>34</v>
      </c>
      <c r="H7" s="129" t="str">
        <f>'Cover Sheet'!F7</f>
        <v>01.06.2025</v>
      </c>
      <c r="I7" s="129" t="s">
        <v>4</v>
      </c>
      <c r="J7" s="129">
        <f>'Cover Sheet'!H7</f>
        <v>45838</v>
      </c>
      <c r="K7" s="165"/>
      <c r="L7" s="166"/>
      <c r="M7" s="110"/>
      <c r="N7" s="105"/>
      <c r="O7" s="105"/>
    </row>
    <row r="8" spans="1:15" s="102" customFormat="1" ht="13">
      <c r="A8" s="103"/>
      <c r="B8" s="105"/>
      <c r="C8" s="105"/>
      <c r="D8" s="21"/>
      <c r="E8" s="134"/>
      <c r="F8" s="133"/>
      <c r="G8" s="134"/>
      <c r="H8" s="105"/>
      <c r="I8" s="167"/>
      <c r="J8" s="105"/>
      <c r="K8" s="135"/>
      <c r="L8" s="105"/>
      <c r="M8" s="110"/>
      <c r="N8" s="105"/>
      <c r="O8" s="105"/>
    </row>
    <row r="9" spans="1:15" s="102" customFormat="1" ht="13">
      <c r="A9" s="103"/>
      <c r="B9" s="105"/>
      <c r="C9" s="105"/>
      <c r="D9" s="21"/>
      <c r="E9" s="105"/>
      <c r="F9" s="105"/>
      <c r="G9" s="105"/>
      <c r="H9" s="105"/>
      <c r="I9" s="105"/>
      <c r="J9" s="105"/>
      <c r="K9" s="105"/>
      <c r="L9" s="105"/>
      <c r="M9" s="168"/>
      <c r="N9" s="105"/>
      <c r="O9" s="105"/>
    </row>
    <row r="10" spans="1:15" s="102" customFormat="1">
      <c r="A10" s="103"/>
      <c r="B10" s="105"/>
      <c r="C10" s="105"/>
      <c r="D10" s="21"/>
      <c r="E10" s="105"/>
      <c r="F10" s="145"/>
      <c r="G10" s="105"/>
      <c r="H10" s="105"/>
      <c r="I10" s="21"/>
      <c r="J10" s="21"/>
      <c r="K10" s="105"/>
      <c r="L10" s="105"/>
      <c r="M10" s="110"/>
      <c r="N10" s="105"/>
      <c r="O10" s="105"/>
    </row>
    <row r="11" spans="1:15" s="102" customFormat="1" ht="12.75" customHeight="1">
      <c r="A11" s="103"/>
      <c r="B11" s="169"/>
      <c r="C11" s="105"/>
      <c r="D11" s="10"/>
      <c r="E11" s="10"/>
      <c r="F11" s="10"/>
      <c r="G11" s="10"/>
      <c r="H11" s="10"/>
      <c r="I11" s="10"/>
      <c r="J11" s="10"/>
      <c r="K11" s="10"/>
      <c r="L11" s="10"/>
      <c r="M11" s="170"/>
      <c r="N11" s="105"/>
      <c r="O11" s="105"/>
    </row>
    <row r="12" spans="1:15" s="102" customFormat="1" ht="12.75" customHeight="1">
      <c r="A12" s="103"/>
      <c r="B12" s="169"/>
      <c r="C12" s="105"/>
      <c r="D12" s="10"/>
      <c r="E12" s="10"/>
      <c r="F12" s="10"/>
      <c r="G12" s="10"/>
      <c r="H12" s="10"/>
      <c r="I12" s="10"/>
      <c r="J12" s="10"/>
      <c r="K12" s="10"/>
      <c r="L12" s="10"/>
      <c r="M12" s="170"/>
      <c r="N12" s="105"/>
      <c r="O12" s="105"/>
    </row>
    <row r="13" spans="1:15" s="102" customFormat="1">
      <c r="A13" s="103"/>
      <c r="D13"/>
      <c r="E13" s="212"/>
      <c r="F13" s="171"/>
      <c r="G13" s="171"/>
      <c r="H13" s="171"/>
      <c r="I13" s="171"/>
      <c r="J13" s="172"/>
      <c r="K13" s="172"/>
      <c r="L13" s="173"/>
      <c r="M13" s="174"/>
      <c r="O13" s="175"/>
    </row>
    <row r="14" spans="1:15" s="102" customFormat="1" ht="18">
      <c r="A14" s="103"/>
      <c r="B14" s="940" t="s">
        <v>1015</v>
      </c>
      <c r="C14"/>
      <c r="E14" s="215"/>
      <c r="F14" s="216"/>
      <c r="G14" s="216"/>
      <c r="H14" s="216"/>
      <c r="I14" s="216"/>
      <c r="J14" s="216"/>
      <c r="K14" s="217"/>
      <c r="L14" s="172"/>
      <c r="M14" s="174"/>
      <c r="O14" s="175"/>
    </row>
    <row r="15" spans="1:15" ht="14.5">
      <c r="A15" s="180"/>
      <c r="B15" s="941" t="s">
        <v>1016</v>
      </c>
      <c r="C15" s="942" t="s">
        <v>1017</v>
      </c>
      <c r="D15" s="218"/>
      <c r="E15" s="218"/>
      <c r="F15" s="218"/>
      <c r="G15" s="218"/>
      <c r="H15" s="218"/>
      <c r="I15" s="218"/>
      <c r="J15" s="216"/>
      <c r="K15" s="219"/>
      <c r="L15" s="219"/>
      <c r="M15" s="174"/>
      <c r="O15" s="175"/>
    </row>
    <row r="16" spans="1:15">
      <c r="A16" s="180"/>
      <c r="B16" s="45"/>
      <c r="C16" s="193"/>
      <c r="D16" s="218"/>
      <c r="E16" s="218"/>
      <c r="F16" s="218"/>
      <c r="G16" s="218"/>
      <c r="H16" s="218"/>
      <c r="I16" s="218"/>
      <c r="J16" s="218"/>
      <c r="K16" s="219"/>
      <c r="L16" s="219"/>
      <c r="M16" s="174"/>
      <c r="O16" s="175"/>
    </row>
    <row r="17" spans="1:15">
      <c r="A17" s="180"/>
      <c r="C17" s="220"/>
      <c r="D17" s="221"/>
      <c r="F17" s="218"/>
      <c r="G17" s="218"/>
      <c r="H17" s="218"/>
      <c r="I17" s="218"/>
      <c r="J17" s="218"/>
      <c r="K17" s="219"/>
      <c r="L17" s="219"/>
      <c r="M17" s="174"/>
      <c r="O17" s="175"/>
    </row>
    <row r="18" spans="1:15">
      <c r="A18" s="180"/>
      <c r="B18" s="45"/>
      <c r="C18" s="193"/>
      <c r="D18" s="218"/>
      <c r="E18" s="218"/>
      <c r="G18" s="218"/>
      <c r="H18" s="218"/>
      <c r="I18" s="218"/>
      <c r="J18" s="218"/>
      <c r="K18" s="219"/>
      <c r="L18" s="219"/>
      <c r="M18" s="174"/>
      <c r="O18" s="175"/>
    </row>
    <row r="19" spans="1:15">
      <c r="A19" s="180"/>
      <c r="C19" s="193"/>
      <c r="D19" s="221"/>
      <c r="E19" s="218"/>
      <c r="F19" s="218"/>
      <c r="G19" s="218"/>
      <c r="H19" s="218"/>
      <c r="I19" s="218"/>
      <c r="J19" s="218"/>
      <c r="K19" s="219"/>
      <c r="L19" s="219"/>
      <c r="M19" s="174"/>
      <c r="O19" s="175"/>
    </row>
    <row r="20" spans="1:15" ht="12.75" customHeight="1">
      <c r="A20" s="180"/>
      <c r="B20" s="45"/>
      <c r="C20" s="193"/>
      <c r="D20" s="218"/>
      <c r="F20" s="218"/>
      <c r="G20" s="222"/>
      <c r="H20" s="222"/>
      <c r="I20" s="222"/>
      <c r="J20" s="218"/>
      <c r="K20" s="219"/>
      <c r="L20" s="219"/>
      <c r="M20" s="174"/>
      <c r="O20" s="175"/>
    </row>
    <row r="21" spans="1:15">
      <c r="A21" s="180"/>
      <c r="B21" s="45"/>
      <c r="C21" s="193"/>
      <c r="D21" s="218"/>
      <c r="E21" s="218"/>
      <c r="F21" s="218"/>
      <c r="G21" s="21"/>
      <c r="H21" s="21"/>
      <c r="I21" s="21"/>
      <c r="J21" s="21"/>
      <c r="K21" s="21"/>
      <c r="L21" s="21"/>
      <c r="M21" s="174"/>
    </row>
    <row r="22" spans="1:15">
      <c r="A22" s="180"/>
      <c r="B22" s="45"/>
      <c r="C22" s="193"/>
      <c r="D22" s="218"/>
      <c r="E22" s="218"/>
      <c r="F22" s="218"/>
      <c r="G22" s="218"/>
      <c r="H22" s="218"/>
      <c r="I22" s="218"/>
      <c r="J22" s="223"/>
      <c r="K22" s="219"/>
      <c r="L22" s="219"/>
      <c r="M22" s="174"/>
      <c r="O22" s="175"/>
    </row>
    <row r="23" spans="1:15">
      <c r="A23" s="180"/>
      <c r="B23" s="45"/>
      <c r="C23" s="193"/>
      <c r="D23" s="218"/>
      <c r="E23" s="218"/>
      <c r="F23" s="218"/>
      <c r="G23" s="218"/>
      <c r="H23" s="218"/>
      <c r="I23" s="218"/>
      <c r="J23" s="218"/>
      <c r="K23" s="219"/>
      <c r="L23" s="224"/>
      <c r="M23" s="174"/>
      <c r="O23" s="175"/>
    </row>
    <row r="24" spans="1:15" ht="13">
      <c r="A24" s="180"/>
      <c r="B24" s="14"/>
      <c r="C24" s="225"/>
      <c r="D24" s="226"/>
      <c r="E24" s="105"/>
      <c r="F24" s="105"/>
      <c r="G24" s="105"/>
      <c r="H24" s="105"/>
      <c r="I24" s="105"/>
      <c r="J24" s="218"/>
      <c r="K24" s="227"/>
      <c r="L24" s="21"/>
      <c r="M24" s="174"/>
      <c r="O24" s="175"/>
    </row>
    <row r="25" spans="1:15" ht="18" customHeight="1">
      <c r="A25" s="180"/>
      <c r="B25" s="211" t="s">
        <v>105</v>
      </c>
      <c r="C25" s="213"/>
      <c r="D25" s="1026" t="s">
        <v>241</v>
      </c>
      <c r="E25" s="1027"/>
      <c r="F25" s="1028"/>
      <c r="G25" s="1029" t="s">
        <v>242</v>
      </c>
      <c r="H25" s="1030"/>
      <c r="I25" s="1031"/>
      <c r="J25" s="1032"/>
      <c r="K25" s="1032"/>
      <c r="L25" s="1032"/>
      <c r="M25" s="174"/>
      <c r="O25" s="175"/>
    </row>
    <row r="26" spans="1:15" s="102" customFormat="1" ht="36" customHeight="1">
      <c r="A26" s="103"/>
      <c r="B26" s="16"/>
      <c r="C26" s="10"/>
      <c r="D26" s="2" t="s">
        <v>106</v>
      </c>
      <c r="E26" s="2" t="s">
        <v>107</v>
      </c>
      <c r="F26" s="2" t="s">
        <v>108</v>
      </c>
      <c r="G26" s="2" t="s">
        <v>106</v>
      </c>
      <c r="H26" s="2" t="s">
        <v>107</v>
      </c>
      <c r="I26" s="2" t="s">
        <v>108</v>
      </c>
      <c r="J26" s="228"/>
      <c r="K26" s="228"/>
      <c r="L26" s="228"/>
      <c r="M26" s="170"/>
      <c r="N26" s="105"/>
      <c r="O26" s="105"/>
    </row>
    <row r="27" spans="1:15" s="102" customFormat="1" ht="15" customHeight="1">
      <c r="A27" s="103"/>
      <c r="B27" s="1007"/>
      <c r="C27" s="1033"/>
      <c r="D27" s="17"/>
      <c r="E27" s="17"/>
      <c r="F27" s="17"/>
      <c r="G27" s="17"/>
      <c r="H27" s="17"/>
      <c r="I27" s="17"/>
      <c r="J27" s="21"/>
      <c r="K27" s="21"/>
      <c r="L27" s="21"/>
      <c r="M27" s="170"/>
      <c r="N27" s="105"/>
      <c r="O27" s="105"/>
    </row>
    <row r="28" spans="1:15" ht="13">
      <c r="A28" s="180"/>
      <c r="B28" s="1024" t="s">
        <v>103</v>
      </c>
      <c r="C28" s="1025"/>
      <c r="D28" s="1" t="str">
        <f>IF(VLOOKUP(B28,ratings,7,FALSE)="-",VLOOKUP(B28,ratings,8,FALSE),VLOOKUP(B28,ratings,7,FALSE))</f>
        <v>A</v>
      </c>
      <c r="E28" s="1" t="str">
        <f>IF(VLOOKUP(B28,ratings,9,FALSE)="-",VLOOKUP(B28,ratings,10,FALSE),VLOOKUP(B28,ratings,9,FALSE))</f>
        <v>F1</v>
      </c>
      <c r="F28" s="1" t="str">
        <f>VLOOKUP(B28,ratings,11,FALSE)</f>
        <v>STABLE</v>
      </c>
      <c r="G28" s="1" t="str">
        <f>IF(VLOOKUP(B28,ratings,2,FALSE)="-",VLOOKUP(B28,ratings,3,FALSE),VLOOKUP(B28,ratings,2,FALSE))</f>
        <v>A3(cr)</v>
      </c>
      <c r="H28" s="1" t="str">
        <f>IF(VLOOKUP(B28,ratings,4,FALSE)="-",VLOOKUP(B28,ratings,5,FALSE),VLOOKUP(B28,ratings,4,FALSE))</f>
        <v>P-2(cr)</v>
      </c>
      <c r="I28" s="1" t="str">
        <f>VLOOKUP(B28,ratings,6,FALSE)</f>
        <v>POS</v>
      </c>
      <c r="J28" s="229"/>
      <c r="K28" s="229"/>
      <c r="L28" s="229"/>
      <c r="M28" s="170"/>
      <c r="N28" s="21"/>
      <c r="O28" s="21"/>
    </row>
    <row r="29" spans="1:15" s="21" customFormat="1" ht="12.75" customHeight="1">
      <c r="A29" s="180"/>
      <c r="B29" s="18"/>
      <c r="C29" s="19"/>
      <c r="D29" s="20"/>
      <c r="E29" s="20"/>
      <c r="F29" s="20"/>
      <c r="G29" s="20"/>
      <c r="H29" s="20"/>
      <c r="I29" s="20"/>
      <c r="M29" s="174"/>
    </row>
    <row r="30" spans="1:15" s="21" customFormat="1" ht="13">
      <c r="A30" s="180"/>
      <c r="B30" s="1024" t="s">
        <v>109</v>
      </c>
      <c r="C30" s="1025"/>
      <c r="D30" s="1" t="str">
        <f>IF(VLOOKUP(B30,ratings,7,FALSE)="-",VLOOKUP(B30,ratings,8,FALSE),VLOOKUP(B30,ratings,7,FALSE))</f>
        <v>A+</v>
      </c>
      <c r="E30" s="1" t="str">
        <f>IF(VLOOKUP(B30,ratings,9,FALSE)="-",VLOOKUP(B30,ratings,10,FALSE),VLOOKUP(B30,ratings,9,FALSE))</f>
        <v>F1</v>
      </c>
      <c r="F30" s="1" t="str">
        <f>VLOOKUP(B30,ratings,11,FALSE)</f>
        <v>STABLE</v>
      </c>
      <c r="G30" s="1" t="str">
        <f>IF(VLOOKUP(B30,ratings,2,FALSE)="-",VLOOKUP(B30,ratings,3,FALSE),VLOOKUP(B30,ratings,2,FALSE))</f>
        <v>A3(cr)</v>
      </c>
      <c r="H30" s="1" t="str">
        <f>IF(VLOOKUP(B30,ratings,4,FALSE)="-",VLOOKUP(B30,ratings,5,FALSE),VLOOKUP(B30,ratings,4,FALSE))</f>
        <v>P-2(cr)</v>
      </c>
      <c r="I30" s="1" t="str">
        <f>VLOOKUP(B30,ratings,6,FALSE)</f>
        <v>POS</v>
      </c>
      <c r="J30" s="229"/>
      <c r="K30" s="229"/>
      <c r="L30" s="229"/>
      <c r="M30" s="174"/>
    </row>
    <row r="31" spans="1:15" s="21" customFormat="1" ht="13">
      <c r="A31" s="180"/>
      <c r="B31" s="230"/>
      <c r="C31" s="230"/>
      <c r="D31" s="1"/>
      <c r="E31" s="1"/>
      <c r="F31" s="1"/>
      <c r="G31" s="1"/>
      <c r="H31" s="1"/>
      <c r="I31" s="1"/>
      <c r="J31" s="229"/>
      <c r="K31" s="229"/>
      <c r="L31" s="229"/>
      <c r="M31" s="174"/>
    </row>
    <row r="32" spans="1:15" s="21" customFormat="1" ht="13">
      <c r="A32" s="180"/>
      <c r="B32" s="1024" t="s">
        <v>196</v>
      </c>
      <c r="C32" s="1025"/>
      <c r="D32" s="1" t="str">
        <f>IF(VLOOKUP(B32,ratings,7,FALSE)="-",VLOOKUP(B32,ratings,8,FALSE),VLOOKUP(B32,ratings,7,FALSE))</f>
        <v>A</v>
      </c>
      <c r="E32" s="1" t="str">
        <f>IF(VLOOKUP(B32,ratings,9,FALSE)="-",VLOOKUP(B32,ratings,10,FALSE),VLOOKUP(B32,ratings,9,FALSE))</f>
        <v>F1</v>
      </c>
      <c r="F32" s="1" t="str">
        <f>VLOOKUP(B32,ratings,11,FALSE)</f>
        <v>STABLE</v>
      </c>
      <c r="G32" s="1" t="str">
        <f>IF(VLOOKUP(B32,ratings,2,FALSE)="-",VLOOKUP(B32,ratings,3,FALSE),VLOOKUP(B32,ratings,2,FALSE))</f>
        <v>A1(cr)</v>
      </c>
      <c r="H32" s="1" t="str">
        <f>IF(VLOOKUP(B32,ratings,4,FALSE)="-",VLOOKUP(B32,ratings,5,FALSE),VLOOKUP(B32,ratings,4,FALSE))</f>
        <v>P-1(cr)</v>
      </c>
      <c r="I32" s="1" t="str">
        <f>VLOOKUP(B32,ratings,6,FALSE)</f>
        <v>STABLE</v>
      </c>
      <c r="J32" s="229"/>
      <c r="K32" s="229"/>
      <c r="L32" s="229"/>
      <c r="M32" s="174"/>
    </row>
    <row r="33" spans="1:13" s="21" customFormat="1" ht="15.5">
      <c r="A33" s="180"/>
      <c r="B33" s="231"/>
      <c r="D33" s="22"/>
      <c r="E33" s="22"/>
      <c r="F33" s="22"/>
      <c r="G33" s="22"/>
      <c r="H33" s="22"/>
      <c r="I33" s="22"/>
      <c r="J33" s="10"/>
      <c r="K33" s="10"/>
      <c r="L33" s="10"/>
      <c r="M33" s="174"/>
    </row>
    <row r="34" spans="1:13" s="21" customFormat="1" ht="15.5">
      <c r="A34" s="180"/>
      <c r="B34" s="15"/>
      <c r="D34" s="10"/>
      <c r="E34" s="10"/>
      <c r="F34" s="10"/>
      <c r="G34" s="10"/>
      <c r="H34" s="10"/>
      <c r="I34" s="10"/>
      <c r="J34" s="10"/>
      <c r="K34" s="10"/>
      <c r="L34" s="10"/>
      <c r="M34" s="174"/>
    </row>
    <row r="35" spans="1:13" s="21" customFormat="1" ht="15.5">
      <c r="A35" s="180"/>
      <c r="C35" s="13"/>
      <c r="D35" s="10"/>
      <c r="E35" s="10"/>
      <c r="F35" s="10"/>
      <c r="G35" s="10"/>
      <c r="H35" s="10"/>
      <c r="I35" s="10"/>
      <c r="J35" s="10"/>
      <c r="K35" s="10"/>
      <c r="L35" s="10"/>
      <c r="M35" s="174"/>
    </row>
    <row r="36" spans="1:13" s="21" customFormat="1" ht="15.5">
      <c r="A36" s="195"/>
      <c r="B36" s="50" t="str">
        <f>'23. Swap Counterparty Data'!B41</f>
        <v>Ratings as of 30.06.2025, data source: Bloomberg</v>
      </c>
      <c r="C36" s="11"/>
      <c r="D36" s="12"/>
      <c r="E36" s="12"/>
      <c r="F36" s="12"/>
      <c r="G36" s="12"/>
      <c r="H36" s="12"/>
      <c r="I36" s="12"/>
      <c r="J36" s="12"/>
      <c r="K36" s="12"/>
      <c r="L36" s="12"/>
      <c r="M36" s="196"/>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7"/>
      <c r="E40" s="13"/>
      <c r="F40" s="198"/>
      <c r="G40" s="199"/>
      <c r="H40" s="198"/>
      <c r="I40" s="173"/>
    </row>
    <row r="41" spans="1:13" s="21" customFormat="1">
      <c r="B41" s="14"/>
      <c r="C41" s="13"/>
      <c r="D41" s="197"/>
      <c r="E41" s="13"/>
      <c r="F41" s="198"/>
      <c r="G41" s="199"/>
      <c r="H41" s="198"/>
      <c r="I41" s="173"/>
    </row>
    <row r="42" spans="1:13" s="21" customFormat="1">
      <c r="B42" s="14"/>
      <c r="C42" s="13"/>
      <c r="D42" s="197"/>
      <c r="E42" s="13"/>
      <c r="F42" s="198"/>
      <c r="G42" s="199"/>
      <c r="H42" s="198"/>
      <c r="I42" s="173"/>
    </row>
    <row r="43" spans="1:13" s="21" customFormat="1">
      <c r="B43" s="14"/>
      <c r="C43" s="13"/>
      <c r="D43" s="197"/>
      <c r="E43" s="13"/>
      <c r="F43" s="198"/>
      <c r="G43" s="199"/>
      <c r="H43" s="198"/>
      <c r="I43" s="173"/>
    </row>
    <row r="44" spans="1:13" s="21" customFormat="1">
      <c r="B44" s="14"/>
      <c r="C44" s="13"/>
      <c r="D44" s="197"/>
      <c r="E44" s="13"/>
      <c r="F44" s="198"/>
      <c r="G44" s="199"/>
      <c r="H44" s="198"/>
      <c r="I44" s="173"/>
    </row>
    <row r="45" spans="1:13" s="21" customFormat="1">
      <c r="B45" s="14"/>
      <c r="C45" s="13"/>
      <c r="D45" s="197"/>
      <c r="E45" s="13"/>
      <c r="F45" s="198"/>
      <c r="G45" s="199"/>
      <c r="H45" s="198"/>
      <c r="I45" s="173"/>
    </row>
    <row r="46" spans="1:13" s="21" customFormat="1">
      <c r="B46" s="14"/>
      <c r="C46" s="13"/>
      <c r="D46" s="197"/>
      <c r="E46" s="13"/>
      <c r="F46" s="198"/>
      <c r="G46" s="199"/>
      <c r="H46" s="198"/>
      <c r="I46" s="173"/>
    </row>
    <row r="47" spans="1:13" s="21" customFormat="1">
      <c r="B47" s="14"/>
      <c r="C47" s="13"/>
      <c r="D47" s="197"/>
      <c r="E47" s="13"/>
      <c r="F47" s="198"/>
      <c r="G47" s="199"/>
      <c r="H47" s="198"/>
      <c r="I47" s="173"/>
    </row>
    <row r="48" spans="1:13"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ht="15.5">
      <c r="B55" s="15"/>
      <c r="C55" s="13"/>
      <c r="D55" s="197"/>
      <c r="E55" s="13"/>
      <c r="F55" s="198"/>
      <c r="G55" s="199"/>
      <c r="H55" s="198"/>
      <c r="I55" s="173"/>
    </row>
    <row r="56" spans="2:9" s="21" customFormat="1" ht="15.5">
      <c r="B56" s="15"/>
      <c r="C56" s="13"/>
      <c r="D56" s="200"/>
      <c r="E56" s="201"/>
      <c r="F56" s="232"/>
      <c r="G56" s="203"/>
      <c r="H56" s="232"/>
      <c r="I56" s="173"/>
    </row>
    <row r="57" spans="2:9" s="21" customFormat="1" ht="15.5">
      <c r="B57" s="15"/>
      <c r="C57" s="13"/>
      <c r="D57" s="200"/>
      <c r="E57" s="200"/>
      <c r="F57" s="200"/>
      <c r="G57" s="200"/>
      <c r="H57" s="200"/>
      <c r="I57" s="173"/>
    </row>
    <row r="58" spans="2:9" s="21" customFormat="1" ht="15.5">
      <c r="B58" s="15"/>
      <c r="C58" s="13"/>
      <c r="D58" s="200"/>
      <c r="E58" s="200"/>
      <c r="F58" s="200"/>
      <c r="G58" s="200"/>
      <c r="H58" s="200"/>
      <c r="I58" s="173"/>
    </row>
    <row r="59" spans="2:9" s="21" customFormat="1" ht="15.5">
      <c r="B59" s="15"/>
      <c r="C59" s="13"/>
      <c r="D59" s="204"/>
      <c r="E59" s="233"/>
      <c r="F59" s="200"/>
      <c r="G59" s="200"/>
      <c r="H59" s="200"/>
      <c r="I59" s="173"/>
    </row>
    <row r="60" spans="2:9" s="21" customFormat="1">
      <c r="B60" s="14"/>
      <c r="C60" s="13"/>
      <c r="D60" s="201"/>
      <c r="E60" s="233"/>
      <c r="F60" s="200"/>
      <c r="G60" s="200"/>
      <c r="H60" s="200"/>
      <c r="I60" s="173"/>
    </row>
    <row r="61" spans="2:9" s="21" customFormat="1">
      <c r="B61" s="14"/>
      <c r="C61" s="13"/>
      <c r="D61" s="200"/>
      <c r="E61" s="233"/>
      <c r="F61" s="200"/>
      <c r="G61" s="200"/>
      <c r="H61" s="200"/>
      <c r="I61" s="173"/>
    </row>
    <row r="62" spans="2:9" s="21" customFormat="1" ht="14">
      <c r="B62" s="200"/>
      <c r="C62" s="201"/>
      <c r="D62" s="206"/>
      <c r="E62" s="206"/>
      <c r="F62" s="206"/>
      <c r="G62" s="206"/>
      <c r="H62" s="206"/>
      <c r="I62" s="173"/>
    </row>
    <row r="63" spans="2:9" s="21" customFormat="1" ht="14">
      <c r="B63" s="105"/>
      <c r="C63" s="105"/>
      <c r="D63" s="206"/>
      <c r="E63" s="206"/>
      <c r="F63" s="206"/>
      <c r="G63" s="206"/>
      <c r="H63" s="206"/>
      <c r="I63" s="173"/>
    </row>
    <row r="64" spans="2:9" s="21" customFormat="1" ht="14">
      <c r="B64" s="105"/>
      <c r="C64" s="105"/>
      <c r="D64" s="207"/>
      <c r="E64" s="234"/>
      <c r="F64" s="206"/>
      <c r="G64" s="206"/>
      <c r="H64" s="206"/>
      <c r="I64" s="173"/>
    </row>
    <row r="65" spans="2:9" s="21" customFormat="1" ht="14">
      <c r="B65" s="204"/>
      <c r="C65" s="233"/>
      <c r="D65" s="209"/>
      <c r="E65" s="234"/>
      <c r="F65" s="206"/>
      <c r="G65" s="206"/>
      <c r="H65" s="206"/>
      <c r="I65" s="173"/>
    </row>
    <row r="66" spans="2:9" s="21" customFormat="1" ht="14">
      <c r="B66" s="210"/>
      <c r="C66" s="233"/>
      <c r="D66" s="206"/>
      <c r="E66" s="234"/>
      <c r="F66" s="206"/>
      <c r="G66" s="206"/>
      <c r="H66" s="206"/>
      <c r="I66" s="173"/>
    </row>
    <row r="67" spans="2:9" s="21" customFormat="1">
      <c r="C67" s="233"/>
      <c r="I67" s="173"/>
    </row>
    <row r="68" spans="2:9" s="21" customFormat="1">
      <c r="I68" s="173"/>
    </row>
    <row r="69" spans="2:9" s="21" customFormat="1">
      <c r="I69" s="173"/>
    </row>
    <row r="70" spans="2:9" s="21" customFormat="1">
      <c r="I70" s="173"/>
    </row>
    <row r="71" spans="2:9" s="21" customFormat="1">
      <c r="I71" s="173"/>
    </row>
    <row r="72" spans="2:9" s="21" customFormat="1">
      <c r="I72" s="173"/>
    </row>
    <row r="73" spans="2:9" s="21" customFormat="1">
      <c r="I73" s="173"/>
    </row>
    <row r="74" spans="2:9" s="21" customFormat="1">
      <c r="I74" s="173"/>
    </row>
    <row r="75" spans="2:9" s="21" customFormat="1">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40.54296875" style="144" customWidth="1"/>
    <col min="3" max="3" width="8.81640625" style="144" customWidth="1"/>
    <col min="4" max="4" width="7.1796875" style="144" customWidth="1"/>
    <col min="5" max="5" width="12.1796875" style="144" customWidth="1"/>
    <col min="6" max="6" width="10.1796875" style="144" customWidth="1"/>
    <col min="7" max="7" width="10.81640625" style="144" customWidth="1"/>
    <col min="8" max="8" width="14.81640625" style="144" customWidth="1"/>
    <col min="9" max="9" width="13" style="144" customWidth="1"/>
    <col min="10" max="10" width="16.1796875" style="144" customWidth="1"/>
    <col min="11" max="11" width="13" style="144" customWidth="1"/>
    <col min="12" max="12" width="15.1796875" style="144" customWidth="1"/>
    <col min="13" max="13" width="8" style="144" customWidth="1"/>
    <col min="14" max="14" width="22.81640625" style="144" customWidth="1"/>
    <col min="15" max="16384" width="9.1796875" style="144"/>
  </cols>
  <sheetData>
    <row r="1" spans="1:16" ht="6" customHeight="1">
      <c r="A1" s="153"/>
      <c r="B1" s="49"/>
      <c r="C1" s="49"/>
      <c r="D1" s="49"/>
      <c r="E1" s="49"/>
      <c r="F1" s="49"/>
      <c r="G1" s="49"/>
      <c r="H1" s="49"/>
      <c r="I1" s="49"/>
      <c r="J1" s="49"/>
      <c r="K1" s="49"/>
      <c r="L1" s="49"/>
      <c r="M1" s="49"/>
      <c r="N1" s="154"/>
      <c r="O1" s="21"/>
      <c r="P1" s="21"/>
    </row>
    <row r="2" spans="1:16" s="102" customFormat="1" ht="18">
      <c r="A2" s="103"/>
      <c r="B2" s="104" t="str">
        <f>'Cover Sheet'!B2</f>
        <v>SC Germany Consumer 2022-1</v>
      </c>
      <c r="C2" s="104"/>
      <c r="D2" s="105"/>
      <c r="E2" s="1042" t="str">
        <f>'Cover Sheet'!D2</f>
        <v>Calculation Date</v>
      </c>
      <c r="F2" s="1039"/>
      <c r="G2" s="107"/>
      <c r="H2" s="108">
        <f>'Cover Sheet'!F2</f>
        <v>45848</v>
      </c>
      <c r="I2" s="155"/>
      <c r="J2" s="107"/>
      <c r="K2" s="107"/>
      <c r="L2" s="109"/>
      <c r="M2" s="10"/>
      <c r="N2" s="110"/>
      <c r="O2" s="105"/>
      <c r="P2" s="105"/>
    </row>
    <row r="3" spans="1:16" s="102" customFormat="1" ht="18">
      <c r="A3" s="103"/>
      <c r="B3" s="104" t="str">
        <f>'Cover Sheet'!B3</f>
        <v>Monthly Investor Report</v>
      </c>
      <c r="C3" s="104"/>
      <c r="D3" s="105"/>
      <c r="E3" s="1043" t="str">
        <f>'Cover Sheet'!D3</f>
        <v>Payment Date</v>
      </c>
      <c r="F3" s="1044"/>
      <c r="G3" s="114"/>
      <c r="H3" s="114">
        <f>'Cover Sheet'!F3</f>
        <v>45852</v>
      </c>
      <c r="I3" s="156"/>
      <c r="J3" s="113"/>
      <c r="K3" s="113"/>
      <c r="L3" s="115"/>
      <c r="M3" s="10"/>
      <c r="N3" s="110"/>
      <c r="O3" s="105"/>
      <c r="P3" s="105"/>
    </row>
    <row r="4" spans="1:16" s="102" customFormat="1" ht="15.5">
      <c r="A4" s="103"/>
      <c r="B4" s="157"/>
      <c r="C4" s="158"/>
      <c r="D4" s="105"/>
      <c r="E4" s="1043" t="str">
        <f>'Cover Sheet'!D4</f>
        <v>Period  No</v>
      </c>
      <c r="F4" s="1044"/>
      <c r="G4" s="117"/>
      <c r="H4" s="117">
        <f>'Cover Sheet'!F4</f>
        <v>33</v>
      </c>
      <c r="I4" s="159"/>
      <c r="J4" s="118"/>
      <c r="K4" s="113"/>
      <c r="L4" s="119"/>
      <c r="M4" s="10"/>
      <c r="N4" s="110"/>
      <c r="O4" s="105"/>
      <c r="P4" s="105"/>
    </row>
    <row r="5" spans="1:16" s="102" customFormat="1" ht="18">
      <c r="A5" s="103"/>
      <c r="B5" s="160" t="s">
        <v>376</v>
      </c>
      <c r="C5" s="120"/>
      <c r="D5" s="105"/>
      <c r="E5" s="1043" t="str">
        <f>'Cover Sheet'!D5</f>
        <v>Monthly Period</v>
      </c>
      <c r="F5" s="1044"/>
      <c r="G5" s="161"/>
      <c r="H5" s="121">
        <f>'Cover Sheet'!F5</f>
        <v>45852</v>
      </c>
      <c r="I5" s="113"/>
      <c r="J5" s="118"/>
      <c r="K5" s="113"/>
      <c r="L5" s="119"/>
      <c r="M5" s="10"/>
      <c r="N5" s="110"/>
      <c r="O5" s="105"/>
      <c r="P5" s="105"/>
    </row>
    <row r="6" spans="1:16" s="102" customFormat="1" ht="15" customHeight="1">
      <c r="A6" s="103"/>
      <c r="B6" s="122"/>
      <c r="C6" s="111"/>
      <c r="D6" s="105"/>
      <c r="E6" s="1034" t="str">
        <f>'Cover Sheet'!D6</f>
        <v>Interest Period</v>
      </c>
      <c r="F6" s="1035"/>
      <c r="G6" s="114" t="s">
        <v>34</v>
      </c>
      <c r="H6" s="114">
        <f>'Cover Sheet'!F6</f>
        <v>45824</v>
      </c>
      <c r="I6" s="114" t="s">
        <v>4</v>
      </c>
      <c r="J6" s="114">
        <f>'Cover Sheet'!$H$6</f>
        <v>45852</v>
      </c>
      <c r="K6" s="114" t="s">
        <v>15</v>
      </c>
      <c r="L6" s="162" t="str">
        <f>'Cover Sheet'!$J$6</f>
        <v>28 days</v>
      </c>
      <c r="M6" s="10"/>
      <c r="N6" s="163"/>
      <c r="O6" s="105"/>
      <c r="P6" s="105"/>
    </row>
    <row r="7" spans="1:16" s="102" customFormat="1" ht="15.5">
      <c r="A7" s="103"/>
      <c r="B7" s="105"/>
      <c r="C7" s="105"/>
      <c r="D7" s="164"/>
      <c r="E7" s="1036" t="str">
        <f>'Cover Sheet'!D7</f>
        <v>Collection Period</v>
      </c>
      <c r="F7" s="1037"/>
      <c r="G7" s="129" t="s">
        <v>34</v>
      </c>
      <c r="H7" s="129" t="str">
        <f>'Cover Sheet'!F7</f>
        <v>01.06.2025</v>
      </c>
      <c r="I7" s="129" t="s">
        <v>4</v>
      </c>
      <c r="J7" s="129">
        <f>'Cover Sheet'!H7</f>
        <v>45838</v>
      </c>
      <c r="K7" s="165"/>
      <c r="L7" s="166"/>
      <c r="M7" s="10"/>
      <c r="N7" s="110"/>
      <c r="O7" s="105"/>
      <c r="P7" s="105"/>
    </row>
    <row r="8" spans="1:16" s="102" customFormat="1" ht="13">
      <c r="A8" s="103"/>
      <c r="B8" s="105"/>
      <c r="C8" s="105"/>
      <c r="D8" s="21"/>
      <c r="E8" s="134"/>
      <c r="F8" s="133"/>
      <c r="G8" s="134"/>
      <c r="H8" s="105"/>
      <c r="I8" s="167"/>
      <c r="J8" s="105"/>
      <c r="K8" s="135"/>
      <c r="L8" s="105"/>
      <c r="M8" s="105"/>
      <c r="N8" s="110"/>
      <c r="O8" s="105"/>
      <c r="P8" s="105"/>
    </row>
    <row r="9" spans="1:16" s="102" customFormat="1" ht="13">
      <c r="A9" s="103"/>
      <c r="B9" s="105"/>
      <c r="C9" s="105"/>
      <c r="D9" s="21"/>
      <c r="E9" s="105"/>
      <c r="F9" s="105"/>
      <c r="G9" s="105"/>
      <c r="H9" s="105"/>
      <c r="I9" s="105"/>
      <c r="J9" s="105"/>
      <c r="K9" s="105"/>
      <c r="L9" s="105"/>
      <c r="M9" s="105"/>
      <c r="N9" s="168"/>
      <c r="O9" s="105"/>
      <c r="P9" s="105"/>
    </row>
    <row r="10" spans="1:16" s="102" customFormat="1">
      <c r="A10" s="103"/>
      <c r="B10" s="105"/>
      <c r="C10" s="105"/>
      <c r="D10" s="21"/>
      <c r="E10" s="105"/>
      <c r="F10" s="145"/>
      <c r="G10" s="105"/>
      <c r="H10" s="105"/>
      <c r="I10" s="21"/>
      <c r="J10" s="21"/>
      <c r="K10" s="105"/>
      <c r="L10" s="105"/>
      <c r="M10" s="105"/>
      <c r="N10" s="110"/>
      <c r="O10" s="105"/>
      <c r="P10" s="105"/>
    </row>
    <row r="11" spans="1:16" s="102" customFormat="1" ht="12.75" customHeight="1">
      <c r="A11" s="103"/>
      <c r="B11" s="169"/>
      <c r="C11" s="105"/>
      <c r="D11" s="10"/>
      <c r="E11" s="10"/>
      <c r="F11" s="10"/>
      <c r="G11" s="10"/>
      <c r="H11" s="10"/>
      <c r="I11" s="10"/>
      <c r="J11" s="10"/>
      <c r="K11" s="10"/>
      <c r="L11" s="10"/>
      <c r="M11" s="10"/>
      <c r="N11" s="170"/>
      <c r="O11" s="105"/>
      <c r="P11" s="105"/>
    </row>
    <row r="12" spans="1:16" s="102" customFormat="1" ht="12.75" customHeight="1">
      <c r="A12" s="103"/>
      <c r="B12" s="169"/>
      <c r="C12" s="105"/>
      <c r="D12" s="10"/>
      <c r="E12" s="10"/>
      <c r="F12" s="10"/>
      <c r="G12" s="10"/>
      <c r="H12" s="10"/>
      <c r="I12" s="10"/>
      <c r="J12" s="10"/>
      <c r="K12" s="10"/>
      <c r="L12" s="10"/>
      <c r="M12" s="10"/>
      <c r="N12" s="170"/>
      <c r="O12" s="105"/>
      <c r="P12" s="105"/>
    </row>
    <row r="13" spans="1:16" s="102" customFormat="1" ht="12.75" customHeight="1">
      <c r="A13" s="103"/>
      <c r="B13" s="169"/>
      <c r="C13" s="169"/>
      <c r="D13" s="169"/>
      <c r="E13" s="169"/>
      <c r="F13" s="10"/>
      <c r="G13" s="10"/>
      <c r="H13" s="10"/>
      <c r="I13" s="10"/>
      <c r="J13" s="10"/>
      <c r="K13" s="10"/>
      <c r="L13" s="10"/>
      <c r="M13" s="10"/>
      <c r="N13" s="170"/>
      <c r="O13" s="105"/>
      <c r="P13" s="105"/>
    </row>
    <row r="14" spans="1:16" s="102" customFormat="1" ht="12.75" customHeight="1">
      <c r="A14" s="103"/>
      <c r="B14" s="169"/>
      <c r="C14" s="169"/>
      <c r="D14" s="169"/>
      <c r="E14" s="169"/>
      <c r="F14" s="171"/>
      <c r="G14" s="171"/>
      <c r="H14" s="171"/>
      <c r="I14" s="171"/>
      <c r="J14" s="172"/>
      <c r="K14" s="172"/>
      <c r="L14" s="173"/>
      <c r="M14" s="173"/>
      <c r="N14" s="174"/>
      <c r="P14" s="175"/>
    </row>
    <row r="15" spans="1:16" s="102" customFormat="1" ht="13.5" customHeight="1">
      <c r="A15" s="103"/>
      <c r="B15" s="24" t="s">
        <v>206</v>
      </c>
      <c r="C15" s="25"/>
      <c r="D15" s="64" t="s">
        <v>207</v>
      </c>
      <c r="E15" s="64"/>
      <c r="F15" s="70"/>
      <c r="G15" s="176"/>
      <c r="H15" s="176"/>
      <c r="I15" s="176"/>
      <c r="J15" s="176"/>
      <c r="K15" s="177"/>
      <c r="L15" s="178"/>
      <c r="M15" s="178"/>
      <c r="N15" s="179"/>
      <c r="P15" s="175"/>
    </row>
    <row r="16" spans="1:16">
      <c r="A16" s="180"/>
      <c r="B16" s="25"/>
      <c r="C16" s="25"/>
      <c r="D16" s="64" t="s">
        <v>208</v>
      </c>
      <c r="E16" s="64"/>
      <c r="F16" s="181"/>
      <c r="G16" s="71"/>
      <c r="H16" s="71"/>
      <c r="I16" s="71"/>
      <c r="J16" s="71"/>
      <c r="K16" s="182"/>
      <c r="L16" s="182"/>
      <c r="M16" s="182"/>
      <c r="N16" s="179"/>
      <c r="P16" s="175"/>
    </row>
    <row r="17" spans="1:16">
      <c r="A17" s="180"/>
      <c r="B17" s="25"/>
      <c r="C17" s="25"/>
      <c r="D17" s="64"/>
      <c r="E17" s="64"/>
      <c r="F17" s="71"/>
      <c r="G17" s="71"/>
      <c r="H17" s="71"/>
      <c r="I17" s="71"/>
      <c r="J17" s="71"/>
      <c r="K17" s="182"/>
      <c r="L17" s="182"/>
      <c r="M17" s="182"/>
      <c r="N17" s="179"/>
      <c r="P17" s="175"/>
    </row>
    <row r="18" spans="1:16" ht="13">
      <c r="A18" s="180"/>
      <c r="B18" s="24" t="s">
        <v>209</v>
      </c>
      <c r="C18" s="25"/>
      <c r="D18" s="64" t="s">
        <v>210</v>
      </c>
      <c r="E18" s="64"/>
      <c r="F18" s="71"/>
      <c r="G18" s="71"/>
      <c r="H18" s="71"/>
      <c r="I18" s="71"/>
      <c r="J18" s="71"/>
      <c r="K18" s="182"/>
      <c r="L18" s="182"/>
      <c r="M18" s="182"/>
      <c r="N18" s="179"/>
      <c r="P18" s="175"/>
    </row>
    <row r="19" spans="1:16" ht="13">
      <c r="A19" s="180"/>
      <c r="B19" s="24"/>
      <c r="C19" s="25"/>
      <c r="D19" s="64" t="s">
        <v>211</v>
      </c>
      <c r="E19" s="64"/>
      <c r="F19" s="71"/>
      <c r="G19" s="71"/>
      <c r="H19" s="71"/>
      <c r="I19" s="71"/>
      <c r="J19" s="71"/>
      <c r="K19" s="182"/>
      <c r="L19" s="182"/>
      <c r="M19" s="182"/>
      <c r="N19" s="179"/>
      <c r="P19" s="175"/>
    </row>
    <row r="20" spans="1:16" ht="13">
      <c r="A20" s="180"/>
      <c r="B20" s="24"/>
      <c r="C20" s="25"/>
      <c r="D20" s="64"/>
      <c r="E20" s="64"/>
      <c r="F20" s="71"/>
      <c r="G20" s="71"/>
      <c r="H20" s="71"/>
      <c r="I20" s="71"/>
      <c r="J20" s="71"/>
      <c r="K20" s="182"/>
      <c r="L20" s="182"/>
      <c r="M20" s="182"/>
      <c r="N20" s="179"/>
      <c r="P20" s="175"/>
    </row>
    <row r="21" spans="1:16" ht="15.75" customHeight="1">
      <c r="A21" s="180"/>
      <c r="B21" s="24" t="s">
        <v>212</v>
      </c>
      <c r="C21" s="25"/>
      <c r="D21" s="64" t="s">
        <v>213</v>
      </c>
      <c r="E21" s="64"/>
      <c r="F21" s="183"/>
      <c r="G21" s="183"/>
      <c r="H21" s="183"/>
      <c r="I21" s="183"/>
      <c r="J21" s="71"/>
      <c r="K21" s="182"/>
      <c r="L21" s="182"/>
      <c r="M21" s="182"/>
      <c r="N21" s="179"/>
      <c r="P21" s="175"/>
    </row>
    <row r="22" spans="1:16" ht="13">
      <c r="A22" s="180"/>
      <c r="B22" s="24"/>
      <c r="C22" s="25"/>
      <c r="D22" s="64"/>
      <c r="E22" s="64"/>
      <c r="F22" s="71"/>
      <c r="G22" s="71"/>
      <c r="H22" s="71"/>
      <c r="I22" s="71"/>
      <c r="J22" s="184"/>
      <c r="K22" s="182"/>
      <c r="L22" s="182"/>
      <c r="M22" s="182"/>
      <c r="N22" s="179"/>
      <c r="P22" s="175"/>
    </row>
    <row r="23" spans="1:16" ht="13">
      <c r="A23" s="180"/>
      <c r="B23" s="24" t="s">
        <v>214</v>
      </c>
      <c r="C23" s="25"/>
      <c r="D23" s="64" t="s">
        <v>1023</v>
      </c>
      <c r="E23" s="64"/>
      <c r="F23" s="185"/>
      <c r="G23" s="185"/>
      <c r="H23" s="185"/>
      <c r="I23" s="185"/>
      <c r="J23" s="185"/>
      <c r="K23" s="185"/>
      <c r="L23" s="185"/>
      <c r="M23" s="185"/>
      <c r="N23" s="179"/>
      <c r="P23" s="175"/>
    </row>
    <row r="24" spans="1:16" ht="12.75" customHeight="1">
      <c r="A24" s="180"/>
      <c r="B24" s="24"/>
      <c r="C24" s="25"/>
      <c r="D24" s="64"/>
      <c r="E24" s="64"/>
      <c r="F24" s="185"/>
      <c r="G24" s="185"/>
      <c r="H24" s="185"/>
      <c r="I24" s="185"/>
      <c r="J24" s="185"/>
      <c r="K24" s="185"/>
      <c r="L24" s="185"/>
      <c r="M24" s="185"/>
      <c r="N24" s="179"/>
      <c r="P24" s="175"/>
    </row>
    <row r="25" spans="1:16" s="102" customFormat="1" ht="12.75" customHeight="1">
      <c r="A25" s="103"/>
      <c r="B25" s="24" t="s">
        <v>215</v>
      </c>
      <c r="C25" s="25"/>
      <c r="D25" s="64" t="s">
        <v>216</v>
      </c>
      <c r="E25" s="64"/>
      <c r="F25" s="185"/>
      <c r="G25" s="185"/>
      <c r="H25" s="185"/>
      <c r="I25" s="185"/>
      <c r="J25" s="185"/>
      <c r="K25" s="185"/>
      <c r="L25" s="185"/>
      <c r="M25" s="185"/>
      <c r="N25" s="186"/>
      <c r="O25" s="105"/>
      <c r="P25" s="105"/>
    </row>
    <row r="26" spans="1:16" s="102" customFormat="1" ht="12.75" customHeight="1">
      <c r="A26" s="103"/>
      <c r="B26" s="24"/>
      <c r="C26" s="25"/>
      <c r="D26" s="64"/>
      <c r="E26" s="64"/>
      <c r="F26" s="185"/>
      <c r="G26" s="185"/>
      <c r="H26" s="185"/>
      <c r="I26" s="185"/>
      <c r="J26" s="185"/>
      <c r="K26" s="185"/>
      <c r="L26" s="185"/>
      <c r="M26" s="185"/>
      <c r="N26" s="186"/>
      <c r="O26" s="105"/>
      <c r="P26" s="105"/>
    </row>
    <row r="27" spans="1:16" s="102" customFormat="1" ht="12.75" customHeight="1">
      <c r="A27" s="103"/>
      <c r="B27" s="24" t="s">
        <v>217</v>
      </c>
      <c r="C27" s="25"/>
      <c r="D27" s="25" t="s">
        <v>1024</v>
      </c>
      <c r="E27" s="64"/>
      <c r="F27" s="185"/>
      <c r="G27" s="185"/>
      <c r="H27" s="185"/>
      <c r="I27" s="187"/>
      <c r="J27" s="185"/>
      <c r="K27" s="185"/>
      <c r="L27" s="185"/>
      <c r="M27" s="185"/>
      <c r="N27" s="188"/>
      <c r="O27" s="105"/>
      <c r="P27" s="105"/>
    </row>
    <row r="28" spans="1:16" s="102" customFormat="1" ht="12.75" customHeight="1">
      <c r="A28" s="103"/>
      <c r="B28" s="24"/>
      <c r="C28" s="25"/>
      <c r="D28" s="64"/>
      <c r="E28" s="64"/>
      <c r="F28" s="185"/>
      <c r="G28" s="185"/>
      <c r="H28" s="185"/>
      <c r="I28" s="185"/>
      <c r="J28" s="185"/>
      <c r="K28" s="185"/>
      <c r="L28" s="185"/>
      <c r="M28" s="185"/>
      <c r="N28" s="186"/>
      <c r="O28" s="105"/>
      <c r="P28" s="105"/>
    </row>
    <row r="29" spans="1:16" s="102" customFormat="1" ht="12.75" customHeight="1">
      <c r="A29" s="103"/>
      <c r="B29" s="24" t="s">
        <v>218</v>
      </c>
      <c r="C29" s="25"/>
      <c r="D29" s="64" t="s">
        <v>219</v>
      </c>
      <c r="E29" s="64"/>
      <c r="F29" s="185"/>
      <c r="G29" s="185"/>
      <c r="H29" s="185"/>
      <c r="I29" s="185"/>
      <c r="J29" s="185"/>
      <c r="K29" s="185"/>
      <c r="L29" s="185"/>
      <c r="M29" s="185"/>
      <c r="N29" s="186"/>
      <c r="O29" s="105"/>
      <c r="P29" s="105"/>
    </row>
    <row r="30" spans="1:16" s="102" customFormat="1" ht="12.75" customHeight="1">
      <c r="A30" s="103"/>
      <c r="B30" s="25"/>
      <c r="C30" s="25"/>
      <c r="D30" s="64" t="s">
        <v>1025</v>
      </c>
      <c r="E30" s="64"/>
      <c r="F30" s="185"/>
      <c r="G30" s="185"/>
      <c r="H30" s="185"/>
      <c r="I30" s="185"/>
      <c r="J30" s="185"/>
      <c r="K30" s="185"/>
      <c r="L30" s="185"/>
      <c r="M30" s="185"/>
      <c r="N30" s="186"/>
      <c r="O30" s="105"/>
      <c r="P30" s="105"/>
    </row>
    <row r="31" spans="1:16" s="102" customFormat="1" ht="12.75" customHeight="1">
      <c r="A31" s="103"/>
      <c r="B31" s="25"/>
      <c r="C31" s="25"/>
      <c r="D31" s="64"/>
      <c r="E31" s="64"/>
      <c r="F31" s="185"/>
      <c r="G31" s="185"/>
      <c r="H31" s="185"/>
      <c r="I31" s="185"/>
      <c r="J31" s="185"/>
      <c r="K31" s="185"/>
      <c r="L31" s="185"/>
      <c r="M31" s="185"/>
      <c r="N31" s="186"/>
      <c r="O31" s="105"/>
      <c r="P31" s="105"/>
    </row>
    <row r="32" spans="1:16" s="102" customFormat="1" ht="12.75" customHeight="1">
      <c r="A32" s="103"/>
      <c r="B32" s="24" t="s">
        <v>220</v>
      </c>
      <c r="C32" s="25"/>
      <c r="D32" s="64" t="s">
        <v>1026</v>
      </c>
      <c r="E32" s="189"/>
      <c r="F32" s="185"/>
      <c r="G32" s="185"/>
      <c r="H32" s="190"/>
      <c r="I32" s="190"/>
      <c r="J32" s="190"/>
      <c r="K32" s="190"/>
      <c r="L32" s="190"/>
      <c r="M32" s="190"/>
      <c r="N32" s="191"/>
      <c r="O32" s="105"/>
      <c r="P32" s="105"/>
    </row>
    <row r="33" spans="1:16" s="102" customFormat="1" ht="12.75" customHeight="1">
      <c r="A33" s="103"/>
      <c r="B33" s="24"/>
      <c r="C33" s="105"/>
      <c r="D33" s="190"/>
      <c r="E33" s="190"/>
      <c r="F33" s="190"/>
      <c r="G33" s="190"/>
      <c r="H33" s="190"/>
      <c r="I33" s="190"/>
      <c r="J33" s="190"/>
      <c r="K33" s="190"/>
      <c r="L33" s="190"/>
      <c r="M33" s="190"/>
      <c r="N33" s="191"/>
      <c r="O33" s="105"/>
      <c r="P33" s="105"/>
    </row>
    <row r="34" spans="1:16" s="102" customFormat="1" ht="12.75" customHeight="1">
      <c r="A34" s="103"/>
      <c r="B34" s="24" t="s">
        <v>221</v>
      </c>
      <c r="C34" s="192"/>
      <c r="D34" s="64" t="s">
        <v>1027</v>
      </c>
      <c r="E34" s="185"/>
      <c r="F34" s="185"/>
      <c r="G34" s="185"/>
      <c r="H34" s="185"/>
      <c r="I34" s="185"/>
      <c r="J34" s="190"/>
      <c r="K34" s="190"/>
      <c r="L34" s="190"/>
      <c r="M34" s="190"/>
      <c r="N34" s="191"/>
      <c r="O34" s="105"/>
      <c r="P34" s="105"/>
    </row>
    <row r="35" spans="1:16" s="102" customFormat="1" ht="12.75" customHeight="1">
      <c r="A35" s="103"/>
      <c r="B35" s="105"/>
      <c r="C35" s="105"/>
      <c r="D35" s="105"/>
      <c r="E35" s="105"/>
      <c r="F35" s="105"/>
      <c r="G35" s="105"/>
      <c r="H35" s="105"/>
      <c r="I35" s="105"/>
      <c r="J35" s="105"/>
      <c r="K35" s="105"/>
      <c r="L35" s="105"/>
      <c r="M35" s="105"/>
      <c r="N35" s="110"/>
      <c r="O35" s="105"/>
      <c r="P35" s="105"/>
    </row>
    <row r="36" spans="1:16" s="102" customFormat="1" ht="12.75" customHeight="1">
      <c r="A36" s="103"/>
      <c r="B36" s="25"/>
      <c r="C36" s="25"/>
      <c r="D36" s="25"/>
      <c r="E36" s="25"/>
      <c r="F36" s="193"/>
      <c r="G36" s="193"/>
      <c r="H36" s="193"/>
      <c r="I36" s="193"/>
      <c r="J36" s="193"/>
      <c r="K36" s="193"/>
      <c r="L36" s="193"/>
      <c r="M36" s="193"/>
      <c r="N36" s="170"/>
      <c r="O36" s="105"/>
      <c r="P36" s="105"/>
    </row>
    <row r="37" spans="1:16" s="102" customFormat="1" ht="12.75" customHeight="1">
      <c r="A37" s="103"/>
      <c r="B37" s="193"/>
      <c r="C37" s="193"/>
      <c r="D37" s="193"/>
      <c r="E37" s="193"/>
      <c r="F37" s="193"/>
      <c r="G37" s="193"/>
      <c r="H37" s="193"/>
      <c r="I37" s="193"/>
      <c r="J37" s="193"/>
      <c r="K37" s="193"/>
      <c r="L37" s="193"/>
      <c r="M37" s="193"/>
      <c r="N37" s="194"/>
      <c r="O37" s="105"/>
      <c r="P37" s="105"/>
    </row>
    <row r="38" spans="1:16" s="102" customFormat="1" ht="12.75" customHeight="1">
      <c r="A38" s="103"/>
      <c r="B38" s="193"/>
      <c r="C38" s="193"/>
      <c r="D38" s="193"/>
      <c r="E38" s="193"/>
      <c r="F38" s="193"/>
      <c r="G38" s="193"/>
      <c r="H38" s="193"/>
      <c r="I38" s="193"/>
      <c r="J38" s="193"/>
      <c r="K38" s="193"/>
      <c r="L38" s="193"/>
      <c r="M38" s="193"/>
      <c r="N38" s="194"/>
      <c r="O38" s="105"/>
      <c r="P38" s="105"/>
    </row>
    <row r="39" spans="1:16" s="102" customFormat="1" ht="12.75" customHeight="1">
      <c r="A39" s="103"/>
      <c r="B39" s="193"/>
      <c r="C39" s="193"/>
      <c r="D39" s="193"/>
      <c r="E39" s="193"/>
      <c r="F39" s="193"/>
      <c r="G39" s="193"/>
      <c r="H39" s="193"/>
      <c r="I39" s="193"/>
      <c r="J39" s="193"/>
      <c r="K39" s="193"/>
      <c r="L39" s="193"/>
      <c r="M39" s="193"/>
      <c r="N39" s="194"/>
      <c r="O39" s="105"/>
      <c r="P39" s="105"/>
    </row>
    <row r="40" spans="1:16" s="102" customFormat="1" ht="12.75" customHeight="1">
      <c r="A40" s="103"/>
      <c r="B40" s="193"/>
      <c r="C40" s="193"/>
      <c r="D40" s="193"/>
      <c r="E40" s="193"/>
      <c r="F40" s="193"/>
      <c r="G40" s="193"/>
      <c r="H40" s="193"/>
      <c r="I40" s="193"/>
      <c r="J40" s="193"/>
      <c r="K40" s="193"/>
      <c r="L40" s="193"/>
      <c r="M40" s="193"/>
      <c r="N40" s="194"/>
      <c r="O40" s="105"/>
      <c r="P40" s="105"/>
    </row>
    <row r="41" spans="1:16" s="102" customFormat="1" ht="12.75" customHeight="1">
      <c r="A41" s="103"/>
      <c r="B41" s="193"/>
      <c r="C41" s="193"/>
      <c r="D41" s="193"/>
      <c r="E41" s="193"/>
      <c r="F41" s="193"/>
      <c r="G41" s="193"/>
      <c r="H41" s="193"/>
      <c r="I41" s="193"/>
      <c r="J41" s="193"/>
      <c r="K41" s="193"/>
      <c r="L41" s="193"/>
      <c r="M41" s="193"/>
      <c r="N41" s="194"/>
      <c r="O41" s="105"/>
      <c r="P41" s="105"/>
    </row>
    <row r="42" spans="1:16" s="102" customFormat="1" ht="12.75" customHeight="1">
      <c r="A42" s="103"/>
      <c r="B42" s="193"/>
      <c r="C42" s="193"/>
      <c r="D42" s="193"/>
      <c r="E42" s="193"/>
      <c r="F42" s="193"/>
      <c r="G42" s="193"/>
      <c r="H42" s="193"/>
      <c r="I42" s="193"/>
      <c r="J42" s="193"/>
      <c r="K42" s="193"/>
      <c r="L42" s="193"/>
      <c r="M42" s="193"/>
      <c r="N42" s="194"/>
      <c r="O42" s="105"/>
      <c r="P42" s="105"/>
    </row>
    <row r="43" spans="1:16">
      <c r="A43" s="180"/>
      <c r="B43" s="193"/>
      <c r="C43" s="193"/>
      <c r="D43" s="193"/>
      <c r="E43" s="193"/>
      <c r="F43" s="193"/>
      <c r="G43" s="193"/>
      <c r="H43" s="193"/>
      <c r="I43" s="193"/>
      <c r="J43" s="193"/>
      <c r="K43" s="193"/>
      <c r="L43" s="193"/>
      <c r="M43" s="193"/>
      <c r="N43" s="194"/>
      <c r="O43" s="21"/>
      <c r="P43" s="21"/>
    </row>
    <row r="44" spans="1:16">
      <c r="A44" s="180"/>
      <c r="B44" s="193"/>
      <c r="C44" s="193"/>
      <c r="D44" s="193"/>
      <c r="E44" s="193"/>
      <c r="F44" s="193"/>
      <c r="G44" s="193"/>
      <c r="H44" s="193"/>
      <c r="I44" s="193"/>
      <c r="J44" s="193"/>
      <c r="K44" s="193"/>
      <c r="L44" s="193"/>
      <c r="M44" s="193"/>
      <c r="N44" s="194"/>
      <c r="O44" s="21"/>
      <c r="P44" s="21"/>
    </row>
    <row r="45" spans="1:16">
      <c r="A45" s="180"/>
      <c r="B45" s="193"/>
      <c r="C45" s="193"/>
      <c r="D45" s="193"/>
      <c r="E45" s="193"/>
      <c r="F45" s="193"/>
      <c r="G45" s="193"/>
      <c r="H45" s="193"/>
      <c r="I45" s="193"/>
      <c r="J45" s="193"/>
      <c r="K45" s="193"/>
      <c r="L45" s="193"/>
      <c r="M45" s="193"/>
      <c r="N45" s="194"/>
      <c r="O45" s="21"/>
      <c r="P45" s="21"/>
    </row>
    <row r="46" spans="1:16" s="21" customFormat="1">
      <c r="A46" s="180"/>
      <c r="B46" s="105"/>
      <c r="C46" s="105"/>
      <c r="D46" s="105"/>
      <c r="E46" s="105"/>
      <c r="F46" s="105"/>
      <c r="G46" s="105"/>
      <c r="H46" s="193"/>
      <c r="I46" s="193"/>
      <c r="J46" s="193"/>
      <c r="K46" s="193"/>
      <c r="L46" s="193"/>
      <c r="M46" s="193"/>
      <c r="N46" s="174"/>
    </row>
    <row r="47" spans="1:16" s="21" customFormat="1">
      <c r="A47" s="180"/>
      <c r="B47" s="105"/>
      <c r="C47" s="105"/>
      <c r="D47" s="105"/>
      <c r="E47" s="105"/>
      <c r="F47" s="105"/>
      <c r="G47" s="105"/>
      <c r="H47" s="193"/>
      <c r="I47" s="193"/>
      <c r="J47" s="193"/>
      <c r="K47" s="193"/>
      <c r="L47" s="193"/>
      <c r="M47" s="193"/>
      <c r="N47" s="174"/>
    </row>
    <row r="48" spans="1:16" s="21" customFormat="1">
      <c r="A48" s="180"/>
      <c r="B48" s="193"/>
      <c r="C48" s="193"/>
      <c r="D48" s="193"/>
      <c r="E48" s="193"/>
      <c r="F48" s="193"/>
      <c r="G48" s="193"/>
      <c r="H48" s="193"/>
      <c r="I48" s="193"/>
      <c r="J48" s="193"/>
      <c r="K48" s="193"/>
      <c r="L48" s="193"/>
      <c r="M48" s="193"/>
      <c r="N48" s="174"/>
    </row>
    <row r="49" spans="1:14" s="21" customFormat="1" ht="12.75" customHeight="1">
      <c r="A49" s="195"/>
      <c r="B49" s="50"/>
      <c r="C49" s="11"/>
      <c r="D49" s="12"/>
      <c r="E49" s="12"/>
      <c r="F49" s="12"/>
      <c r="G49" s="12"/>
      <c r="H49" s="12"/>
      <c r="I49" s="12"/>
      <c r="J49" s="12"/>
      <c r="K49" s="12"/>
      <c r="L49" s="12"/>
      <c r="M49" s="12"/>
      <c r="N49" s="196"/>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7"/>
      <c r="E53" s="13"/>
      <c r="F53" s="198"/>
      <c r="G53" s="199"/>
      <c r="H53" s="198"/>
      <c r="I53" s="173"/>
    </row>
    <row r="54" spans="1:14" s="21" customFormat="1">
      <c r="B54" s="14"/>
      <c r="C54" s="13"/>
      <c r="D54" s="197"/>
      <c r="E54" s="13"/>
      <c r="F54" s="198"/>
      <c r="G54" s="199"/>
      <c r="H54" s="198"/>
      <c r="I54" s="173"/>
    </row>
    <row r="55" spans="1:14" s="21" customFormat="1">
      <c r="B55" s="14"/>
      <c r="C55" s="13"/>
      <c r="D55" s="197"/>
      <c r="E55" s="13"/>
      <c r="F55" s="198"/>
      <c r="G55" s="199"/>
      <c r="H55" s="198"/>
      <c r="I55" s="173"/>
    </row>
    <row r="56" spans="1:14" s="21" customFormat="1">
      <c r="B56" s="14"/>
      <c r="C56" s="13"/>
      <c r="D56" s="197"/>
      <c r="E56" s="13"/>
      <c r="F56" s="198"/>
      <c r="G56" s="199"/>
      <c r="H56" s="198"/>
      <c r="I56" s="173"/>
    </row>
    <row r="57" spans="1:14" s="21" customFormat="1">
      <c r="B57" s="14"/>
      <c r="C57" s="13"/>
      <c r="D57" s="197"/>
      <c r="E57" s="13"/>
      <c r="F57" s="198"/>
      <c r="G57" s="199"/>
      <c r="H57" s="198"/>
      <c r="I57" s="173"/>
    </row>
    <row r="58" spans="1:14" s="21" customFormat="1">
      <c r="B58" s="14"/>
      <c r="C58" s="13"/>
      <c r="D58" s="197"/>
      <c r="E58" s="13"/>
      <c r="F58" s="198"/>
      <c r="G58" s="199"/>
      <c r="H58" s="198"/>
      <c r="I58" s="173"/>
    </row>
    <row r="59" spans="1:14" s="21" customFormat="1">
      <c r="B59" s="14"/>
      <c r="C59" s="13"/>
      <c r="D59" s="197"/>
      <c r="E59" s="13"/>
      <c r="F59" s="198"/>
      <c r="G59" s="199"/>
      <c r="H59" s="198"/>
      <c r="I59" s="173"/>
    </row>
    <row r="60" spans="1:14" s="21" customFormat="1">
      <c r="B60" s="14"/>
      <c r="C60" s="13"/>
      <c r="D60" s="197"/>
      <c r="E60" s="13"/>
      <c r="F60" s="198"/>
      <c r="G60" s="199"/>
      <c r="H60" s="198"/>
      <c r="I60" s="173"/>
    </row>
    <row r="61" spans="1:14" s="21" customFormat="1">
      <c r="B61" s="14"/>
      <c r="C61" s="13"/>
      <c r="D61" s="197"/>
      <c r="E61" s="13"/>
      <c r="F61" s="198"/>
      <c r="G61" s="199"/>
      <c r="H61" s="198"/>
      <c r="I61" s="173"/>
    </row>
    <row r="62" spans="1:14" s="21" customFormat="1">
      <c r="B62" s="14"/>
      <c r="C62" s="13"/>
      <c r="D62" s="197"/>
      <c r="E62" s="13"/>
      <c r="F62" s="198"/>
      <c r="G62" s="199"/>
      <c r="H62" s="198"/>
      <c r="I62" s="173"/>
    </row>
    <row r="63" spans="1:14" s="21" customFormat="1">
      <c r="B63" s="14"/>
      <c r="C63" s="13"/>
      <c r="D63" s="197"/>
      <c r="E63" s="13"/>
      <c r="F63" s="198"/>
      <c r="G63" s="199"/>
      <c r="H63" s="198"/>
      <c r="I63" s="173"/>
    </row>
    <row r="64" spans="1:14" s="21" customFormat="1">
      <c r="B64" s="14"/>
      <c r="C64" s="13"/>
      <c r="D64" s="197"/>
      <c r="E64" s="13"/>
      <c r="F64" s="198"/>
      <c r="G64" s="199"/>
      <c r="H64" s="198"/>
      <c r="I64" s="173"/>
    </row>
    <row r="65" spans="2:9" s="21" customFormat="1">
      <c r="B65" s="14"/>
      <c r="C65" s="13"/>
      <c r="D65" s="197"/>
      <c r="E65" s="13"/>
      <c r="F65" s="198"/>
      <c r="G65" s="199"/>
      <c r="H65" s="198"/>
      <c r="I65" s="173"/>
    </row>
    <row r="66" spans="2:9" s="21" customFormat="1">
      <c r="B66" s="14"/>
      <c r="C66" s="13"/>
      <c r="D66" s="197"/>
      <c r="E66" s="13"/>
      <c r="F66" s="198"/>
      <c r="G66" s="199"/>
      <c r="H66" s="198"/>
      <c r="I66" s="173"/>
    </row>
    <row r="67" spans="2:9" s="21" customFormat="1">
      <c r="B67" s="14"/>
      <c r="C67" s="13"/>
      <c r="D67" s="197"/>
      <c r="E67" s="13"/>
      <c r="F67" s="198"/>
      <c r="G67" s="199"/>
      <c r="H67" s="198"/>
      <c r="I67" s="173"/>
    </row>
    <row r="68" spans="2:9" s="21" customFormat="1" ht="15.5">
      <c r="B68" s="15"/>
      <c r="C68" s="13"/>
      <c r="D68" s="197"/>
      <c r="E68" s="13"/>
      <c r="F68" s="198"/>
      <c r="G68" s="199"/>
      <c r="H68" s="198"/>
      <c r="I68" s="173"/>
    </row>
    <row r="69" spans="2:9" s="21" customFormat="1" ht="15.5">
      <c r="B69" s="15"/>
      <c r="C69" s="13"/>
      <c r="D69" s="200"/>
      <c r="E69" s="201"/>
      <c r="F69" s="202"/>
      <c r="G69" s="203"/>
      <c r="H69" s="202"/>
      <c r="I69" s="173"/>
    </row>
    <row r="70" spans="2:9" s="21" customFormat="1" ht="15.5">
      <c r="B70" s="15"/>
      <c r="C70" s="13"/>
      <c r="D70" s="200"/>
      <c r="E70" s="200"/>
      <c r="F70" s="200"/>
      <c r="G70" s="200"/>
      <c r="H70" s="200"/>
      <c r="I70" s="173"/>
    </row>
    <row r="71" spans="2:9" s="21" customFormat="1" ht="15.5">
      <c r="B71" s="15"/>
      <c r="C71" s="13"/>
      <c r="D71" s="200"/>
      <c r="E71" s="200"/>
      <c r="F71" s="200"/>
      <c r="G71" s="200"/>
      <c r="H71" s="200"/>
      <c r="I71" s="173"/>
    </row>
    <row r="72" spans="2:9" s="21" customFormat="1" ht="15.5">
      <c r="B72" s="15"/>
      <c r="C72" s="13"/>
      <c r="D72" s="204"/>
      <c r="E72" s="205"/>
      <c r="F72" s="200"/>
      <c r="G72" s="200"/>
      <c r="H72" s="200"/>
      <c r="I72" s="173"/>
    </row>
    <row r="73" spans="2:9" s="21" customFormat="1">
      <c r="B73" s="14"/>
      <c r="C73" s="13"/>
      <c r="D73" s="201"/>
      <c r="E73" s="205"/>
      <c r="F73" s="200"/>
      <c r="G73" s="200"/>
      <c r="H73" s="200"/>
      <c r="I73" s="173"/>
    </row>
    <row r="74" spans="2:9" s="21" customFormat="1">
      <c r="B74" s="14"/>
      <c r="C74" s="13"/>
      <c r="D74" s="200"/>
      <c r="E74" s="205"/>
      <c r="F74" s="200"/>
      <c r="G74" s="200"/>
      <c r="H74" s="200"/>
      <c r="I74" s="173"/>
    </row>
    <row r="75" spans="2:9" s="21" customFormat="1" ht="14">
      <c r="B75" s="200"/>
      <c r="C75" s="201"/>
      <c r="D75" s="206"/>
      <c r="E75" s="206"/>
      <c r="F75" s="206"/>
      <c r="G75" s="206"/>
      <c r="H75" s="206"/>
      <c r="I75" s="173"/>
    </row>
    <row r="76" spans="2:9" s="21" customFormat="1" ht="14">
      <c r="B76" s="105"/>
      <c r="C76" s="105"/>
      <c r="D76" s="206"/>
      <c r="E76" s="206"/>
      <c r="F76" s="206"/>
      <c r="G76" s="206"/>
      <c r="H76" s="206"/>
      <c r="I76" s="173"/>
    </row>
    <row r="77" spans="2:9" s="21" customFormat="1" ht="14">
      <c r="B77" s="105"/>
      <c r="C77" s="105"/>
      <c r="D77" s="207"/>
      <c r="E77" s="208"/>
      <c r="F77" s="206"/>
      <c r="G77" s="206"/>
      <c r="H77" s="206"/>
      <c r="I77" s="173"/>
    </row>
    <row r="78" spans="2:9" s="21" customFormat="1" ht="14">
      <c r="B78" s="204"/>
      <c r="C78" s="205"/>
      <c r="D78" s="209"/>
      <c r="E78" s="208"/>
      <c r="F78" s="206"/>
      <c r="G78" s="206"/>
      <c r="H78" s="206"/>
      <c r="I78" s="173"/>
    </row>
    <row r="79" spans="2:9" s="21" customFormat="1" ht="14">
      <c r="B79" s="210"/>
      <c r="C79" s="205"/>
      <c r="D79" s="206"/>
      <c r="E79" s="208"/>
      <c r="F79" s="206"/>
      <c r="G79" s="206"/>
      <c r="H79" s="206"/>
      <c r="I79" s="173"/>
    </row>
    <row r="80" spans="2:9" s="21" customFormat="1">
      <c r="C80" s="205"/>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8"/>
  <sheetViews>
    <sheetView workbookViewId="0"/>
  </sheetViews>
  <sheetFormatPr baseColWidth="10" defaultColWidth="8.7265625" defaultRowHeight="12.5"/>
  <cols>
    <col min="1" max="1" width="13" customWidth="1"/>
    <col min="2" max="2" width="41" customWidth="1"/>
    <col min="3" max="4" width="13" customWidth="1"/>
  </cols>
  <sheetData>
    <row r="1" spans="1:4">
      <c r="A1" t="s">
        <v>633</v>
      </c>
      <c r="B1" t="s">
        <v>634</v>
      </c>
      <c r="C1" t="s">
        <v>635</v>
      </c>
      <c r="D1" t="s">
        <v>636</v>
      </c>
    </row>
    <row r="2" spans="1:4">
      <c r="A2" t="s">
        <v>1028</v>
      </c>
      <c r="B2" t="s">
        <v>1044</v>
      </c>
      <c r="C2">
        <v>6713</v>
      </c>
      <c r="D2">
        <v>6616777.5599999931</v>
      </c>
    </row>
    <row r="3" spans="1:4">
      <c r="A3" t="s">
        <v>1028</v>
      </c>
      <c r="B3" t="s">
        <v>1045</v>
      </c>
      <c r="C3">
        <v>5667</v>
      </c>
      <c r="D3">
        <v>16828090.979999956</v>
      </c>
    </row>
    <row r="4" spans="1:4">
      <c r="A4" t="s">
        <v>1028</v>
      </c>
      <c r="B4" t="s">
        <v>1046</v>
      </c>
      <c r="C4">
        <v>4555</v>
      </c>
      <c r="D4">
        <v>22729440.870000023</v>
      </c>
    </row>
    <row r="5" spans="1:4">
      <c r="A5" t="s">
        <v>1028</v>
      </c>
      <c r="B5" t="s">
        <v>1047</v>
      </c>
      <c r="C5">
        <v>3788</v>
      </c>
      <c r="D5">
        <v>26253293.099999957</v>
      </c>
    </row>
    <row r="6" spans="1:4">
      <c r="A6" t="s">
        <v>1028</v>
      </c>
      <c r="B6" t="s">
        <v>1048</v>
      </c>
      <c r="C6">
        <v>2802</v>
      </c>
      <c r="D6">
        <v>25188498.910000037</v>
      </c>
    </row>
    <row r="7" spans="1:4">
      <c r="A7" t="s">
        <v>1028</v>
      </c>
      <c r="B7" t="s">
        <v>1049</v>
      </c>
      <c r="C7">
        <v>2443</v>
      </c>
      <c r="D7">
        <v>26766297.949999996</v>
      </c>
    </row>
    <row r="8" spans="1:4">
      <c r="A8" t="s">
        <v>1028</v>
      </c>
      <c r="B8" t="s">
        <v>1050</v>
      </c>
      <c r="C8">
        <v>2250</v>
      </c>
      <c r="D8">
        <v>29204196.339999985</v>
      </c>
    </row>
    <row r="9" spans="1:4">
      <c r="A9" t="s">
        <v>1028</v>
      </c>
      <c r="B9" t="s">
        <v>1051</v>
      </c>
      <c r="C9">
        <v>1886</v>
      </c>
      <c r="D9">
        <v>28293024.520000007</v>
      </c>
    </row>
    <row r="10" spans="1:4">
      <c r="A10" t="s">
        <v>1028</v>
      </c>
      <c r="B10" t="s">
        <v>1052</v>
      </c>
      <c r="C10">
        <v>1698</v>
      </c>
      <c r="D10">
        <v>28748588.440000039</v>
      </c>
    </row>
    <row r="11" spans="1:4">
      <c r="A11" t="s">
        <v>1028</v>
      </c>
      <c r="B11" t="s">
        <v>1053</v>
      </c>
      <c r="C11">
        <v>1502</v>
      </c>
      <c r="D11">
        <v>28567155.08000005</v>
      </c>
    </row>
    <row r="12" spans="1:4">
      <c r="A12" t="s">
        <v>1028</v>
      </c>
      <c r="B12" t="s">
        <v>1054</v>
      </c>
      <c r="C12">
        <v>1289</v>
      </c>
      <c r="D12">
        <v>27012363.649999987</v>
      </c>
    </row>
    <row r="13" spans="1:4">
      <c r="A13" t="s">
        <v>1028</v>
      </c>
      <c r="B13" t="s">
        <v>1055</v>
      </c>
      <c r="C13">
        <v>1040</v>
      </c>
      <c r="D13">
        <v>23889330.09000003</v>
      </c>
    </row>
    <row r="14" spans="1:4">
      <c r="A14" t="s">
        <v>1028</v>
      </c>
      <c r="B14" t="s">
        <v>1056</v>
      </c>
      <c r="C14">
        <v>860</v>
      </c>
      <c r="D14">
        <v>21512796.680000011</v>
      </c>
    </row>
    <row r="15" spans="1:4">
      <c r="A15" t="s">
        <v>1028</v>
      </c>
      <c r="B15" t="s">
        <v>1057</v>
      </c>
      <c r="C15">
        <v>751</v>
      </c>
      <c r="D15">
        <v>20285217.369999975</v>
      </c>
    </row>
    <row r="16" spans="1:4">
      <c r="A16" t="s">
        <v>1028</v>
      </c>
      <c r="B16" t="s">
        <v>1058</v>
      </c>
      <c r="C16">
        <v>654</v>
      </c>
      <c r="D16">
        <v>18958891.969999999</v>
      </c>
    </row>
    <row r="17" spans="1:4">
      <c r="A17" t="s">
        <v>1028</v>
      </c>
      <c r="B17" t="s">
        <v>1059</v>
      </c>
      <c r="C17">
        <v>628</v>
      </c>
      <c r="D17">
        <v>19467118.580000017</v>
      </c>
    </row>
    <row r="18" spans="1:4">
      <c r="A18" t="s">
        <v>1028</v>
      </c>
      <c r="B18" t="s">
        <v>1060</v>
      </c>
      <c r="C18">
        <v>603</v>
      </c>
      <c r="D18">
        <v>19856547.850000001</v>
      </c>
    </row>
    <row r="19" spans="1:4">
      <c r="A19" t="s">
        <v>1028</v>
      </c>
      <c r="B19" t="s">
        <v>1061</v>
      </c>
      <c r="C19">
        <v>499</v>
      </c>
      <c r="D19">
        <v>17454399.189999998</v>
      </c>
    </row>
    <row r="20" spans="1:4">
      <c r="A20" t="s">
        <v>1028</v>
      </c>
      <c r="B20" t="s">
        <v>1062</v>
      </c>
      <c r="C20">
        <v>409</v>
      </c>
      <c r="D20">
        <v>15142667.830000008</v>
      </c>
    </row>
    <row r="21" spans="1:4">
      <c r="A21" t="s">
        <v>1028</v>
      </c>
      <c r="B21" t="s">
        <v>1063</v>
      </c>
      <c r="C21">
        <v>366</v>
      </c>
      <c r="D21">
        <v>14252932.600000009</v>
      </c>
    </row>
    <row r="22" spans="1:4">
      <c r="A22" t="s">
        <v>1028</v>
      </c>
      <c r="B22" t="s">
        <v>1064</v>
      </c>
      <c r="C22">
        <v>277</v>
      </c>
      <c r="D22">
        <v>11351469.470000001</v>
      </c>
    </row>
    <row r="23" spans="1:4">
      <c r="A23" t="s">
        <v>1028</v>
      </c>
      <c r="B23" t="s">
        <v>1065</v>
      </c>
      <c r="C23">
        <v>254</v>
      </c>
      <c r="D23">
        <v>10907555.019999988</v>
      </c>
    </row>
    <row r="24" spans="1:4">
      <c r="A24" t="s">
        <v>1028</v>
      </c>
      <c r="B24" t="s">
        <v>1066</v>
      </c>
      <c r="C24">
        <v>217</v>
      </c>
      <c r="D24">
        <v>9768966.2800000012</v>
      </c>
    </row>
    <row r="25" spans="1:4">
      <c r="A25" t="s">
        <v>1028</v>
      </c>
      <c r="B25" t="s">
        <v>1067</v>
      </c>
      <c r="C25">
        <v>185</v>
      </c>
      <c r="D25">
        <v>8700144.2599999961</v>
      </c>
    </row>
    <row r="26" spans="1:4">
      <c r="A26" t="s">
        <v>1028</v>
      </c>
      <c r="B26" t="s">
        <v>1068</v>
      </c>
      <c r="C26">
        <v>159</v>
      </c>
      <c r="D26">
        <v>7783913.629999999</v>
      </c>
    </row>
    <row r="27" spans="1:4">
      <c r="A27" t="s">
        <v>1028</v>
      </c>
      <c r="B27" t="s">
        <v>1069</v>
      </c>
      <c r="C27">
        <v>121</v>
      </c>
      <c r="D27">
        <v>6147358.2299999977</v>
      </c>
    </row>
    <row r="28" spans="1:4">
      <c r="A28" t="s">
        <v>1028</v>
      </c>
      <c r="B28" t="s">
        <v>1070</v>
      </c>
      <c r="C28">
        <v>99</v>
      </c>
      <c r="D28">
        <v>5241783.540000001</v>
      </c>
    </row>
    <row r="29" spans="1:4">
      <c r="A29" t="s">
        <v>1028</v>
      </c>
      <c r="B29" t="s">
        <v>1071</v>
      </c>
      <c r="C29">
        <v>69</v>
      </c>
      <c r="D29">
        <v>3794952.2800000003</v>
      </c>
    </row>
    <row r="30" spans="1:4">
      <c r="A30" t="s">
        <v>1028</v>
      </c>
      <c r="B30" t="s">
        <v>1072</v>
      </c>
      <c r="C30">
        <v>56</v>
      </c>
      <c r="D30">
        <v>3189071.7500000009</v>
      </c>
    </row>
    <row r="31" spans="1:4">
      <c r="A31" t="s">
        <v>1028</v>
      </c>
      <c r="B31" t="s">
        <v>1073</v>
      </c>
      <c r="C31">
        <v>30</v>
      </c>
      <c r="D31">
        <v>1762669.4700000004</v>
      </c>
    </row>
    <row r="32" spans="1:4">
      <c r="A32" t="s">
        <v>1028</v>
      </c>
      <c r="B32" t="s">
        <v>1074</v>
      </c>
      <c r="C32">
        <v>32</v>
      </c>
      <c r="D32">
        <v>1953877.6400000001</v>
      </c>
    </row>
    <row r="33" spans="1:4">
      <c r="A33" t="s">
        <v>1028</v>
      </c>
      <c r="B33" t="s">
        <v>1075</v>
      </c>
      <c r="C33">
        <v>18</v>
      </c>
      <c r="D33">
        <v>1134655.8499999999</v>
      </c>
    </row>
    <row r="34" spans="1:4">
      <c r="A34" t="s">
        <v>1028</v>
      </c>
      <c r="B34" t="s">
        <v>1076</v>
      </c>
      <c r="C34">
        <v>20</v>
      </c>
      <c r="D34">
        <v>1296064.45</v>
      </c>
    </row>
    <row r="35" spans="1:4">
      <c r="A35" t="s">
        <v>1028</v>
      </c>
      <c r="B35" t="s">
        <v>1077</v>
      </c>
      <c r="C35">
        <v>15</v>
      </c>
      <c r="D35">
        <v>1004096.0299999999</v>
      </c>
    </row>
    <row r="36" spans="1:4">
      <c r="A36" t="s">
        <v>1028</v>
      </c>
      <c r="B36" t="s">
        <v>1078</v>
      </c>
      <c r="C36">
        <v>8</v>
      </c>
      <c r="D36">
        <v>552590.40999999992</v>
      </c>
    </row>
    <row r="37" spans="1:4">
      <c r="A37" t="s">
        <v>1028</v>
      </c>
      <c r="B37" t="s">
        <v>1079</v>
      </c>
      <c r="C37">
        <v>3</v>
      </c>
      <c r="D37">
        <v>211574.99</v>
      </c>
    </row>
    <row r="38" spans="1:4">
      <c r="A38" t="s">
        <v>1028</v>
      </c>
      <c r="B38" t="s">
        <v>1080</v>
      </c>
      <c r="C38">
        <v>2</v>
      </c>
      <c r="D38">
        <v>147421.62</v>
      </c>
    </row>
    <row r="39" spans="1:4">
      <c r="A39" t="s">
        <v>1028</v>
      </c>
      <c r="B39" t="s">
        <v>1081</v>
      </c>
      <c r="C39">
        <v>2</v>
      </c>
      <c r="D39">
        <v>151647.16</v>
      </c>
    </row>
    <row r="40" spans="1:4">
      <c r="A40" t="s">
        <v>1030</v>
      </c>
      <c r="B40" t="s">
        <v>1082</v>
      </c>
      <c r="C40">
        <v>0</v>
      </c>
      <c r="D40">
        <v>0</v>
      </c>
    </row>
    <row r="41" spans="1:4">
      <c r="A41" t="s">
        <v>1028</v>
      </c>
      <c r="B41" t="s">
        <v>1083</v>
      </c>
      <c r="C41">
        <v>1</v>
      </c>
      <c r="D41">
        <v>79381.03</v>
      </c>
    </row>
    <row r="42" spans="1:4">
      <c r="A42" t="s">
        <v>1028</v>
      </c>
      <c r="B42" t="s">
        <v>1084</v>
      </c>
      <c r="C42">
        <v>8</v>
      </c>
      <c r="D42">
        <v>712655.2</v>
      </c>
    </row>
    <row r="43" spans="1:4">
      <c r="A43" t="s">
        <v>1028</v>
      </c>
      <c r="B43" t="s">
        <v>1085</v>
      </c>
      <c r="D43">
        <v>113</v>
      </c>
    </row>
    <row r="44" spans="1:4">
      <c r="A44" t="s">
        <v>1028</v>
      </c>
      <c r="B44" t="s">
        <v>1086</v>
      </c>
      <c r="C44">
        <v>133</v>
      </c>
      <c r="D44">
        <v>82808.439999999988</v>
      </c>
    </row>
    <row r="45" spans="1:4">
      <c r="A45" t="s">
        <v>1028</v>
      </c>
      <c r="B45" t="s">
        <v>1087</v>
      </c>
      <c r="C45">
        <v>817</v>
      </c>
      <c r="D45">
        <v>5332960.5600000033</v>
      </c>
    </row>
    <row r="46" spans="1:4">
      <c r="A46" t="s">
        <v>1028</v>
      </c>
      <c r="B46" t="s">
        <v>1088</v>
      </c>
      <c r="C46">
        <v>7913</v>
      </c>
      <c r="D46">
        <v>88553092.07000035</v>
      </c>
    </row>
    <row r="47" spans="1:4">
      <c r="A47" t="s">
        <v>1028</v>
      </c>
      <c r="B47" t="s">
        <v>1089</v>
      </c>
      <c r="C47">
        <v>5214</v>
      </c>
      <c r="D47">
        <v>61461180.340000041</v>
      </c>
    </row>
    <row r="48" spans="1:4">
      <c r="A48" t="s">
        <v>1028</v>
      </c>
      <c r="B48" t="s">
        <v>1090</v>
      </c>
      <c r="C48">
        <v>4855</v>
      </c>
      <c r="D48">
        <v>59069746.349999994</v>
      </c>
    </row>
    <row r="49" spans="1:4">
      <c r="A49" t="s">
        <v>1028</v>
      </c>
      <c r="B49" t="s">
        <v>1091</v>
      </c>
      <c r="C49">
        <v>5020</v>
      </c>
      <c r="D49">
        <v>67441327.420000017</v>
      </c>
    </row>
    <row r="50" spans="1:4">
      <c r="A50" t="s">
        <v>1028</v>
      </c>
      <c r="B50" t="s">
        <v>1092</v>
      </c>
      <c r="C50">
        <v>7369</v>
      </c>
      <c r="D50">
        <v>99173650.859999761</v>
      </c>
    </row>
    <row r="51" spans="1:4">
      <c r="A51" t="s">
        <v>1028</v>
      </c>
      <c r="B51" t="s">
        <v>1093</v>
      </c>
      <c r="C51">
        <v>6017</v>
      </c>
      <c r="D51">
        <v>76682751.10999994</v>
      </c>
    </row>
    <row r="52" spans="1:4">
      <c r="A52" t="s">
        <v>1028</v>
      </c>
      <c r="B52" t="s">
        <v>1094</v>
      </c>
      <c r="C52">
        <v>2813</v>
      </c>
      <c r="D52">
        <v>36893344.170000039</v>
      </c>
    </row>
    <row r="53" spans="1:4">
      <c r="A53" t="s">
        <v>1028</v>
      </c>
      <c r="B53" t="s">
        <v>1095</v>
      </c>
      <c r="C53">
        <v>1246</v>
      </c>
      <c r="D53">
        <v>12945801.580000004</v>
      </c>
    </row>
    <row r="54" spans="1:4">
      <c r="A54" t="s">
        <v>1028</v>
      </c>
      <c r="B54" t="s">
        <v>1096</v>
      </c>
      <c r="C54">
        <v>388</v>
      </c>
      <c r="D54">
        <v>3748993.4800000014</v>
      </c>
    </row>
    <row r="55" spans="1:4">
      <c r="A55" t="s">
        <v>1028</v>
      </c>
      <c r="B55" t="s">
        <v>1097</v>
      </c>
      <c r="C55">
        <v>126</v>
      </c>
      <c r="D55">
        <v>1108487.1099999999</v>
      </c>
    </row>
    <row r="56" spans="1:4">
      <c r="A56" t="s">
        <v>1028</v>
      </c>
      <c r="B56" t="s">
        <v>1098</v>
      </c>
      <c r="C56">
        <v>51</v>
      </c>
      <c r="D56">
        <v>345311.7</v>
      </c>
    </row>
    <row r="57" spans="1:4">
      <c r="A57" t="s">
        <v>1028</v>
      </c>
      <c r="B57" t="s">
        <v>1099</v>
      </c>
      <c r="C57">
        <v>17</v>
      </c>
      <c r="D57">
        <v>80022.679999999993</v>
      </c>
    </row>
    <row r="58" spans="1:4">
      <c r="A58" t="s">
        <v>1028</v>
      </c>
      <c r="B58" t="s">
        <v>1100</v>
      </c>
      <c r="D58">
        <v>41979</v>
      </c>
    </row>
    <row r="59" spans="1:4">
      <c r="A59" t="s">
        <v>1028</v>
      </c>
      <c r="B59" t="s">
        <v>1101</v>
      </c>
      <c r="D59">
        <v>42960</v>
      </c>
    </row>
    <row r="60" spans="1:4">
      <c r="A60" t="s">
        <v>1028</v>
      </c>
      <c r="B60" t="s">
        <v>1102</v>
      </c>
      <c r="C60">
        <v>870</v>
      </c>
      <c r="D60">
        <v>1154238.5900000005</v>
      </c>
    </row>
    <row r="61" spans="1:4">
      <c r="A61" t="s">
        <v>1028</v>
      </c>
      <c r="B61" t="s">
        <v>1103</v>
      </c>
      <c r="C61">
        <v>3481</v>
      </c>
      <c r="D61">
        <v>9986688.4399998989</v>
      </c>
    </row>
    <row r="62" spans="1:4">
      <c r="A62" t="s">
        <v>1028</v>
      </c>
      <c r="B62" t="s">
        <v>1104</v>
      </c>
      <c r="C62">
        <v>4224</v>
      </c>
      <c r="D62">
        <v>20672600.990000237</v>
      </c>
    </row>
    <row r="63" spans="1:4">
      <c r="A63" t="s">
        <v>1028</v>
      </c>
      <c r="B63" t="s">
        <v>1105</v>
      </c>
      <c r="C63">
        <v>3621</v>
      </c>
      <c r="D63">
        <v>24941471.139999934</v>
      </c>
    </row>
    <row r="64" spans="1:4">
      <c r="A64" t="s">
        <v>1028</v>
      </c>
      <c r="B64" t="s">
        <v>1106</v>
      </c>
      <c r="C64">
        <v>2684</v>
      </c>
      <c r="D64">
        <v>23649747.909999952</v>
      </c>
    </row>
    <row r="65" spans="1:4">
      <c r="A65" t="s">
        <v>1028</v>
      </c>
      <c r="B65" t="s">
        <v>1107</v>
      </c>
      <c r="C65">
        <v>3437</v>
      </c>
      <c r="D65">
        <v>36487579.879999869</v>
      </c>
    </row>
    <row r="66" spans="1:4">
      <c r="A66" t="s">
        <v>1028</v>
      </c>
      <c r="B66" t="s">
        <v>1108</v>
      </c>
      <c r="C66">
        <v>2129</v>
      </c>
      <c r="D66">
        <v>27266395.930000085</v>
      </c>
    </row>
    <row r="67" spans="1:4">
      <c r="A67" t="s">
        <v>1028</v>
      </c>
      <c r="B67" t="s">
        <v>1109</v>
      </c>
      <c r="C67">
        <v>2283</v>
      </c>
      <c r="D67">
        <v>34231411.120000109</v>
      </c>
    </row>
    <row r="68" spans="1:4">
      <c r="A68" t="s">
        <v>1028</v>
      </c>
      <c r="B68" t="s">
        <v>1110</v>
      </c>
      <c r="C68">
        <v>1488</v>
      </c>
      <c r="D68">
        <v>25138186.51000002</v>
      </c>
    </row>
    <row r="69" spans="1:4">
      <c r="A69" t="s">
        <v>1028</v>
      </c>
      <c r="B69" t="s">
        <v>1111</v>
      </c>
      <c r="C69">
        <v>1331</v>
      </c>
      <c r="D69">
        <v>25081337.710000005</v>
      </c>
    </row>
    <row r="70" spans="1:4">
      <c r="A70" t="s">
        <v>1028</v>
      </c>
      <c r="B70" t="s">
        <v>1112</v>
      </c>
      <c r="C70">
        <v>2092</v>
      </c>
      <c r="D70">
        <v>43112739.78999979</v>
      </c>
    </row>
    <row r="71" spans="1:4">
      <c r="A71" t="s">
        <v>1028</v>
      </c>
      <c r="B71" t="s">
        <v>1113</v>
      </c>
      <c r="C71">
        <v>1189</v>
      </c>
      <c r="D71">
        <v>27193386.110000037</v>
      </c>
    </row>
    <row r="72" spans="1:4">
      <c r="A72" t="s">
        <v>1028</v>
      </c>
      <c r="B72" t="s">
        <v>1114</v>
      </c>
      <c r="C72">
        <v>1568</v>
      </c>
      <c r="D72">
        <v>39080984.080000021</v>
      </c>
    </row>
    <row r="73" spans="1:4">
      <c r="A73" t="s">
        <v>1028</v>
      </c>
      <c r="B73" t="s">
        <v>1115</v>
      </c>
      <c r="C73">
        <v>1037</v>
      </c>
      <c r="D73">
        <v>27818195.140000083</v>
      </c>
    </row>
    <row r="74" spans="1:4">
      <c r="A74" t="s">
        <v>1028</v>
      </c>
      <c r="B74" t="s">
        <v>1116</v>
      </c>
      <c r="C74">
        <v>910</v>
      </c>
      <c r="D74">
        <v>26311698.429999974</v>
      </c>
    </row>
    <row r="75" spans="1:4">
      <c r="A75" t="s">
        <v>1028</v>
      </c>
      <c r="B75" t="s">
        <v>1117</v>
      </c>
      <c r="C75">
        <v>1378</v>
      </c>
      <c r="D75">
        <v>42194252.980000056</v>
      </c>
    </row>
    <row r="76" spans="1:4">
      <c r="A76" t="s">
        <v>1028</v>
      </c>
      <c r="B76" t="s">
        <v>1118</v>
      </c>
      <c r="C76">
        <v>697</v>
      </c>
      <c r="D76">
        <v>22870471.580000009</v>
      </c>
    </row>
    <row r="77" spans="1:4">
      <c r="A77" t="s">
        <v>1028</v>
      </c>
      <c r="B77" t="s">
        <v>1119</v>
      </c>
      <c r="C77">
        <v>795</v>
      </c>
      <c r="D77">
        <v>27754333.979999971</v>
      </c>
    </row>
    <row r="78" spans="1:4">
      <c r="A78" t="s">
        <v>1028</v>
      </c>
      <c r="B78" t="s">
        <v>1120</v>
      </c>
      <c r="C78">
        <v>610</v>
      </c>
      <c r="D78">
        <v>22508283.479999971</v>
      </c>
    </row>
    <row r="79" spans="1:4">
      <c r="A79" t="s">
        <v>1028</v>
      </c>
      <c r="B79" t="s">
        <v>1121</v>
      </c>
      <c r="C79">
        <v>470</v>
      </c>
      <c r="D79">
        <v>18299454.479999997</v>
      </c>
    </row>
    <row r="80" spans="1:4">
      <c r="A80" t="s">
        <v>1028</v>
      </c>
      <c r="B80" t="s">
        <v>1122</v>
      </c>
      <c r="C80">
        <v>720</v>
      </c>
      <c r="D80">
        <v>29264186.219999883</v>
      </c>
    </row>
    <row r="81" spans="1:4">
      <c r="A81" t="s">
        <v>1028</v>
      </c>
      <c r="B81" t="s">
        <v>1123</v>
      </c>
      <c r="C81">
        <v>413</v>
      </c>
      <c r="D81">
        <v>17700395.199999988</v>
      </c>
    </row>
    <row r="82" spans="1:4">
      <c r="A82" t="s">
        <v>1028</v>
      </c>
      <c r="B82" t="s">
        <v>1124</v>
      </c>
      <c r="C82">
        <v>502</v>
      </c>
      <c r="D82">
        <v>22563158.689999986</v>
      </c>
    </row>
    <row r="83" spans="1:4">
      <c r="A83" t="s">
        <v>1028</v>
      </c>
      <c r="B83" t="s">
        <v>1125</v>
      </c>
      <c r="C83">
        <v>364</v>
      </c>
      <c r="D83">
        <v>17102212.669999994</v>
      </c>
    </row>
    <row r="84" spans="1:4">
      <c r="A84" t="s">
        <v>1028</v>
      </c>
      <c r="B84" t="s">
        <v>1126</v>
      </c>
      <c r="C84">
        <v>339</v>
      </c>
      <c r="D84">
        <v>16564611.329999993</v>
      </c>
    </row>
    <row r="85" spans="1:4">
      <c r="A85" t="s">
        <v>1028</v>
      </c>
      <c r="B85" t="s">
        <v>1127</v>
      </c>
      <c r="C85">
        <v>598</v>
      </c>
      <c r="D85">
        <v>30107778.679999985</v>
      </c>
    </row>
    <row r="86" spans="1:4">
      <c r="A86" t="s">
        <v>1028</v>
      </c>
      <c r="B86" t="s">
        <v>1128</v>
      </c>
      <c r="C86">
        <v>307</v>
      </c>
      <c r="D86">
        <v>16235543.450000012</v>
      </c>
    </row>
    <row r="87" spans="1:4">
      <c r="A87" t="s">
        <v>1028</v>
      </c>
      <c r="B87" t="s">
        <v>1129</v>
      </c>
      <c r="C87">
        <v>290</v>
      </c>
      <c r="D87">
        <v>15937512.770000009</v>
      </c>
    </row>
    <row r="88" spans="1:4">
      <c r="A88" t="s">
        <v>1028</v>
      </c>
      <c r="B88" t="s">
        <v>1130</v>
      </c>
      <c r="C88">
        <v>198</v>
      </c>
      <c r="D88">
        <v>11284322.539999997</v>
      </c>
    </row>
    <row r="89" spans="1:4">
      <c r="A89" t="s">
        <v>1028</v>
      </c>
      <c r="B89" t="s">
        <v>1131</v>
      </c>
      <c r="C89">
        <v>195</v>
      </c>
      <c r="D89">
        <v>11483560.930000005</v>
      </c>
    </row>
    <row r="90" spans="1:4">
      <c r="A90" t="s">
        <v>1028</v>
      </c>
      <c r="B90" t="s">
        <v>1132</v>
      </c>
      <c r="C90">
        <v>352</v>
      </c>
      <c r="D90">
        <v>21257506.939999986</v>
      </c>
    </row>
    <row r="91" spans="1:4">
      <c r="A91" t="s">
        <v>1028</v>
      </c>
      <c r="B91" t="s">
        <v>1133</v>
      </c>
      <c r="C91">
        <v>172</v>
      </c>
      <c r="D91">
        <v>10830137.660000004</v>
      </c>
    </row>
    <row r="92" spans="1:4">
      <c r="A92" t="s">
        <v>1028</v>
      </c>
      <c r="B92" t="s">
        <v>1134</v>
      </c>
      <c r="C92">
        <v>186</v>
      </c>
      <c r="D92">
        <v>12071615.290000001</v>
      </c>
    </row>
    <row r="93" spans="1:4">
      <c r="A93" t="s">
        <v>1028</v>
      </c>
      <c r="B93" t="s">
        <v>1135</v>
      </c>
      <c r="C93">
        <v>115</v>
      </c>
      <c r="D93">
        <v>7697424.9200000046</v>
      </c>
    </row>
    <row r="94" spans="1:4">
      <c r="A94" t="s">
        <v>1028</v>
      </c>
      <c r="B94" t="s">
        <v>1136</v>
      </c>
      <c r="C94">
        <v>107</v>
      </c>
      <c r="D94">
        <v>7368612.6900000023</v>
      </c>
    </row>
    <row r="95" spans="1:4">
      <c r="A95" t="s">
        <v>1028</v>
      </c>
      <c r="B95" t="s">
        <v>1137</v>
      </c>
      <c r="C95">
        <v>158</v>
      </c>
      <c r="D95">
        <v>11134358.479999999</v>
      </c>
    </row>
    <row r="96" spans="1:4">
      <c r="A96" t="s">
        <v>1028</v>
      </c>
      <c r="B96" t="s">
        <v>1138</v>
      </c>
      <c r="C96">
        <v>92</v>
      </c>
      <c r="D96">
        <v>6706021.5299999975</v>
      </c>
    </row>
    <row r="97" spans="1:4">
      <c r="A97" t="s">
        <v>1028</v>
      </c>
      <c r="B97" t="s">
        <v>1139</v>
      </c>
      <c r="C97">
        <v>233</v>
      </c>
      <c r="D97">
        <v>17461296.07</v>
      </c>
    </row>
    <row r="98" spans="1:4">
      <c r="A98" t="s">
        <v>1028</v>
      </c>
      <c r="B98" t="s">
        <v>1140</v>
      </c>
      <c r="C98">
        <v>51</v>
      </c>
      <c r="D98">
        <v>3928054.3500000006</v>
      </c>
    </row>
    <row r="99" spans="1:4">
      <c r="A99" t="s">
        <v>1028</v>
      </c>
      <c r="B99" t="s">
        <v>1141</v>
      </c>
      <c r="C99">
        <v>74</v>
      </c>
      <c r="D99">
        <v>5838825.4899999946</v>
      </c>
    </row>
    <row r="100" spans="1:4">
      <c r="A100" t="s">
        <v>1028</v>
      </c>
      <c r="B100" t="s">
        <v>1142</v>
      </c>
      <c r="C100">
        <v>48</v>
      </c>
      <c r="D100">
        <v>3875772.9500000007</v>
      </c>
    </row>
    <row r="101" spans="1:4">
      <c r="A101" t="s">
        <v>1028</v>
      </c>
      <c r="B101" t="s">
        <v>1143</v>
      </c>
      <c r="C101">
        <v>30</v>
      </c>
      <c r="D101">
        <v>2489213.0300000003</v>
      </c>
    </row>
    <row r="102" spans="1:4">
      <c r="A102" t="s">
        <v>1028</v>
      </c>
      <c r="B102" t="s">
        <v>1144</v>
      </c>
      <c r="C102">
        <v>49</v>
      </c>
      <c r="D102">
        <v>4162081.8699999996</v>
      </c>
    </row>
    <row r="103" spans="1:4">
      <c r="A103" t="s">
        <v>1028</v>
      </c>
      <c r="B103" t="s">
        <v>1145</v>
      </c>
      <c r="C103">
        <v>28</v>
      </c>
      <c r="D103">
        <v>2435971.5200000005</v>
      </c>
    </row>
    <row r="104" spans="1:4">
      <c r="A104" t="s">
        <v>1028</v>
      </c>
      <c r="B104" t="s">
        <v>1146</v>
      </c>
      <c r="C104">
        <v>20</v>
      </c>
      <c r="D104">
        <v>1780097.41</v>
      </c>
    </row>
    <row r="105" spans="1:4">
      <c r="A105" t="s">
        <v>1028</v>
      </c>
      <c r="B105" t="s">
        <v>1147</v>
      </c>
      <c r="C105">
        <v>9</v>
      </c>
      <c r="D105">
        <v>815162.87</v>
      </c>
    </row>
    <row r="106" spans="1:4">
      <c r="A106" t="s">
        <v>1028</v>
      </c>
      <c r="B106" t="s">
        <v>1148</v>
      </c>
      <c r="C106">
        <v>7</v>
      </c>
      <c r="D106">
        <v>650577.41999999993</v>
      </c>
    </row>
    <row r="107" spans="1:4">
      <c r="A107" t="s">
        <v>1028</v>
      </c>
      <c r="B107" t="s">
        <v>1149</v>
      </c>
      <c r="C107">
        <v>5</v>
      </c>
      <c r="D107">
        <v>472719.93999999994</v>
      </c>
    </row>
    <row r="108" spans="1:4">
      <c r="A108" t="s">
        <v>1028</v>
      </c>
      <c r="B108" t="s">
        <v>1150</v>
      </c>
      <c r="C108">
        <v>5</v>
      </c>
      <c r="D108">
        <v>484511.36</v>
      </c>
    </row>
    <row r="109" spans="1:4">
      <c r="A109" t="s">
        <v>1028</v>
      </c>
      <c r="B109" t="s">
        <v>1151</v>
      </c>
      <c r="C109">
        <v>3</v>
      </c>
      <c r="D109">
        <v>295906.86</v>
      </c>
    </row>
    <row r="110" spans="1:4">
      <c r="A110" t="s">
        <v>1028</v>
      </c>
      <c r="B110" t="s">
        <v>1152</v>
      </c>
      <c r="C110">
        <v>15</v>
      </c>
      <c r="D110">
        <v>1840523.4200000002</v>
      </c>
    </row>
    <row r="111" spans="1:4">
      <c r="A111" t="s">
        <v>1029</v>
      </c>
      <c r="B111" t="s">
        <v>1153</v>
      </c>
      <c r="D111">
        <v>24937726.749999996</v>
      </c>
    </row>
    <row r="112" spans="1:4">
      <c r="A112" t="s">
        <v>1028</v>
      </c>
      <c r="B112" t="s">
        <v>1154</v>
      </c>
      <c r="C112">
        <v>1</v>
      </c>
      <c r="D112">
        <v>99997.23</v>
      </c>
    </row>
    <row r="113" spans="1:4">
      <c r="A113" t="s">
        <v>1028</v>
      </c>
      <c r="B113" t="s">
        <v>1155</v>
      </c>
      <c r="C113">
        <v>1</v>
      </c>
      <c r="D113">
        <v>75833.990000000005</v>
      </c>
    </row>
    <row r="114" spans="1:4">
      <c r="A114" t="s">
        <v>1028</v>
      </c>
      <c r="B114" t="s">
        <v>1156</v>
      </c>
      <c r="C114">
        <v>1</v>
      </c>
      <c r="D114">
        <v>75813.17</v>
      </c>
    </row>
    <row r="115" spans="1:4">
      <c r="A115" t="s">
        <v>1028</v>
      </c>
      <c r="B115" t="s">
        <v>1157</v>
      </c>
      <c r="C115">
        <v>1</v>
      </c>
      <c r="D115">
        <v>73939.789999999994</v>
      </c>
    </row>
    <row r="116" spans="1:4">
      <c r="A116" t="s">
        <v>1028</v>
      </c>
      <c r="B116" t="s">
        <v>1158</v>
      </c>
      <c r="C116">
        <v>1</v>
      </c>
      <c r="D116">
        <v>73481.83</v>
      </c>
    </row>
    <row r="117" spans="1:4">
      <c r="A117" t="s">
        <v>1028</v>
      </c>
      <c r="B117" t="s">
        <v>1159</v>
      </c>
      <c r="C117">
        <v>1</v>
      </c>
      <c r="D117">
        <v>70727.070000000007</v>
      </c>
    </row>
    <row r="118" spans="1:4">
      <c r="A118" t="s">
        <v>1028</v>
      </c>
      <c r="B118" t="s">
        <v>1160</v>
      </c>
      <c r="C118">
        <v>1</v>
      </c>
      <c r="D118">
        <v>70429.440000000002</v>
      </c>
    </row>
    <row r="119" spans="1:4">
      <c r="A119" t="s">
        <v>1028</v>
      </c>
      <c r="B119" t="s">
        <v>1161</v>
      </c>
      <c r="C119">
        <v>1</v>
      </c>
      <c r="D119">
        <v>70418.48</v>
      </c>
    </row>
    <row r="120" spans="1:4">
      <c r="A120" t="s">
        <v>1028</v>
      </c>
      <c r="B120" t="s">
        <v>1162</v>
      </c>
      <c r="C120">
        <v>1</v>
      </c>
      <c r="D120">
        <v>69849.5</v>
      </c>
    </row>
    <row r="121" spans="1:4">
      <c r="A121" t="s">
        <v>1028</v>
      </c>
      <c r="B121" t="s">
        <v>1163</v>
      </c>
      <c r="C121">
        <v>1</v>
      </c>
      <c r="D121">
        <v>69678.080000000002</v>
      </c>
    </row>
    <row r="122" spans="1:4">
      <c r="A122" t="s">
        <v>1028</v>
      </c>
      <c r="B122" t="s">
        <v>1164</v>
      </c>
      <c r="C122">
        <v>1</v>
      </c>
      <c r="D122">
        <v>69562.02</v>
      </c>
    </row>
    <row r="123" spans="1:4">
      <c r="A123" t="s">
        <v>1028</v>
      </c>
      <c r="B123" t="s">
        <v>1165</v>
      </c>
      <c r="C123">
        <v>1</v>
      </c>
      <c r="D123">
        <v>94394.7</v>
      </c>
    </row>
    <row r="124" spans="1:4">
      <c r="A124" t="s">
        <v>1028</v>
      </c>
      <c r="B124" t="s">
        <v>1166</v>
      </c>
      <c r="C124">
        <v>1</v>
      </c>
      <c r="D124">
        <v>69110.8</v>
      </c>
    </row>
    <row r="125" spans="1:4">
      <c r="A125" t="s">
        <v>1028</v>
      </c>
      <c r="B125" t="s">
        <v>1167</v>
      </c>
      <c r="C125">
        <v>1</v>
      </c>
      <c r="D125">
        <v>68939.8</v>
      </c>
    </row>
    <row r="126" spans="1:4">
      <c r="A126" t="s">
        <v>1028</v>
      </c>
      <c r="B126" t="s">
        <v>1168</v>
      </c>
      <c r="C126">
        <v>1</v>
      </c>
      <c r="D126">
        <v>68904.67</v>
      </c>
    </row>
    <row r="127" spans="1:4">
      <c r="A127" t="s">
        <v>1028</v>
      </c>
      <c r="B127" t="s">
        <v>1169</v>
      </c>
      <c r="C127">
        <v>1</v>
      </c>
      <c r="D127">
        <v>68512.62</v>
      </c>
    </row>
    <row r="128" spans="1:4">
      <c r="A128" t="s">
        <v>1028</v>
      </c>
      <c r="B128" t="s">
        <v>1170</v>
      </c>
      <c r="C128">
        <v>1</v>
      </c>
      <c r="D128">
        <v>68032.92</v>
      </c>
    </row>
    <row r="129" spans="1:4">
      <c r="A129" t="s">
        <v>1028</v>
      </c>
      <c r="B129" t="s">
        <v>1171</v>
      </c>
      <c r="C129">
        <v>1</v>
      </c>
      <c r="D129">
        <v>67900.75</v>
      </c>
    </row>
    <row r="130" spans="1:4">
      <c r="A130" t="s">
        <v>1028</v>
      </c>
      <c r="B130" t="s">
        <v>1172</v>
      </c>
      <c r="C130">
        <v>1</v>
      </c>
      <c r="D130">
        <v>93540.61</v>
      </c>
    </row>
    <row r="131" spans="1:4">
      <c r="A131" t="s">
        <v>1028</v>
      </c>
      <c r="B131" t="s">
        <v>1173</v>
      </c>
      <c r="C131">
        <v>1</v>
      </c>
      <c r="D131">
        <v>92978.55</v>
      </c>
    </row>
    <row r="132" spans="1:4">
      <c r="A132" t="s">
        <v>1028</v>
      </c>
      <c r="B132" t="s">
        <v>1174</v>
      </c>
      <c r="C132">
        <v>1</v>
      </c>
      <c r="D132">
        <v>88040.67</v>
      </c>
    </row>
    <row r="133" spans="1:4">
      <c r="A133" t="s">
        <v>1028</v>
      </c>
      <c r="B133" t="s">
        <v>1175</v>
      </c>
      <c r="C133">
        <v>1</v>
      </c>
      <c r="D133">
        <v>81705.27</v>
      </c>
    </row>
    <row r="134" spans="1:4">
      <c r="A134" t="s">
        <v>1028</v>
      </c>
      <c r="B134" t="s">
        <v>1176</v>
      </c>
      <c r="C134">
        <v>1</v>
      </c>
      <c r="D134">
        <v>81211.83</v>
      </c>
    </row>
    <row r="135" spans="1:4">
      <c r="A135" t="s">
        <v>1028</v>
      </c>
      <c r="B135" t="s">
        <v>1177</v>
      </c>
      <c r="C135">
        <v>1</v>
      </c>
      <c r="D135">
        <v>80786.34</v>
      </c>
    </row>
    <row r="136" spans="1:4">
      <c r="A136" t="s">
        <v>1028</v>
      </c>
      <c r="B136" t="s">
        <v>1178</v>
      </c>
      <c r="C136">
        <v>1</v>
      </c>
      <c r="D136">
        <v>79381.03</v>
      </c>
    </row>
    <row r="137" spans="1:4">
      <c r="A137" t="s">
        <v>1028</v>
      </c>
      <c r="B137" t="s">
        <v>1179</v>
      </c>
      <c r="C137">
        <v>479</v>
      </c>
      <c r="D137">
        <v>11595688.01</v>
      </c>
    </row>
    <row r="138" spans="1:4">
      <c r="A138" t="s">
        <v>1028</v>
      </c>
      <c r="B138" t="s">
        <v>1180</v>
      </c>
      <c r="C138">
        <v>41500</v>
      </c>
      <c r="D138">
        <v>501323789.86000198</v>
      </c>
    </row>
    <row r="139" spans="1:4">
      <c r="A139" t="s">
        <v>1028</v>
      </c>
      <c r="B139" t="s">
        <v>1181</v>
      </c>
      <c r="C139">
        <v>5265</v>
      </c>
      <c r="D139">
        <v>69385945.230000094</v>
      </c>
    </row>
    <row r="140" spans="1:4">
      <c r="A140" t="s">
        <v>1028</v>
      </c>
      <c r="B140" t="s">
        <v>1182</v>
      </c>
      <c r="C140">
        <v>5746</v>
      </c>
      <c r="D140">
        <v>71702426.210000202</v>
      </c>
    </row>
    <row r="141" spans="1:4">
      <c r="A141" t="s">
        <v>1028</v>
      </c>
      <c r="B141" t="s">
        <v>1183</v>
      </c>
      <c r="C141">
        <v>1638</v>
      </c>
      <c r="D141">
        <v>20159317.20999999</v>
      </c>
    </row>
    <row r="142" spans="1:4">
      <c r="A142" t="s">
        <v>1028</v>
      </c>
      <c r="B142" t="s">
        <v>1184</v>
      </c>
      <c r="C142">
        <v>1652</v>
      </c>
      <c r="D142">
        <v>19258242.259999983</v>
      </c>
    </row>
    <row r="143" spans="1:4">
      <c r="A143" t="s">
        <v>1028</v>
      </c>
      <c r="B143" t="s">
        <v>1185</v>
      </c>
      <c r="C143">
        <v>343</v>
      </c>
      <c r="D143">
        <v>4326219.9400000004</v>
      </c>
    </row>
    <row r="144" spans="1:4">
      <c r="A144" t="s">
        <v>1028</v>
      </c>
      <c r="B144" t="s">
        <v>1186</v>
      </c>
      <c r="C144">
        <v>808</v>
      </c>
      <c r="D144">
        <v>10078486.570000004</v>
      </c>
    </row>
    <row r="145" spans="1:4">
      <c r="A145" t="s">
        <v>1028</v>
      </c>
      <c r="B145" t="s">
        <v>1187</v>
      </c>
      <c r="C145">
        <v>3025</v>
      </c>
      <c r="D145">
        <v>38377751.759999938</v>
      </c>
    </row>
    <row r="146" spans="1:4">
      <c r="A146" t="s">
        <v>1028</v>
      </c>
      <c r="B146" t="s">
        <v>1188</v>
      </c>
      <c r="C146">
        <v>4194</v>
      </c>
      <c r="D146">
        <v>50522966.389999881</v>
      </c>
    </row>
    <row r="147" spans="1:4">
      <c r="A147" t="s">
        <v>1028</v>
      </c>
      <c r="B147" t="s">
        <v>1189</v>
      </c>
      <c r="C147">
        <v>1294</v>
      </c>
      <c r="D147">
        <v>15450363.869999988</v>
      </c>
    </row>
    <row r="148" spans="1:4">
      <c r="A148" t="s">
        <v>1028</v>
      </c>
      <c r="B148" t="s">
        <v>1190</v>
      </c>
      <c r="C148">
        <v>9049</v>
      </c>
      <c r="D148">
        <v>110728731.31999962</v>
      </c>
    </row>
    <row r="149" spans="1:4">
      <c r="A149" t="s">
        <v>1028</v>
      </c>
      <c r="B149" t="s">
        <v>1191</v>
      </c>
      <c r="C149">
        <v>2103</v>
      </c>
      <c r="D149">
        <v>25435522.969999958</v>
      </c>
    </row>
    <row r="150" spans="1:4">
      <c r="A150" t="s">
        <v>1028</v>
      </c>
      <c r="B150" t="s">
        <v>1192</v>
      </c>
      <c r="C150">
        <v>666</v>
      </c>
      <c r="D150">
        <v>8622140.3400000054</v>
      </c>
    </row>
    <row r="151" spans="1:4">
      <c r="A151" t="s">
        <v>1030</v>
      </c>
      <c r="B151" t="s">
        <v>1193</v>
      </c>
      <c r="C151">
        <v>0</v>
      </c>
      <c r="D151">
        <v>0</v>
      </c>
    </row>
    <row r="152" spans="1:4">
      <c r="A152" t="s">
        <v>1028</v>
      </c>
      <c r="B152" t="s">
        <v>1194</v>
      </c>
      <c r="C152">
        <v>1857</v>
      </c>
      <c r="D152">
        <v>19827928.729999989</v>
      </c>
    </row>
    <row r="153" spans="1:4">
      <c r="A153" t="s">
        <v>1028</v>
      </c>
      <c r="B153" t="s">
        <v>1195</v>
      </c>
      <c r="C153">
        <v>1486</v>
      </c>
      <c r="D153">
        <v>16918614.439999983</v>
      </c>
    </row>
    <row r="154" spans="1:4">
      <c r="A154" t="s">
        <v>1028</v>
      </c>
      <c r="B154" t="s">
        <v>1196</v>
      </c>
      <c r="C154">
        <v>1493</v>
      </c>
      <c r="D154">
        <v>16886789.31000001</v>
      </c>
    </row>
    <row r="155" spans="1:4">
      <c r="A155" t="s">
        <v>1028</v>
      </c>
      <c r="B155" t="s">
        <v>1197</v>
      </c>
      <c r="C155">
        <v>1255</v>
      </c>
      <c r="D155">
        <v>13673558.989999993</v>
      </c>
    </row>
    <row r="156" spans="1:4">
      <c r="A156" t="s">
        <v>1028</v>
      </c>
      <c r="B156" t="s">
        <v>1198</v>
      </c>
      <c r="C156">
        <v>105</v>
      </c>
      <c r="D156">
        <v>1564472.3299999998</v>
      </c>
    </row>
    <row r="157" spans="1:4">
      <c r="A157" t="s">
        <v>1028</v>
      </c>
      <c r="B157" t="s">
        <v>1199</v>
      </c>
      <c r="C157">
        <v>20107</v>
      </c>
      <c r="D157">
        <v>223555691.99000001</v>
      </c>
    </row>
    <row r="158" spans="1:4">
      <c r="A158" t="s">
        <v>1028</v>
      </c>
      <c r="B158" t="s">
        <v>1200</v>
      </c>
      <c r="C158">
        <v>21872</v>
      </c>
      <c r="D158">
        <v>289363785.88000089</v>
      </c>
    </row>
    <row r="159" spans="1:4">
      <c r="A159" t="s">
        <v>1028</v>
      </c>
      <c r="B159" t="s">
        <v>1201</v>
      </c>
      <c r="C159">
        <v>41979</v>
      </c>
      <c r="D159">
        <v>5.7358637207666555E-2</v>
      </c>
    </row>
    <row r="160" spans="1:4">
      <c r="A160" t="s">
        <v>1028</v>
      </c>
      <c r="B160" t="s">
        <v>1202</v>
      </c>
      <c r="C160">
        <v>40686</v>
      </c>
      <c r="D160">
        <v>504360705.71000093</v>
      </c>
    </row>
    <row r="161" spans="1:4">
      <c r="A161" t="s">
        <v>1028</v>
      </c>
      <c r="B161" t="s">
        <v>1203</v>
      </c>
      <c r="C161">
        <v>602</v>
      </c>
      <c r="D161">
        <v>8376563.3300000122</v>
      </c>
    </row>
    <row r="162" spans="1:4">
      <c r="A162" t="s">
        <v>1028</v>
      </c>
      <c r="B162" t="s">
        <v>1204</v>
      </c>
      <c r="C162">
        <v>23</v>
      </c>
      <c r="D162">
        <v>154264.55000000008</v>
      </c>
    </row>
    <row r="163" spans="1:4">
      <c r="A163" t="s">
        <v>1028</v>
      </c>
      <c r="B163" t="s">
        <v>1205</v>
      </c>
      <c r="C163">
        <v>5</v>
      </c>
      <c r="D163">
        <v>27944.28</v>
      </c>
    </row>
    <row r="164" spans="1:4">
      <c r="A164" t="s">
        <v>1030</v>
      </c>
      <c r="B164" t="s">
        <v>1206</v>
      </c>
      <c r="C164">
        <v>0</v>
      </c>
      <c r="D164">
        <v>0</v>
      </c>
    </row>
    <row r="165" spans="1:4">
      <c r="A165" t="s">
        <v>1030</v>
      </c>
      <c r="B165" t="s">
        <v>1207</v>
      </c>
      <c r="C165">
        <v>0</v>
      </c>
      <c r="D165">
        <v>0</v>
      </c>
    </row>
    <row r="166" spans="1:4">
      <c r="A166" t="s">
        <v>1030</v>
      </c>
      <c r="B166" t="s">
        <v>1208</v>
      </c>
      <c r="C166">
        <v>0</v>
      </c>
      <c r="D166">
        <v>0</v>
      </c>
    </row>
    <row r="167" spans="1:4">
      <c r="A167" t="s">
        <v>1028</v>
      </c>
      <c r="B167" t="s">
        <v>1209</v>
      </c>
      <c r="C167">
        <v>13</v>
      </c>
      <c r="D167">
        <v>-8303.2400000000016</v>
      </c>
    </row>
    <row r="168" spans="1:4">
      <c r="A168" t="s">
        <v>1028</v>
      </c>
      <c r="B168" t="s">
        <v>1210</v>
      </c>
      <c r="C168">
        <v>55</v>
      </c>
      <c r="D168">
        <v>-51162.339999999982</v>
      </c>
    </row>
    <row r="169" spans="1:4">
      <c r="A169" t="s">
        <v>1028</v>
      </c>
      <c r="B169" t="s">
        <v>1211</v>
      </c>
      <c r="C169">
        <v>68</v>
      </c>
      <c r="D169">
        <v>36416.289999999994</v>
      </c>
    </row>
    <row r="170" spans="1:4">
      <c r="A170" t="s">
        <v>1028</v>
      </c>
      <c r="B170" t="s">
        <v>1212</v>
      </c>
      <c r="C170">
        <v>1196</v>
      </c>
      <c r="D170">
        <v>941762.90000000084</v>
      </c>
    </row>
    <row r="171" spans="1:4">
      <c r="A171" t="s">
        <v>1028</v>
      </c>
      <c r="B171" t="s">
        <v>1213</v>
      </c>
      <c r="C171">
        <v>524</v>
      </c>
      <c r="D171">
        <v>1073455.7099999997</v>
      </c>
    </row>
    <row r="172" spans="1:4">
      <c r="A172" t="s">
        <v>1028</v>
      </c>
      <c r="B172" t="s">
        <v>1214</v>
      </c>
      <c r="C172">
        <v>3653</v>
      </c>
      <c r="D172">
        <v>7570430.4100000001</v>
      </c>
    </row>
    <row r="173" spans="1:4">
      <c r="A173" t="s">
        <v>1028</v>
      </c>
      <c r="B173" t="s">
        <v>1215</v>
      </c>
      <c r="C173">
        <v>3732</v>
      </c>
      <c r="D173">
        <v>16461770.129999978</v>
      </c>
    </row>
    <row r="174" spans="1:4">
      <c r="A174" t="s">
        <v>1028</v>
      </c>
      <c r="B174" t="s">
        <v>1216</v>
      </c>
      <c r="C174">
        <v>756</v>
      </c>
      <c r="D174">
        <v>5637363.0299999975</v>
      </c>
    </row>
    <row r="175" spans="1:4">
      <c r="A175" t="s">
        <v>1028</v>
      </c>
      <c r="B175" t="s">
        <v>1217</v>
      </c>
      <c r="C175">
        <v>2964</v>
      </c>
      <c r="D175">
        <v>23244235.159999941</v>
      </c>
    </row>
    <row r="176" spans="1:4">
      <c r="A176" t="s">
        <v>1028</v>
      </c>
      <c r="B176" t="s">
        <v>1218</v>
      </c>
      <c r="C176">
        <v>789</v>
      </c>
      <c r="D176">
        <v>9885304.5999999922</v>
      </c>
    </row>
    <row r="177" spans="1:4">
      <c r="A177" t="s">
        <v>1028</v>
      </c>
      <c r="B177" t="s">
        <v>1219</v>
      </c>
      <c r="C177">
        <v>7443</v>
      </c>
      <c r="D177">
        <v>76407848.379999861</v>
      </c>
    </row>
    <row r="178" spans="1:4">
      <c r="A178" t="s">
        <v>1028</v>
      </c>
      <c r="B178" t="s">
        <v>1220</v>
      </c>
      <c r="C178">
        <v>13620</v>
      </c>
      <c r="D178">
        <v>225031803.62000024</v>
      </c>
    </row>
    <row r="179" spans="1:4">
      <c r="A179" t="s">
        <v>1028</v>
      </c>
      <c r="B179" t="s">
        <v>1221</v>
      </c>
      <c r="C179">
        <v>6386</v>
      </c>
      <c r="D179">
        <v>124793616.04000017</v>
      </c>
    </row>
    <row r="180" spans="1:4">
      <c r="A180" t="s">
        <v>1028</v>
      </c>
      <c r="B180" t="s">
        <v>1222</v>
      </c>
      <c r="C180">
        <v>6</v>
      </c>
      <c r="D180">
        <v>-4880.8499999999995</v>
      </c>
    </row>
    <row r="181" spans="1:4">
      <c r="A181" t="s">
        <v>1028</v>
      </c>
      <c r="B181" t="s">
        <v>1223</v>
      </c>
      <c r="C181">
        <v>665</v>
      </c>
      <c r="D181">
        <v>18696222.539999992</v>
      </c>
    </row>
    <row r="182" spans="1:4">
      <c r="A182" t="s">
        <v>1028</v>
      </c>
      <c r="B182" t="s">
        <v>1224</v>
      </c>
      <c r="C182">
        <v>109</v>
      </c>
      <c r="D182">
        <v>3203595.4900000007</v>
      </c>
    </row>
    <row r="183" spans="1:4">
      <c r="A183" t="s">
        <v>1028</v>
      </c>
      <c r="B183" t="s">
        <v>1225</v>
      </c>
      <c r="C183">
        <v>41979</v>
      </c>
      <c r="D183">
        <v>92.500616883739596</v>
      </c>
    </row>
    <row r="184" spans="1:4">
      <c r="A184" t="s">
        <v>1028</v>
      </c>
      <c r="B184" t="s">
        <v>1226</v>
      </c>
      <c r="C184">
        <v>10733</v>
      </c>
      <c r="D184">
        <v>131559844.79999992</v>
      </c>
    </row>
    <row r="185" spans="1:4">
      <c r="A185" t="s">
        <v>1028</v>
      </c>
      <c r="B185" t="s">
        <v>1227</v>
      </c>
      <c r="C185">
        <v>31246</v>
      </c>
      <c r="D185">
        <v>381359633.07000172</v>
      </c>
    </row>
    <row r="186" spans="1:4">
      <c r="A186" t="s">
        <v>1028</v>
      </c>
      <c r="B186" t="s">
        <v>1228</v>
      </c>
      <c r="C186">
        <v>40112</v>
      </c>
      <c r="D186">
        <v>486957175.23000258</v>
      </c>
    </row>
    <row r="187" spans="1:4">
      <c r="A187" t="s">
        <v>1028</v>
      </c>
      <c r="B187" t="s">
        <v>1229</v>
      </c>
      <c r="C187">
        <v>1867</v>
      </c>
      <c r="D187">
        <v>25962302.639999975</v>
      </c>
    </row>
    <row r="188" spans="1:4">
      <c r="A188" t="s">
        <v>1028</v>
      </c>
      <c r="B188" t="s">
        <v>1230</v>
      </c>
      <c r="C188">
        <v>41979</v>
      </c>
      <c r="D188">
        <v>512919477.87000144</v>
      </c>
    </row>
    <row r="189" spans="1:4">
      <c r="A189" t="s">
        <v>1028</v>
      </c>
      <c r="B189" t="s">
        <v>1231</v>
      </c>
      <c r="C189">
        <v>39087</v>
      </c>
      <c r="D189">
        <v>428474538.75</v>
      </c>
    </row>
    <row r="190" spans="1:4">
      <c r="A190" t="s">
        <v>1028</v>
      </c>
      <c r="B190" t="s">
        <v>1232</v>
      </c>
      <c r="C190">
        <v>8</v>
      </c>
      <c r="D190">
        <v>27015.85</v>
      </c>
    </row>
    <row r="191" spans="1:4">
      <c r="A191" t="s">
        <v>1028</v>
      </c>
      <c r="B191" t="s">
        <v>1233</v>
      </c>
      <c r="C191">
        <v>8</v>
      </c>
      <c r="D191">
        <v>23521.4</v>
      </c>
    </row>
    <row r="192" spans="1:4">
      <c r="A192" t="s">
        <v>1028</v>
      </c>
      <c r="B192" t="s">
        <v>1234</v>
      </c>
      <c r="C192">
        <v>6</v>
      </c>
      <c r="D192">
        <v>20008.22</v>
      </c>
    </row>
    <row r="193" spans="1:4">
      <c r="A193" t="s">
        <v>1028</v>
      </c>
      <c r="B193" t="s">
        <v>1235</v>
      </c>
      <c r="C193">
        <v>6</v>
      </c>
      <c r="D193">
        <v>16932.27</v>
      </c>
    </row>
    <row r="194" spans="1:4">
      <c r="A194" t="s">
        <v>1028</v>
      </c>
      <c r="B194" t="s">
        <v>1236</v>
      </c>
      <c r="C194">
        <v>5</v>
      </c>
      <c r="D194">
        <v>13840.17</v>
      </c>
    </row>
    <row r="195" spans="1:4">
      <c r="A195" t="s">
        <v>1028</v>
      </c>
      <c r="B195" t="s">
        <v>1237</v>
      </c>
      <c r="C195">
        <v>5</v>
      </c>
      <c r="D195">
        <v>11159.9</v>
      </c>
    </row>
    <row r="196" spans="1:4">
      <c r="A196" t="s">
        <v>1028</v>
      </c>
      <c r="B196" t="s">
        <v>1238</v>
      </c>
      <c r="C196">
        <v>4</v>
      </c>
      <c r="D196">
        <v>8464.7099999999991</v>
      </c>
    </row>
    <row r="197" spans="1:4">
      <c r="A197" t="s">
        <v>1028</v>
      </c>
      <c r="B197" t="s">
        <v>1239</v>
      </c>
      <c r="C197">
        <v>3</v>
      </c>
      <c r="D197">
        <v>6447.82</v>
      </c>
    </row>
    <row r="198" spans="1:4">
      <c r="A198" t="s">
        <v>1028</v>
      </c>
      <c r="B198" t="s">
        <v>1240</v>
      </c>
      <c r="C198">
        <v>2</v>
      </c>
      <c r="D198">
        <v>4771.5200000000004</v>
      </c>
    </row>
    <row r="199" spans="1:4">
      <c r="A199" t="s">
        <v>1028</v>
      </c>
      <c r="B199" t="s">
        <v>1241</v>
      </c>
      <c r="C199">
        <v>2</v>
      </c>
      <c r="D199">
        <v>3578.09</v>
      </c>
    </row>
    <row r="200" spans="1:4">
      <c r="A200" t="s">
        <v>1028</v>
      </c>
      <c r="B200" t="s">
        <v>1242</v>
      </c>
      <c r="C200">
        <v>38748</v>
      </c>
      <c r="D200">
        <v>419148558.20999998</v>
      </c>
    </row>
    <row r="201" spans="1:4">
      <c r="A201" t="s">
        <v>1028</v>
      </c>
      <c r="B201" t="s">
        <v>1243</v>
      </c>
      <c r="C201">
        <v>1</v>
      </c>
      <c r="D201">
        <v>2376.9699999999998</v>
      </c>
    </row>
    <row r="202" spans="1:4">
      <c r="A202" t="s">
        <v>1028</v>
      </c>
      <c r="B202" t="s">
        <v>1244</v>
      </c>
      <c r="C202">
        <v>1</v>
      </c>
      <c r="D202">
        <v>1906.7</v>
      </c>
    </row>
    <row r="203" spans="1:4">
      <c r="A203" t="s">
        <v>1028</v>
      </c>
      <c r="B203" t="s">
        <v>1245</v>
      </c>
      <c r="C203">
        <v>1</v>
      </c>
      <c r="D203">
        <v>1433.88</v>
      </c>
    </row>
    <row r="204" spans="1:4">
      <c r="A204" t="s">
        <v>1028</v>
      </c>
      <c r="B204" t="s">
        <v>1246</v>
      </c>
      <c r="C204">
        <v>1</v>
      </c>
      <c r="D204">
        <v>958.5</v>
      </c>
    </row>
    <row r="205" spans="1:4">
      <c r="A205" t="s">
        <v>1028</v>
      </c>
      <c r="B205" t="s">
        <v>1247</v>
      </c>
      <c r="C205">
        <v>1</v>
      </c>
      <c r="D205">
        <v>480.54</v>
      </c>
    </row>
    <row r="206" spans="1:4">
      <c r="A206" t="s">
        <v>1028</v>
      </c>
      <c r="B206" t="s">
        <v>1248</v>
      </c>
      <c r="C206">
        <v>0</v>
      </c>
      <c r="D206">
        <v>0</v>
      </c>
    </row>
    <row r="207" spans="1:4">
      <c r="A207" t="s">
        <v>1028</v>
      </c>
      <c r="B207" t="s">
        <v>1249</v>
      </c>
      <c r="C207">
        <v>0</v>
      </c>
      <c r="D207">
        <v>0</v>
      </c>
    </row>
    <row r="208" spans="1:4">
      <c r="A208" t="s">
        <v>1028</v>
      </c>
      <c r="B208" t="s">
        <v>1250</v>
      </c>
      <c r="C208">
        <v>38405</v>
      </c>
      <c r="D208">
        <v>409845785.06</v>
      </c>
    </row>
    <row r="209" spans="1:4">
      <c r="A209" t="s">
        <v>1028</v>
      </c>
      <c r="B209" t="s">
        <v>1251</v>
      </c>
      <c r="C209">
        <v>37950</v>
      </c>
      <c r="D209">
        <v>400564878.87</v>
      </c>
    </row>
    <row r="210" spans="1:4">
      <c r="A210" t="s">
        <v>1028</v>
      </c>
      <c r="B210" t="s">
        <v>1252</v>
      </c>
      <c r="C210">
        <v>37503</v>
      </c>
      <c r="D210">
        <v>391316147.63</v>
      </c>
    </row>
    <row r="211" spans="1:4">
      <c r="A211" t="s">
        <v>1028</v>
      </c>
      <c r="B211" t="s">
        <v>1253</v>
      </c>
      <c r="C211">
        <v>37057</v>
      </c>
      <c r="D211">
        <v>382105413.35000002</v>
      </c>
    </row>
    <row r="212" spans="1:4">
      <c r="A212" t="s">
        <v>1028</v>
      </c>
      <c r="B212" t="s">
        <v>1254</v>
      </c>
      <c r="C212">
        <v>36828</v>
      </c>
      <c r="D212">
        <v>372930476.82999998</v>
      </c>
    </row>
    <row r="213" spans="1:4">
      <c r="A213" t="s">
        <v>1028</v>
      </c>
      <c r="B213" t="s">
        <v>1255</v>
      </c>
      <c r="C213">
        <v>36587</v>
      </c>
      <c r="D213">
        <v>363764521.54000002</v>
      </c>
    </row>
    <row r="214" spans="1:4">
      <c r="A214" t="s">
        <v>1028</v>
      </c>
      <c r="B214" t="s">
        <v>1256</v>
      </c>
      <c r="C214">
        <v>36219</v>
      </c>
      <c r="D214">
        <v>354608227.83999997</v>
      </c>
    </row>
    <row r="215" spans="1:4">
      <c r="A215" t="s">
        <v>1028</v>
      </c>
      <c r="B215" t="s">
        <v>1257</v>
      </c>
      <c r="C215">
        <v>35871</v>
      </c>
      <c r="D215">
        <v>345484303.19</v>
      </c>
    </row>
    <row r="216" spans="1:4">
      <c r="A216" t="s">
        <v>1028</v>
      </c>
      <c r="B216" t="s">
        <v>1258</v>
      </c>
      <c r="C216">
        <v>41491</v>
      </c>
      <c r="D216">
        <v>503608893.48000002</v>
      </c>
    </row>
    <row r="217" spans="1:4">
      <c r="A217" t="s">
        <v>1028</v>
      </c>
      <c r="B217" t="s">
        <v>1259</v>
      </c>
      <c r="C217">
        <v>35610</v>
      </c>
      <c r="D217">
        <v>336395531.73000002</v>
      </c>
    </row>
    <row r="218" spans="1:4">
      <c r="A218" t="s">
        <v>1028</v>
      </c>
      <c r="B218" t="s">
        <v>1260</v>
      </c>
      <c r="C218">
        <v>35244</v>
      </c>
      <c r="D218">
        <v>327318681.45999998</v>
      </c>
    </row>
    <row r="219" spans="1:4">
      <c r="A219" t="s">
        <v>1028</v>
      </c>
      <c r="B219" t="s">
        <v>1261</v>
      </c>
      <c r="C219">
        <v>34840</v>
      </c>
      <c r="D219">
        <v>318285646.5</v>
      </c>
    </row>
    <row r="220" spans="1:4">
      <c r="A220" t="s">
        <v>1028</v>
      </c>
      <c r="B220" t="s">
        <v>1262</v>
      </c>
      <c r="C220">
        <v>34483</v>
      </c>
      <c r="D220">
        <v>309301076.85000002</v>
      </c>
    </row>
    <row r="221" spans="1:4">
      <c r="A221" t="s">
        <v>1028</v>
      </c>
      <c r="B221" t="s">
        <v>1263</v>
      </c>
      <c r="C221">
        <v>34144</v>
      </c>
      <c r="D221">
        <v>300347623.55000001</v>
      </c>
    </row>
    <row r="222" spans="1:4">
      <c r="A222" t="s">
        <v>1028</v>
      </c>
      <c r="B222" t="s">
        <v>1264</v>
      </c>
      <c r="C222">
        <v>33747</v>
      </c>
      <c r="D222">
        <v>291429742.32999998</v>
      </c>
    </row>
    <row r="223" spans="1:4">
      <c r="A223" t="s">
        <v>1028</v>
      </c>
      <c r="B223" t="s">
        <v>1265</v>
      </c>
      <c r="C223">
        <v>33285</v>
      </c>
      <c r="D223">
        <v>282558043.38</v>
      </c>
    </row>
    <row r="224" spans="1:4">
      <c r="A224" t="s">
        <v>1028</v>
      </c>
      <c r="B224" t="s">
        <v>1266</v>
      </c>
      <c r="C224">
        <v>32805</v>
      </c>
      <c r="D224">
        <v>273751188.02999997</v>
      </c>
    </row>
    <row r="225" spans="1:4">
      <c r="A225" t="s">
        <v>1028</v>
      </c>
      <c r="B225" t="s">
        <v>1267</v>
      </c>
      <c r="C225">
        <v>32589</v>
      </c>
      <c r="D225">
        <v>265007368.91</v>
      </c>
    </row>
    <row r="226" spans="1:4">
      <c r="A226" t="s">
        <v>1028</v>
      </c>
      <c r="B226" t="s">
        <v>1268</v>
      </c>
      <c r="C226">
        <v>32369</v>
      </c>
      <c r="D226">
        <v>256275801.97999999</v>
      </c>
    </row>
    <row r="227" spans="1:4">
      <c r="A227" t="s">
        <v>1028</v>
      </c>
      <c r="B227" t="s">
        <v>1269</v>
      </c>
      <c r="C227">
        <v>41125</v>
      </c>
      <c r="D227">
        <v>494188878.86000001</v>
      </c>
    </row>
    <row r="228" spans="1:4">
      <c r="A228" t="s">
        <v>1028</v>
      </c>
      <c r="B228" t="s">
        <v>1270</v>
      </c>
      <c r="C228">
        <v>32082</v>
      </c>
      <c r="D228">
        <v>247557449.84</v>
      </c>
    </row>
    <row r="229" spans="1:4">
      <c r="A229" t="s">
        <v>1028</v>
      </c>
      <c r="B229" t="s">
        <v>1271</v>
      </c>
      <c r="C229">
        <v>31782</v>
      </c>
      <c r="D229">
        <v>238871977.77000001</v>
      </c>
    </row>
    <row r="230" spans="1:4">
      <c r="A230" t="s">
        <v>1028</v>
      </c>
      <c r="B230" t="s">
        <v>1272</v>
      </c>
      <c r="C230">
        <v>31502</v>
      </c>
      <c r="D230">
        <v>230211842.56</v>
      </c>
    </row>
    <row r="231" spans="1:4">
      <c r="A231" t="s">
        <v>1028</v>
      </c>
      <c r="B231" t="s">
        <v>1273</v>
      </c>
      <c r="C231">
        <v>31229</v>
      </c>
      <c r="D231">
        <v>221582165.78</v>
      </c>
    </row>
    <row r="232" spans="1:4">
      <c r="A232" t="s">
        <v>1028</v>
      </c>
      <c r="B232" t="s">
        <v>1274</v>
      </c>
      <c r="C232">
        <v>30890</v>
      </c>
      <c r="D232">
        <v>212986007.80000001</v>
      </c>
    </row>
    <row r="233" spans="1:4">
      <c r="A233" t="s">
        <v>1028</v>
      </c>
      <c r="B233" t="s">
        <v>1275</v>
      </c>
      <c r="C233">
        <v>30547</v>
      </c>
      <c r="D233">
        <v>204438114.63</v>
      </c>
    </row>
    <row r="234" spans="1:4">
      <c r="A234" t="s">
        <v>1028</v>
      </c>
      <c r="B234" t="s">
        <v>1276</v>
      </c>
      <c r="C234">
        <v>30184</v>
      </c>
      <c r="D234">
        <v>195933308.43000001</v>
      </c>
    </row>
    <row r="235" spans="1:4">
      <c r="A235" t="s">
        <v>1028</v>
      </c>
      <c r="B235" t="s">
        <v>1277</v>
      </c>
      <c r="C235">
        <v>29802</v>
      </c>
      <c r="D235">
        <v>187481855.59999999</v>
      </c>
    </row>
    <row r="236" spans="1:4">
      <c r="A236" t="s">
        <v>1028</v>
      </c>
      <c r="B236" t="s">
        <v>1278</v>
      </c>
      <c r="C236">
        <v>29386</v>
      </c>
      <c r="D236">
        <v>179083349.21000001</v>
      </c>
    </row>
    <row r="237" spans="1:4">
      <c r="A237" t="s">
        <v>1028</v>
      </c>
      <c r="B237" t="s">
        <v>1279</v>
      </c>
      <c r="C237">
        <v>28990</v>
      </c>
      <c r="D237">
        <v>170750281.22999999</v>
      </c>
    </row>
    <row r="238" spans="1:4">
      <c r="A238" t="s">
        <v>1028</v>
      </c>
      <c r="B238" t="s">
        <v>1280</v>
      </c>
      <c r="C238">
        <v>40925</v>
      </c>
      <c r="D238">
        <v>484789628.92000002</v>
      </c>
    </row>
    <row r="239" spans="1:4">
      <c r="A239" t="s">
        <v>1028</v>
      </c>
      <c r="B239" t="s">
        <v>1281</v>
      </c>
      <c r="C239">
        <v>28758</v>
      </c>
      <c r="D239">
        <v>162472670.16</v>
      </c>
    </row>
    <row r="240" spans="1:4">
      <c r="A240" t="s">
        <v>1028</v>
      </c>
      <c r="B240" t="s">
        <v>1282</v>
      </c>
      <c r="C240">
        <v>28496</v>
      </c>
      <c r="D240">
        <v>154216212.16</v>
      </c>
    </row>
    <row r="241" spans="1:4">
      <c r="A241" t="s">
        <v>1028</v>
      </c>
      <c r="B241" t="s">
        <v>1283</v>
      </c>
      <c r="C241">
        <v>28062</v>
      </c>
      <c r="D241">
        <v>145997359.72</v>
      </c>
    </row>
    <row r="242" spans="1:4">
      <c r="A242" t="s">
        <v>1028</v>
      </c>
      <c r="B242" t="s">
        <v>1284</v>
      </c>
      <c r="C242">
        <v>27628</v>
      </c>
      <c r="D242">
        <v>137849046.34999999</v>
      </c>
    </row>
    <row r="243" spans="1:4">
      <c r="A243" t="s">
        <v>1028</v>
      </c>
      <c r="B243" t="s">
        <v>1285</v>
      </c>
      <c r="C243">
        <v>27222</v>
      </c>
      <c r="D243">
        <v>129769018.66</v>
      </c>
    </row>
    <row r="244" spans="1:4">
      <c r="A244" t="s">
        <v>1028</v>
      </c>
      <c r="B244" t="s">
        <v>1286</v>
      </c>
      <c r="C244">
        <v>26679</v>
      </c>
      <c r="D244">
        <v>121751703.76000001</v>
      </c>
    </row>
    <row r="245" spans="1:4">
      <c r="A245" t="s">
        <v>1028</v>
      </c>
      <c r="B245" t="s">
        <v>1287</v>
      </c>
      <c r="C245">
        <v>26005</v>
      </c>
      <c r="D245">
        <v>113838875.36</v>
      </c>
    </row>
    <row r="246" spans="1:4">
      <c r="A246" t="s">
        <v>1028</v>
      </c>
      <c r="B246" t="s">
        <v>1288</v>
      </c>
      <c r="C246">
        <v>25242</v>
      </c>
      <c r="D246">
        <v>106071204.64</v>
      </c>
    </row>
    <row r="247" spans="1:4">
      <c r="A247" t="s">
        <v>1028</v>
      </c>
      <c r="B247" t="s">
        <v>1289</v>
      </c>
      <c r="C247">
        <v>24458</v>
      </c>
      <c r="D247">
        <v>98466753.079999998</v>
      </c>
    </row>
    <row r="248" spans="1:4">
      <c r="A248" t="s">
        <v>1028</v>
      </c>
      <c r="B248" t="s">
        <v>1290</v>
      </c>
      <c r="C248">
        <v>23459</v>
      </c>
      <c r="D248">
        <v>91023197.879999995</v>
      </c>
    </row>
    <row r="249" spans="1:4">
      <c r="A249" t="s">
        <v>1028</v>
      </c>
      <c r="B249" t="s">
        <v>1291</v>
      </c>
      <c r="C249">
        <v>40721</v>
      </c>
      <c r="D249">
        <v>475384613.41000003</v>
      </c>
    </row>
    <row r="250" spans="1:4">
      <c r="A250" t="s">
        <v>1028</v>
      </c>
      <c r="B250" t="s">
        <v>1292</v>
      </c>
      <c r="C250">
        <v>22534</v>
      </c>
      <c r="D250">
        <v>83785700.700000003</v>
      </c>
    </row>
    <row r="251" spans="1:4">
      <c r="A251" t="s">
        <v>1028</v>
      </c>
      <c r="B251" t="s">
        <v>1293</v>
      </c>
      <c r="C251">
        <v>21479</v>
      </c>
      <c r="D251">
        <v>76743685.599999994</v>
      </c>
    </row>
    <row r="252" spans="1:4">
      <c r="A252" t="s">
        <v>1028</v>
      </c>
      <c r="B252" t="s">
        <v>1294</v>
      </c>
      <c r="C252">
        <v>21010</v>
      </c>
      <c r="D252">
        <v>69924572.239999995</v>
      </c>
    </row>
    <row r="253" spans="1:4">
      <c r="A253" t="s">
        <v>1028</v>
      </c>
      <c r="B253" t="s">
        <v>1295</v>
      </c>
      <c r="C253">
        <v>20528</v>
      </c>
      <c r="D253">
        <v>63205533.25</v>
      </c>
    </row>
    <row r="254" spans="1:4">
      <c r="A254" t="s">
        <v>1028</v>
      </c>
      <c r="B254" t="s">
        <v>1296</v>
      </c>
      <c r="C254">
        <v>19658</v>
      </c>
      <c r="D254">
        <v>56600634.479999997</v>
      </c>
    </row>
    <row r="255" spans="1:4">
      <c r="A255" t="s">
        <v>1028</v>
      </c>
      <c r="B255" t="s">
        <v>1297</v>
      </c>
      <c r="C255">
        <v>18742</v>
      </c>
      <c r="D255">
        <v>50229090.469999999</v>
      </c>
    </row>
    <row r="256" spans="1:4">
      <c r="A256" t="s">
        <v>1028</v>
      </c>
      <c r="B256" t="s">
        <v>1298</v>
      </c>
      <c r="C256">
        <v>18054</v>
      </c>
      <c r="D256">
        <v>44120381.969999999</v>
      </c>
    </row>
    <row r="257" spans="1:4">
      <c r="A257" t="s">
        <v>1028</v>
      </c>
      <c r="B257" t="s">
        <v>1299</v>
      </c>
      <c r="C257">
        <v>17023</v>
      </c>
      <c r="D257">
        <v>38216741.149999999</v>
      </c>
    </row>
    <row r="258" spans="1:4">
      <c r="A258" t="s">
        <v>1028</v>
      </c>
      <c r="B258" t="s">
        <v>1300</v>
      </c>
      <c r="C258">
        <v>15727</v>
      </c>
      <c r="D258">
        <v>32625816.960000001</v>
      </c>
    </row>
    <row r="259" spans="1:4">
      <c r="A259" t="s">
        <v>1028</v>
      </c>
      <c r="B259" t="s">
        <v>1301</v>
      </c>
      <c r="C259">
        <v>14232</v>
      </c>
      <c r="D259">
        <v>27432326.649999999</v>
      </c>
    </row>
    <row r="260" spans="1:4">
      <c r="A260" t="s">
        <v>1028</v>
      </c>
      <c r="B260" t="s">
        <v>1302</v>
      </c>
      <c r="C260">
        <v>40385</v>
      </c>
      <c r="D260">
        <v>465977033.80000001</v>
      </c>
    </row>
    <row r="261" spans="1:4">
      <c r="A261" t="s">
        <v>1028</v>
      </c>
      <c r="B261" t="s">
        <v>1303</v>
      </c>
      <c r="C261">
        <v>12527</v>
      </c>
      <c r="D261">
        <v>22721436.719999999</v>
      </c>
    </row>
    <row r="262" spans="1:4">
      <c r="A262" t="s">
        <v>1028</v>
      </c>
      <c r="B262" t="s">
        <v>1304</v>
      </c>
      <c r="C262">
        <v>10405</v>
      </c>
      <c r="D262">
        <v>18557047.84</v>
      </c>
    </row>
    <row r="263" spans="1:4">
      <c r="A263" t="s">
        <v>1028</v>
      </c>
      <c r="B263" t="s">
        <v>1305</v>
      </c>
      <c r="C263">
        <v>8319</v>
      </c>
      <c r="D263">
        <v>15105543.869999999</v>
      </c>
    </row>
    <row r="264" spans="1:4">
      <c r="A264" t="s">
        <v>1028</v>
      </c>
      <c r="B264" t="s">
        <v>1306</v>
      </c>
      <c r="C264">
        <v>6046</v>
      </c>
      <c r="D264">
        <v>12331257.4</v>
      </c>
    </row>
    <row r="265" spans="1:4">
      <c r="A265" t="s">
        <v>1028</v>
      </c>
      <c r="B265" t="s">
        <v>1307</v>
      </c>
      <c r="C265">
        <v>5223</v>
      </c>
      <c r="D265">
        <v>10294910.710000001</v>
      </c>
    </row>
    <row r="266" spans="1:4">
      <c r="A266" t="s">
        <v>1028</v>
      </c>
      <c r="B266" t="s">
        <v>1308</v>
      </c>
      <c r="C266">
        <v>4527</v>
      </c>
      <c r="D266">
        <v>8530035.6699999999</v>
      </c>
    </row>
    <row r="267" spans="1:4">
      <c r="A267" t="s">
        <v>1028</v>
      </c>
      <c r="B267" t="s">
        <v>1309</v>
      </c>
      <c r="C267">
        <v>3881</v>
      </c>
      <c r="D267">
        <v>6991614.54</v>
      </c>
    </row>
    <row r="268" spans="1:4">
      <c r="A268" t="s">
        <v>1028</v>
      </c>
      <c r="B268" t="s">
        <v>1310</v>
      </c>
      <c r="C268">
        <v>3286</v>
      </c>
      <c r="D268">
        <v>5668223.75</v>
      </c>
    </row>
    <row r="269" spans="1:4">
      <c r="A269" t="s">
        <v>1028</v>
      </c>
      <c r="B269" t="s">
        <v>1311</v>
      </c>
      <c r="C269">
        <v>2865</v>
      </c>
      <c r="D269">
        <v>4537359.79</v>
      </c>
    </row>
    <row r="270" spans="1:4">
      <c r="A270" t="s">
        <v>1028</v>
      </c>
      <c r="B270" t="s">
        <v>1312</v>
      </c>
      <c r="C270">
        <v>2380</v>
      </c>
      <c r="D270">
        <v>3556783.38</v>
      </c>
    </row>
    <row r="271" spans="1:4">
      <c r="A271" t="s">
        <v>1028</v>
      </c>
      <c r="B271" t="s">
        <v>1313</v>
      </c>
      <c r="C271">
        <v>40085</v>
      </c>
      <c r="D271">
        <v>456585460.31999999</v>
      </c>
    </row>
    <row r="272" spans="1:4">
      <c r="A272" t="s">
        <v>1028</v>
      </c>
      <c r="B272" t="s">
        <v>1314</v>
      </c>
      <c r="C272">
        <v>1884</v>
      </c>
      <c r="D272">
        <v>2733008.8</v>
      </c>
    </row>
    <row r="273" spans="1:4">
      <c r="A273" t="s">
        <v>1028</v>
      </c>
      <c r="B273" t="s">
        <v>1315</v>
      </c>
      <c r="C273">
        <v>1452</v>
      </c>
      <c r="D273">
        <v>2077464.26</v>
      </c>
    </row>
    <row r="274" spans="1:4">
      <c r="A274" t="s">
        <v>1028</v>
      </c>
      <c r="B274" t="s">
        <v>1316</v>
      </c>
      <c r="C274">
        <v>1125</v>
      </c>
      <c r="D274">
        <v>1557155.32</v>
      </c>
    </row>
    <row r="275" spans="1:4">
      <c r="A275" t="s">
        <v>1028</v>
      </c>
      <c r="B275" t="s">
        <v>1317</v>
      </c>
      <c r="C275">
        <v>818</v>
      </c>
      <c r="D275">
        <v>1146451.77</v>
      </c>
    </row>
    <row r="276" spans="1:4">
      <c r="A276" t="s">
        <v>1028</v>
      </c>
      <c r="B276" t="s">
        <v>1318</v>
      </c>
      <c r="C276">
        <v>493</v>
      </c>
      <c r="D276">
        <v>841297.06</v>
      </c>
    </row>
    <row r="277" spans="1:4">
      <c r="A277" t="s">
        <v>1028</v>
      </c>
      <c r="B277" t="s">
        <v>1319</v>
      </c>
      <c r="C277">
        <v>308</v>
      </c>
      <c r="D277">
        <v>649311.12</v>
      </c>
    </row>
    <row r="278" spans="1:4">
      <c r="A278" t="s">
        <v>1028</v>
      </c>
      <c r="B278" t="s">
        <v>1320</v>
      </c>
      <c r="C278">
        <v>266</v>
      </c>
      <c r="D278">
        <v>514349.05</v>
      </c>
    </row>
    <row r="279" spans="1:4">
      <c r="A279" t="s">
        <v>1028</v>
      </c>
      <c r="B279" t="s">
        <v>1321</v>
      </c>
      <c r="C279">
        <v>200</v>
      </c>
      <c r="D279">
        <v>398238.84</v>
      </c>
    </row>
    <row r="280" spans="1:4">
      <c r="A280" t="s">
        <v>1028</v>
      </c>
      <c r="B280" t="s">
        <v>1322</v>
      </c>
      <c r="C280">
        <v>145</v>
      </c>
      <c r="D280">
        <v>313077.05</v>
      </c>
    </row>
    <row r="281" spans="1:4">
      <c r="A281" t="s">
        <v>1028</v>
      </c>
      <c r="B281" t="s">
        <v>1323</v>
      </c>
      <c r="C281">
        <v>104</v>
      </c>
      <c r="D281">
        <v>255559.34</v>
      </c>
    </row>
    <row r="282" spans="1:4">
      <c r="A282" t="s">
        <v>1028</v>
      </c>
      <c r="B282" t="s">
        <v>1324</v>
      </c>
      <c r="C282">
        <v>39801</v>
      </c>
      <c r="D282">
        <v>447202948.58999997</v>
      </c>
    </row>
    <row r="283" spans="1:4">
      <c r="A283" t="s">
        <v>1028</v>
      </c>
      <c r="B283" t="s">
        <v>1325</v>
      </c>
      <c r="C283">
        <v>78</v>
      </c>
      <c r="D283">
        <v>212785.76</v>
      </c>
    </row>
    <row r="284" spans="1:4">
      <c r="A284" t="s">
        <v>1028</v>
      </c>
      <c r="B284" t="s">
        <v>1326</v>
      </c>
      <c r="C284">
        <v>65</v>
      </c>
      <c r="D284">
        <v>180015.48</v>
      </c>
    </row>
    <row r="285" spans="1:4">
      <c r="A285" t="s">
        <v>1028</v>
      </c>
      <c r="B285" t="s">
        <v>1327</v>
      </c>
      <c r="C285">
        <v>49</v>
      </c>
      <c r="D285">
        <v>151741.39000000001</v>
      </c>
    </row>
    <row r="286" spans="1:4">
      <c r="A286" t="s">
        <v>1028</v>
      </c>
      <c r="B286" t="s">
        <v>1328</v>
      </c>
      <c r="C286">
        <v>38</v>
      </c>
      <c r="D286">
        <v>130246.13</v>
      </c>
    </row>
    <row r="287" spans="1:4">
      <c r="A287" t="s">
        <v>1028</v>
      </c>
      <c r="B287" t="s">
        <v>1329</v>
      </c>
      <c r="C287">
        <v>30</v>
      </c>
      <c r="D287">
        <v>113507.37</v>
      </c>
    </row>
    <row r="288" spans="1:4">
      <c r="A288" t="s">
        <v>1028</v>
      </c>
      <c r="B288" t="s">
        <v>1330</v>
      </c>
      <c r="C288">
        <v>21</v>
      </c>
      <c r="D288">
        <v>100299.41</v>
      </c>
    </row>
    <row r="289" spans="1:4">
      <c r="A289" t="s">
        <v>1028</v>
      </c>
      <c r="B289" t="s">
        <v>1331</v>
      </c>
      <c r="C289">
        <v>19</v>
      </c>
      <c r="D289">
        <v>92161.43</v>
      </c>
    </row>
    <row r="290" spans="1:4">
      <c r="A290" t="s">
        <v>1028</v>
      </c>
      <c r="B290" t="s">
        <v>1332</v>
      </c>
      <c r="C290">
        <v>18</v>
      </c>
      <c r="D290">
        <v>84946.28</v>
      </c>
    </row>
    <row r="291" spans="1:4">
      <c r="A291" t="s">
        <v>1028</v>
      </c>
      <c r="B291" t="s">
        <v>1333</v>
      </c>
      <c r="C291">
        <v>15</v>
      </c>
      <c r="D291">
        <v>78419.06</v>
      </c>
    </row>
    <row r="292" spans="1:4">
      <c r="A292" t="s">
        <v>1028</v>
      </c>
      <c r="B292" t="s">
        <v>1334</v>
      </c>
      <c r="C292">
        <v>13</v>
      </c>
      <c r="D292">
        <v>72986.080000000002</v>
      </c>
    </row>
    <row r="293" spans="1:4">
      <c r="A293" t="s">
        <v>1028</v>
      </c>
      <c r="B293" t="s">
        <v>1335</v>
      </c>
      <c r="C293">
        <v>39447</v>
      </c>
      <c r="D293">
        <v>437827142.94999999</v>
      </c>
    </row>
    <row r="294" spans="1:4">
      <c r="A294" t="s">
        <v>1028</v>
      </c>
      <c r="B294" t="s">
        <v>1336</v>
      </c>
      <c r="C294">
        <v>12</v>
      </c>
      <c r="D294">
        <v>67991.199999999997</v>
      </c>
    </row>
    <row r="295" spans="1:4">
      <c r="A295" t="s">
        <v>1028</v>
      </c>
      <c r="B295" t="s">
        <v>1337</v>
      </c>
      <c r="C295">
        <v>11</v>
      </c>
      <c r="D295">
        <v>63338.55</v>
      </c>
    </row>
    <row r="296" spans="1:4">
      <c r="A296" t="s">
        <v>1028</v>
      </c>
      <c r="B296" t="s">
        <v>1338</v>
      </c>
      <c r="C296">
        <v>11</v>
      </c>
      <c r="D296">
        <v>59224.97</v>
      </c>
    </row>
    <row r="297" spans="1:4">
      <c r="A297" t="s">
        <v>1028</v>
      </c>
      <c r="B297" t="s">
        <v>1339</v>
      </c>
      <c r="C297">
        <v>11</v>
      </c>
      <c r="D297">
        <v>55090.28</v>
      </c>
    </row>
    <row r="298" spans="1:4">
      <c r="A298" t="s">
        <v>1028</v>
      </c>
      <c r="B298" t="s">
        <v>1340</v>
      </c>
      <c r="C298">
        <v>11</v>
      </c>
      <c r="D298">
        <v>50934.37</v>
      </c>
    </row>
    <row r="299" spans="1:4">
      <c r="A299" t="s">
        <v>1028</v>
      </c>
      <c r="B299" t="s">
        <v>1341</v>
      </c>
      <c r="C299">
        <v>10</v>
      </c>
      <c r="D299">
        <v>46757.11</v>
      </c>
    </row>
    <row r="300" spans="1:4">
      <c r="A300" t="s">
        <v>1028</v>
      </c>
      <c r="B300" t="s">
        <v>1342</v>
      </c>
      <c r="C300">
        <v>10</v>
      </c>
      <c r="D300">
        <v>42708.31</v>
      </c>
    </row>
    <row r="301" spans="1:4">
      <c r="A301" t="s">
        <v>1028</v>
      </c>
      <c r="B301" t="s">
        <v>1343</v>
      </c>
      <c r="C301">
        <v>10</v>
      </c>
      <c r="D301">
        <v>38638.75</v>
      </c>
    </row>
    <row r="302" spans="1:4">
      <c r="A302" t="s">
        <v>1028</v>
      </c>
      <c r="B302" t="s">
        <v>1344</v>
      </c>
      <c r="C302">
        <v>9</v>
      </c>
      <c r="D302">
        <v>34548.29</v>
      </c>
    </row>
    <row r="303" spans="1:4">
      <c r="A303" t="s">
        <v>1028</v>
      </c>
      <c r="B303" t="s">
        <v>1345</v>
      </c>
      <c r="C303">
        <v>9</v>
      </c>
      <c r="D303">
        <v>30792.2</v>
      </c>
    </row>
    <row r="304" spans="1:4">
      <c r="A304" t="s">
        <v>1028</v>
      </c>
      <c r="B304" t="s">
        <v>1346</v>
      </c>
      <c r="C304">
        <v>1874</v>
      </c>
      <c r="D304">
        <v>975298.19000000064</v>
      </c>
    </row>
    <row r="305" spans="1:4">
      <c r="A305" t="s">
        <v>1028</v>
      </c>
      <c r="B305" t="s">
        <v>1347</v>
      </c>
      <c r="C305">
        <v>2583</v>
      </c>
      <c r="D305">
        <v>4733758.3699999964</v>
      </c>
    </row>
    <row r="306" spans="1:4">
      <c r="A306" t="s">
        <v>1028</v>
      </c>
      <c r="B306" t="s">
        <v>1348</v>
      </c>
      <c r="C306">
        <v>2260</v>
      </c>
      <c r="D306">
        <v>7815473.129999998</v>
      </c>
    </row>
    <row r="307" spans="1:4">
      <c r="A307" t="s">
        <v>1028</v>
      </c>
      <c r="B307" t="s">
        <v>1349</v>
      </c>
      <c r="C307">
        <v>2656</v>
      </c>
      <c r="D307">
        <v>13414962.649999985</v>
      </c>
    </row>
    <row r="308" spans="1:4">
      <c r="A308" t="s">
        <v>1028</v>
      </c>
      <c r="B308" t="s">
        <v>1350</v>
      </c>
      <c r="C308">
        <v>2043</v>
      </c>
      <c r="D308">
        <v>14809141.120000016</v>
      </c>
    </row>
    <row r="309" spans="1:4">
      <c r="A309" t="s">
        <v>1028</v>
      </c>
      <c r="B309" t="s">
        <v>1351</v>
      </c>
      <c r="C309">
        <v>2485</v>
      </c>
      <c r="D309">
        <v>21911179.449999977</v>
      </c>
    </row>
    <row r="310" spans="1:4">
      <c r="A310" t="s">
        <v>1028</v>
      </c>
      <c r="B310" t="s">
        <v>1352</v>
      </c>
      <c r="C310">
        <v>4603</v>
      </c>
      <c r="D310">
        <v>48863682.790000029</v>
      </c>
    </row>
    <row r="311" spans="1:4">
      <c r="A311" t="s">
        <v>1028</v>
      </c>
      <c r="B311" t="s">
        <v>1353</v>
      </c>
      <c r="C311">
        <v>5408</v>
      </c>
      <c r="D311">
        <v>72409331.169999793</v>
      </c>
    </row>
    <row r="312" spans="1:4">
      <c r="A312" t="s">
        <v>1028</v>
      </c>
      <c r="B312" t="s">
        <v>1354</v>
      </c>
      <c r="C312">
        <v>12017</v>
      </c>
      <c r="D312">
        <v>210103487.68999997</v>
      </c>
    </row>
    <row r="313" spans="1:4">
      <c r="A313" t="s">
        <v>1028</v>
      </c>
      <c r="B313" t="s">
        <v>1355</v>
      </c>
      <c r="C313">
        <v>4166</v>
      </c>
      <c r="D313">
        <v>78881145.939999998</v>
      </c>
    </row>
    <row r="314" spans="1:4">
      <c r="A314" t="s">
        <v>1028</v>
      </c>
      <c r="B314" t="s">
        <v>1356</v>
      </c>
      <c r="C314">
        <v>1684</v>
      </c>
      <c r="D314">
        <v>33585839.759999961</v>
      </c>
    </row>
    <row r="315" spans="1:4">
      <c r="A315" t="s">
        <v>1028</v>
      </c>
      <c r="B315" t="s">
        <v>1357</v>
      </c>
      <c r="C315">
        <v>170</v>
      </c>
      <c r="D315">
        <v>4451340.3599999975</v>
      </c>
    </row>
    <row r="316" spans="1:4">
      <c r="A316" t="s">
        <v>1028</v>
      </c>
      <c r="B316" t="s">
        <v>1358</v>
      </c>
      <c r="C316">
        <v>19</v>
      </c>
      <c r="D316">
        <v>604853.02</v>
      </c>
    </row>
    <row r="317" spans="1:4">
      <c r="A317" t="s">
        <v>1028</v>
      </c>
      <c r="B317" t="s">
        <v>1359</v>
      </c>
      <c r="C317">
        <v>2</v>
      </c>
      <c r="D317">
        <v>41728.589999999997</v>
      </c>
    </row>
    <row r="318" spans="1:4">
      <c r="A318" t="s">
        <v>1028</v>
      </c>
      <c r="B318" t="s">
        <v>1360</v>
      </c>
      <c r="C318">
        <v>9</v>
      </c>
      <c r="D318">
        <v>318255.63999999996</v>
      </c>
    </row>
    <row r="319" spans="1:4">
      <c r="A319" t="s">
        <v>1028</v>
      </c>
      <c r="B319" t="s">
        <v>1361</v>
      </c>
      <c r="C319">
        <v>41979</v>
      </c>
      <c r="D319">
        <v>55.314880915774175</v>
      </c>
    </row>
    <row r="320" spans="1:4">
      <c r="A320" t="s">
        <v>1030</v>
      </c>
      <c r="B320" t="s">
        <v>1362</v>
      </c>
      <c r="C320">
        <v>0</v>
      </c>
      <c r="D320">
        <v>0</v>
      </c>
    </row>
    <row r="321" spans="1:4">
      <c r="A321" t="s">
        <v>1030</v>
      </c>
      <c r="B321" t="s">
        <v>1363</v>
      </c>
      <c r="C321">
        <v>0</v>
      </c>
      <c r="D321">
        <v>0</v>
      </c>
    </row>
    <row r="322" spans="1:4">
      <c r="A322" t="s">
        <v>1030</v>
      </c>
      <c r="B322" t="s">
        <v>1364</v>
      </c>
      <c r="C322">
        <v>0</v>
      </c>
      <c r="D322">
        <v>0</v>
      </c>
    </row>
    <row r="323" spans="1:4">
      <c r="A323" t="s">
        <v>1030</v>
      </c>
      <c r="B323" t="s">
        <v>1365</v>
      </c>
      <c r="C323">
        <v>0</v>
      </c>
      <c r="D323">
        <v>0</v>
      </c>
    </row>
    <row r="324" spans="1:4">
      <c r="A324" t="s">
        <v>1030</v>
      </c>
      <c r="B324" t="s">
        <v>1366</v>
      </c>
      <c r="C324">
        <v>0</v>
      </c>
      <c r="D324">
        <v>0</v>
      </c>
    </row>
    <row r="325" spans="1:4">
      <c r="A325" t="s">
        <v>1030</v>
      </c>
      <c r="B325" t="s">
        <v>1367</v>
      </c>
      <c r="C325">
        <v>0</v>
      </c>
      <c r="D325">
        <v>0</v>
      </c>
    </row>
    <row r="326" spans="1:4">
      <c r="A326" t="s">
        <v>1030</v>
      </c>
      <c r="B326" t="s">
        <v>1368</v>
      </c>
      <c r="C326">
        <v>0</v>
      </c>
      <c r="D326">
        <v>0</v>
      </c>
    </row>
    <row r="327" spans="1:4">
      <c r="A327" t="s">
        <v>1028</v>
      </c>
      <c r="B327" t="s">
        <v>1369</v>
      </c>
      <c r="C327">
        <v>293</v>
      </c>
      <c r="D327">
        <v>3270023.5399999996</v>
      </c>
    </row>
    <row r="328" spans="1:4">
      <c r="A328" t="s">
        <v>1028</v>
      </c>
      <c r="B328" t="s">
        <v>1370</v>
      </c>
      <c r="C328">
        <v>1392</v>
      </c>
      <c r="D328">
        <v>18710905.329999987</v>
      </c>
    </row>
    <row r="329" spans="1:4">
      <c r="A329" t="s">
        <v>1028</v>
      </c>
      <c r="B329" t="s">
        <v>1371</v>
      </c>
      <c r="C329">
        <v>2126</v>
      </c>
      <c r="D329">
        <v>27024901.380000003</v>
      </c>
    </row>
    <row r="330" spans="1:4">
      <c r="A330" t="s">
        <v>1028</v>
      </c>
      <c r="B330" t="s">
        <v>1372</v>
      </c>
      <c r="C330">
        <v>1887</v>
      </c>
      <c r="D330">
        <v>23494914.699999966</v>
      </c>
    </row>
    <row r="331" spans="1:4">
      <c r="A331" t="s">
        <v>1028</v>
      </c>
      <c r="B331" t="s">
        <v>1373</v>
      </c>
      <c r="C331">
        <v>7016</v>
      </c>
      <c r="D331">
        <v>82931163.250000134</v>
      </c>
    </row>
    <row r="332" spans="1:4">
      <c r="A332" t="s">
        <v>1028</v>
      </c>
      <c r="B332" t="s">
        <v>1374</v>
      </c>
      <c r="C332">
        <v>12526</v>
      </c>
      <c r="D332">
        <v>165714773.12999976</v>
      </c>
    </row>
    <row r="333" spans="1:4">
      <c r="A333" t="s">
        <v>1028</v>
      </c>
      <c r="B333" t="s">
        <v>1375</v>
      </c>
      <c r="C333">
        <v>8918</v>
      </c>
      <c r="D333">
        <v>112667583.53000003</v>
      </c>
    </row>
    <row r="334" spans="1:4">
      <c r="A334" t="s">
        <v>1028</v>
      </c>
      <c r="B334" t="s">
        <v>1376</v>
      </c>
      <c r="C334">
        <v>4878</v>
      </c>
      <c r="D334">
        <v>50280327.829999939</v>
      </c>
    </row>
    <row r="335" spans="1:4">
      <c r="A335" t="s">
        <v>1028</v>
      </c>
      <c r="B335" t="s">
        <v>1377</v>
      </c>
      <c r="C335">
        <v>1548</v>
      </c>
      <c r="D335">
        <v>16040161.429999987</v>
      </c>
    </row>
    <row r="336" spans="1:4">
      <c r="A336" t="s">
        <v>1028</v>
      </c>
      <c r="B336" t="s">
        <v>1378</v>
      </c>
      <c r="C336">
        <v>578</v>
      </c>
      <c r="D336">
        <v>5752897.5899999952</v>
      </c>
    </row>
    <row r="337" spans="1:4">
      <c r="A337" t="s">
        <v>1028</v>
      </c>
      <c r="B337" t="s">
        <v>1379</v>
      </c>
      <c r="C337">
        <v>393</v>
      </c>
      <c r="D337">
        <v>3837855.3600000008</v>
      </c>
    </row>
    <row r="338" spans="1:4">
      <c r="A338" t="s">
        <v>1028</v>
      </c>
      <c r="B338" t="s">
        <v>1380</v>
      </c>
      <c r="C338">
        <v>249</v>
      </c>
      <c r="D338">
        <v>2084828.9499999988</v>
      </c>
    </row>
    <row r="339" spans="1:4">
      <c r="A339" t="s">
        <v>1028</v>
      </c>
      <c r="B339" t="s">
        <v>1381</v>
      </c>
      <c r="C339">
        <v>94</v>
      </c>
      <c r="D339">
        <v>685391.99999999965</v>
      </c>
    </row>
    <row r="340" spans="1:4">
      <c r="A340" t="s">
        <v>1028</v>
      </c>
      <c r="B340" t="s">
        <v>1382</v>
      </c>
      <c r="C340">
        <v>14</v>
      </c>
      <c r="D340">
        <v>108656.02999999998</v>
      </c>
    </row>
    <row r="341" spans="1:4">
      <c r="A341" t="s">
        <v>1028</v>
      </c>
      <c r="B341" t="s">
        <v>1383</v>
      </c>
      <c r="C341">
        <v>25</v>
      </c>
      <c r="D341">
        <v>134201.22</v>
      </c>
    </row>
    <row r="342" spans="1:4">
      <c r="A342" t="s">
        <v>1028</v>
      </c>
      <c r="B342" t="s">
        <v>1384</v>
      </c>
      <c r="C342">
        <v>18</v>
      </c>
      <c r="D342">
        <v>79043.700000000012</v>
      </c>
    </row>
    <row r="343" spans="1:4">
      <c r="A343" t="s">
        <v>1028</v>
      </c>
      <c r="B343" t="s">
        <v>1385</v>
      </c>
      <c r="C343">
        <v>5</v>
      </c>
      <c r="D343">
        <v>36976.93</v>
      </c>
    </row>
    <row r="344" spans="1:4">
      <c r="A344" t="s">
        <v>1028</v>
      </c>
      <c r="B344" t="s">
        <v>1386</v>
      </c>
      <c r="C344">
        <v>5</v>
      </c>
      <c r="D344">
        <v>21873.78</v>
      </c>
    </row>
    <row r="345" spans="1:4">
      <c r="A345" t="s">
        <v>1028</v>
      </c>
      <c r="B345" t="s">
        <v>1387</v>
      </c>
      <c r="C345">
        <v>9</v>
      </c>
      <c r="D345">
        <v>34081.760000000002</v>
      </c>
    </row>
    <row r="346" spans="1:4">
      <c r="A346" t="s">
        <v>1028</v>
      </c>
      <c r="B346" t="s">
        <v>1388</v>
      </c>
      <c r="C346">
        <v>3</v>
      </c>
      <c r="D346">
        <v>7338.3499999999995</v>
      </c>
    </row>
    <row r="347" spans="1:4">
      <c r="A347" t="s">
        <v>1028</v>
      </c>
      <c r="B347" t="s">
        <v>1389</v>
      </c>
      <c r="C347">
        <v>2</v>
      </c>
      <c r="D347">
        <v>1578.08</v>
      </c>
    </row>
    <row r="348" spans="1:4">
      <c r="A348" t="s">
        <v>1028</v>
      </c>
      <c r="B348" t="s">
        <v>1390</v>
      </c>
      <c r="C348">
        <v>41979</v>
      </c>
      <c r="D348">
        <v>37.185735967964419</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3"/>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637</v>
      </c>
      <c r="B1" t="s">
        <v>638</v>
      </c>
      <c r="C1" t="s">
        <v>639</v>
      </c>
      <c r="D1" t="s">
        <v>640</v>
      </c>
      <c r="E1" t="s">
        <v>641</v>
      </c>
    </row>
    <row r="2" spans="1:5">
      <c r="A2">
        <v>38</v>
      </c>
      <c r="B2" t="s">
        <v>1391</v>
      </c>
      <c r="D2" s="965">
        <v>45845</v>
      </c>
      <c r="E2" t="s">
        <v>1392</v>
      </c>
    </row>
    <row r="3" spans="1:5">
      <c r="A3">
        <v>38</v>
      </c>
      <c r="B3" t="s">
        <v>1393</v>
      </c>
      <c r="D3" s="965">
        <v>45848</v>
      </c>
      <c r="E3" t="s">
        <v>1392</v>
      </c>
    </row>
    <row r="4" spans="1:5">
      <c r="A4">
        <v>38</v>
      </c>
      <c r="B4" t="s">
        <v>1394</v>
      </c>
      <c r="D4" s="965">
        <v>45852</v>
      </c>
      <c r="E4" t="s">
        <v>1392</v>
      </c>
    </row>
    <row r="5" spans="1:5">
      <c r="A5">
        <v>38</v>
      </c>
      <c r="B5" t="s">
        <v>1395</v>
      </c>
      <c r="C5">
        <v>33</v>
      </c>
      <c r="E5" t="s">
        <v>1392</v>
      </c>
    </row>
    <row r="6" spans="1:5">
      <c r="A6">
        <v>38</v>
      </c>
      <c r="B6" t="s">
        <v>1396</v>
      </c>
      <c r="D6" s="965">
        <v>45852</v>
      </c>
      <c r="E6" t="s">
        <v>1392</v>
      </c>
    </row>
    <row r="7" spans="1:5">
      <c r="A7">
        <v>38</v>
      </c>
      <c r="B7" t="s">
        <v>1397</v>
      </c>
      <c r="D7" s="965">
        <v>45824</v>
      </c>
      <c r="E7" t="s">
        <v>1392</v>
      </c>
    </row>
    <row r="8" spans="1:5">
      <c r="A8">
        <v>38</v>
      </c>
      <c r="B8" t="s">
        <v>1398</v>
      </c>
      <c r="C8">
        <v>530411090.53000003</v>
      </c>
      <c r="E8" t="s">
        <v>1392</v>
      </c>
    </row>
    <row r="9" spans="1:5">
      <c r="A9">
        <v>38</v>
      </c>
      <c r="B9" t="s">
        <v>1399</v>
      </c>
      <c r="C9">
        <v>549072459.42000008</v>
      </c>
      <c r="E9" t="s">
        <v>1392</v>
      </c>
    </row>
    <row r="10" spans="1:5">
      <c r="A10">
        <v>38</v>
      </c>
      <c r="B10" t="s">
        <v>1400</v>
      </c>
      <c r="C10">
        <v>15918585.08</v>
      </c>
      <c r="E10" t="s">
        <v>1392</v>
      </c>
    </row>
    <row r="11" spans="1:5">
      <c r="A11">
        <v>38</v>
      </c>
      <c r="B11" t="s">
        <v>1401</v>
      </c>
      <c r="C11">
        <v>17008646.629999999</v>
      </c>
      <c r="E11" t="s">
        <v>1392</v>
      </c>
    </row>
    <row r="12" spans="1:5">
      <c r="A12">
        <v>38</v>
      </c>
      <c r="B12" t="s">
        <v>1402</v>
      </c>
      <c r="C12">
        <v>2408765.08</v>
      </c>
      <c r="E12" t="s">
        <v>1392</v>
      </c>
    </row>
    <row r="13" spans="1:5">
      <c r="A13">
        <v>38</v>
      </c>
      <c r="B13" t="s">
        <v>1403</v>
      </c>
      <c r="C13">
        <v>2497140.33</v>
      </c>
      <c r="E13" t="s">
        <v>1392</v>
      </c>
    </row>
    <row r="14" spans="1:5">
      <c r="A14">
        <v>38</v>
      </c>
      <c r="B14" t="s">
        <v>1404</v>
      </c>
      <c r="C14">
        <v>1573027.58</v>
      </c>
      <c r="E14" t="s">
        <v>1392</v>
      </c>
    </row>
    <row r="15" spans="1:5">
      <c r="A15">
        <v>38</v>
      </c>
      <c r="B15" t="s">
        <v>1405</v>
      </c>
      <c r="C15">
        <v>1652722.26</v>
      </c>
      <c r="E15" t="s">
        <v>1392</v>
      </c>
    </row>
    <row r="16" spans="1:5">
      <c r="A16">
        <v>38</v>
      </c>
      <c r="B16" t="s">
        <v>1406</v>
      </c>
      <c r="C16">
        <v>0</v>
      </c>
      <c r="E16" t="s">
        <v>1392</v>
      </c>
    </row>
    <row r="17" spans="1:5">
      <c r="A17">
        <v>38</v>
      </c>
      <c r="B17" t="s">
        <v>1407</v>
      </c>
      <c r="C17">
        <v>0</v>
      </c>
      <c r="E17" t="s">
        <v>1392</v>
      </c>
    </row>
    <row r="18" spans="1:5">
      <c r="A18">
        <v>38</v>
      </c>
      <c r="B18" t="s">
        <v>1408</v>
      </c>
      <c r="C18">
        <v>512919477.87</v>
      </c>
      <c r="E18" t="s">
        <v>1392</v>
      </c>
    </row>
    <row r="19" spans="1:5">
      <c r="A19">
        <v>38</v>
      </c>
      <c r="B19" t="s">
        <v>1409</v>
      </c>
      <c r="C19">
        <v>530411090.53000003</v>
      </c>
      <c r="E19" t="s">
        <v>1392</v>
      </c>
    </row>
    <row r="20" spans="1:5">
      <c r="A20">
        <v>38</v>
      </c>
      <c r="B20" t="s">
        <v>1410</v>
      </c>
      <c r="C20">
        <v>49.769999725744128</v>
      </c>
      <c r="E20" t="s">
        <v>1392</v>
      </c>
    </row>
    <row r="21" spans="1:5">
      <c r="A21">
        <v>38</v>
      </c>
      <c r="B21" t="s">
        <v>1411</v>
      </c>
      <c r="C21">
        <v>18.499999724328518</v>
      </c>
      <c r="E21" t="s">
        <v>1392</v>
      </c>
    </row>
    <row r="22" spans="1:5">
      <c r="A22">
        <v>38</v>
      </c>
      <c r="B22" t="s">
        <v>1412</v>
      </c>
      <c r="C22">
        <v>512919527.63999975</v>
      </c>
      <c r="E22" t="s">
        <v>1392</v>
      </c>
    </row>
    <row r="23" spans="1:5">
      <c r="A23">
        <v>38</v>
      </c>
      <c r="B23" t="s">
        <v>1413</v>
      </c>
      <c r="C23">
        <v>530411109.02999973</v>
      </c>
      <c r="E23" t="s">
        <v>1392</v>
      </c>
    </row>
    <row r="24" spans="1:5">
      <c r="A24">
        <v>38</v>
      </c>
      <c r="B24" t="s">
        <v>1414</v>
      </c>
      <c r="C24">
        <v>12657910.82</v>
      </c>
      <c r="E24" t="s">
        <v>1392</v>
      </c>
    </row>
    <row r="25" spans="1:5">
      <c r="A25">
        <v>38</v>
      </c>
      <c r="B25" t="s">
        <v>1415</v>
      </c>
      <c r="C25">
        <v>12657910.82</v>
      </c>
      <c r="E25" t="s">
        <v>1392</v>
      </c>
    </row>
    <row r="26" spans="1:5">
      <c r="A26">
        <v>38</v>
      </c>
      <c r="B26" t="s">
        <v>1416</v>
      </c>
      <c r="C26">
        <v>0</v>
      </c>
      <c r="E26" t="s">
        <v>1392</v>
      </c>
    </row>
    <row r="27" spans="1:5">
      <c r="A27">
        <v>38</v>
      </c>
      <c r="B27" t="s">
        <v>1417</v>
      </c>
      <c r="C27">
        <v>0</v>
      </c>
      <c r="E27" t="s">
        <v>1392</v>
      </c>
    </row>
    <row r="28" spans="1:5">
      <c r="A28">
        <v>38</v>
      </c>
      <c r="B28" t="s">
        <v>1418</v>
      </c>
      <c r="C28">
        <v>12636000</v>
      </c>
      <c r="E28" t="s">
        <v>1392</v>
      </c>
    </row>
    <row r="29" spans="1:5">
      <c r="A29">
        <v>38</v>
      </c>
      <c r="B29" t="s">
        <v>1419</v>
      </c>
      <c r="C29">
        <v>12636000</v>
      </c>
      <c r="E29" t="s">
        <v>1392</v>
      </c>
    </row>
    <row r="30" spans="1:5">
      <c r="A30">
        <v>38</v>
      </c>
      <c r="B30" t="s">
        <v>1420</v>
      </c>
      <c r="C30">
        <v>12636000</v>
      </c>
      <c r="E30" t="s">
        <v>1392</v>
      </c>
    </row>
    <row r="31" spans="1:5">
      <c r="A31">
        <v>38</v>
      </c>
      <c r="B31" t="s">
        <v>1421</v>
      </c>
      <c r="E31" t="s">
        <v>231</v>
      </c>
    </row>
    <row r="32" spans="1:5">
      <c r="A32">
        <v>38</v>
      </c>
      <c r="B32" t="s">
        <v>1422</v>
      </c>
      <c r="E32" t="s">
        <v>231</v>
      </c>
    </row>
    <row r="33" spans="1:5">
      <c r="A33">
        <v>38</v>
      </c>
      <c r="B33" t="s">
        <v>1423</v>
      </c>
      <c r="E33" t="s">
        <v>1392</v>
      </c>
    </row>
    <row r="34" spans="1:5">
      <c r="A34">
        <v>38</v>
      </c>
      <c r="B34" t="s">
        <v>1424</v>
      </c>
      <c r="E34" t="s">
        <v>1392</v>
      </c>
    </row>
    <row r="35" spans="1:5">
      <c r="A35">
        <v>38</v>
      </c>
      <c r="B35" t="s">
        <v>1425</v>
      </c>
      <c r="E35" t="s">
        <v>231</v>
      </c>
    </row>
    <row r="36" spans="1:5">
      <c r="A36">
        <v>38</v>
      </c>
      <c r="B36" t="s">
        <v>1426</v>
      </c>
      <c r="C36">
        <v>0</v>
      </c>
      <c r="E36" t="s">
        <v>231</v>
      </c>
    </row>
    <row r="37" spans="1:5">
      <c r="A37">
        <v>38</v>
      </c>
      <c r="B37" t="s">
        <v>1427</v>
      </c>
      <c r="C37">
        <v>0</v>
      </c>
      <c r="E37" t="s">
        <v>1392</v>
      </c>
    </row>
    <row r="38" spans="1:5">
      <c r="A38">
        <v>38</v>
      </c>
      <c r="B38" t="s">
        <v>1428</v>
      </c>
      <c r="E38" t="s">
        <v>43</v>
      </c>
    </row>
    <row r="39" spans="1:5">
      <c r="A39">
        <v>38</v>
      </c>
      <c r="B39" t="s">
        <v>1429</v>
      </c>
      <c r="E39" t="s">
        <v>231</v>
      </c>
    </row>
    <row r="40" spans="1:5">
      <c r="A40">
        <v>38</v>
      </c>
      <c r="B40" t="s">
        <v>1430</v>
      </c>
      <c r="E40" t="s">
        <v>231</v>
      </c>
    </row>
    <row r="41" spans="1:5">
      <c r="A41">
        <v>38</v>
      </c>
      <c r="B41" t="s">
        <v>1431</v>
      </c>
      <c r="E41" t="s">
        <v>1392</v>
      </c>
    </row>
    <row r="42" spans="1:5">
      <c r="A42">
        <v>38</v>
      </c>
      <c r="B42" t="s">
        <v>1432</v>
      </c>
      <c r="E42" t="s">
        <v>1392</v>
      </c>
    </row>
    <row r="43" spans="1:5">
      <c r="A43">
        <v>38</v>
      </c>
      <c r="B43" t="s">
        <v>1433</v>
      </c>
      <c r="E43" t="s">
        <v>231</v>
      </c>
    </row>
    <row r="44" spans="1:5">
      <c r="A44">
        <v>38</v>
      </c>
      <c r="B44" t="s">
        <v>1434</v>
      </c>
      <c r="C44">
        <v>0</v>
      </c>
      <c r="E44" t="s">
        <v>231</v>
      </c>
    </row>
    <row r="45" spans="1:5">
      <c r="A45">
        <v>38</v>
      </c>
      <c r="B45" t="s">
        <v>1435</v>
      </c>
      <c r="C45">
        <v>0</v>
      </c>
      <c r="E45" t="s">
        <v>1392</v>
      </c>
    </row>
    <row r="46" spans="1:5">
      <c r="A46">
        <v>38</v>
      </c>
      <c r="B46" t="s">
        <v>1436</v>
      </c>
      <c r="E46" t="s">
        <v>43</v>
      </c>
    </row>
    <row r="47" spans="1:5">
      <c r="A47">
        <v>38</v>
      </c>
      <c r="B47" t="s">
        <v>1437</v>
      </c>
      <c r="C47">
        <v>0</v>
      </c>
      <c r="E47" t="s">
        <v>1392</v>
      </c>
    </row>
    <row r="48" spans="1:5">
      <c r="A48">
        <v>38</v>
      </c>
      <c r="B48" t="s">
        <v>1438</v>
      </c>
      <c r="C48">
        <v>1573027.58</v>
      </c>
      <c r="E48" t="s">
        <v>1392</v>
      </c>
    </row>
    <row r="49" spans="1:5">
      <c r="A49">
        <v>38</v>
      </c>
      <c r="B49" t="s">
        <v>1439</v>
      </c>
      <c r="C49">
        <v>154016.49</v>
      </c>
      <c r="E49" t="s">
        <v>1392</v>
      </c>
    </row>
    <row r="50" spans="1:5">
      <c r="A50">
        <v>38</v>
      </c>
      <c r="B50" t="s">
        <v>1440</v>
      </c>
      <c r="C50">
        <v>31</v>
      </c>
      <c r="E50" t="s">
        <v>1392</v>
      </c>
    </row>
    <row r="51" spans="1:5">
      <c r="A51">
        <v>38</v>
      </c>
      <c r="B51" t="s">
        <v>1441</v>
      </c>
      <c r="C51">
        <v>63845578.540000014</v>
      </c>
      <c r="E51" t="s">
        <v>1392</v>
      </c>
    </row>
    <row r="52" spans="1:5">
      <c r="A52">
        <v>38</v>
      </c>
      <c r="B52" t="s">
        <v>1442</v>
      </c>
      <c r="C52">
        <v>2901060.1900000004</v>
      </c>
      <c r="E52" t="s">
        <v>1392</v>
      </c>
    </row>
    <row r="53" spans="1:5">
      <c r="A53">
        <v>38</v>
      </c>
      <c r="B53" t="s">
        <v>1443</v>
      </c>
      <c r="C53">
        <v>3495</v>
      </c>
      <c r="E53" t="s">
        <v>1392</v>
      </c>
    </row>
    <row r="54" spans="1:5">
      <c r="A54">
        <v>38</v>
      </c>
      <c r="B54" t="s">
        <v>1444</v>
      </c>
      <c r="C54">
        <v>4.2757596314242502E-2</v>
      </c>
      <c r="E54" t="s">
        <v>1392</v>
      </c>
    </row>
    <row r="55" spans="1:5">
      <c r="A55">
        <v>38</v>
      </c>
      <c r="B55" t="s">
        <v>1445</v>
      </c>
      <c r="C55">
        <v>4.3886645084453037E-2</v>
      </c>
      <c r="E55" t="s">
        <v>1392</v>
      </c>
    </row>
    <row r="56" spans="1:5">
      <c r="A56">
        <v>38</v>
      </c>
      <c r="B56" t="s">
        <v>1446</v>
      </c>
      <c r="C56">
        <v>4.4932845930851888E-2</v>
      </c>
      <c r="E56" t="s">
        <v>1392</v>
      </c>
    </row>
    <row r="57" spans="1:5">
      <c r="A57">
        <v>38</v>
      </c>
      <c r="B57" t="s">
        <v>1447</v>
      </c>
      <c r="C57">
        <v>0</v>
      </c>
      <c r="E57" t="s">
        <v>1392</v>
      </c>
    </row>
    <row r="58" spans="1:5">
      <c r="A58">
        <v>38</v>
      </c>
      <c r="B58" t="s">
        <v>1448</v>
      </c>
      <c r="C58">
        <v>0</v>
      </c>
      <c r="E58" t="s">
        <v>1392</v>
      </c>
    </row>
    <row r="59" spans="1:5">
      <c r="A59">
        <v>38</v>
      </c>
      <c r="B59" t="s">
        <v>1449</v>
      </c>
      <c r="C59">
        <v>0</v>
      </c>
      <c r="E59" t="s">
        <v>1392</v>
      </c>
    </row>
    <row r="60" spans="1:5">
      <c r="A60">
        <v>38</v>
      </c>
      <c r="B60" t="s">
        <v>1450</v>
      </c>
      <c r="C60">
        <v>0</v>
      </c>
      <c r="E60" t="s">
        <v>1392</v>
      </c>
    </row>
    <row r="61" spans="1:5">
      <c r="A61">
        <v>38</v>
      </c>
      <c r="B61" t="s">
        <v>1451</v>
      </c>
      <c r="C61">
        <v>0</v>
      </c>
      <c r="E61" t="s">
        <v>1392</v>
      </c>
    </row>
    <row r="62" spans="1:5">
      <c r="A62">
        <v>38</v>
      </c>
      <c r="B62" t="s">
        <v>1452</v>
      </c>
      <c r="C62">
        <v>0</v>
      </c>
      <c r="E62" t="s">
        <v>1392</v>
      </c>
    </row>
    <row r="63" spans="1:5">
      <c r="A63">
        <v>38</v>
      </c>
      <c r="B63" t="s">
        <v>1453</v>
      </c>
      <c r="C63">
        <v>0</v>
      </c>
      <c r="E63" t="s">
        <v>1392</v>
      </c>
    </row>
    <row r="64" spans="1:5">
      <c r="A64">
        <v>38</v>
      </c>
      <c r="B64" t="s">
        <v>1454</v>
      </c>
      <c r="C64">
        <v>0</v>
      </c>
      <c r="E64" t="s">
        <v>1392</v>
      </c>
    </row>
    <row r="65" spans="1:5">
      <c r="A65">
        <v>38</v>
      </c>
      <c r="B65" t="s">
        <v>1455</v>
      </c>
      <c r="C65">
        <v>0</v>
      </c>
      <c r="E65" t="s">
        <v>1392</v>
      </c>
    </row>
    <row r="66" spans="1:5">
      <c r="A66">
        <v>38</v>
      </c>
      <c r="B66" t="s">
        <v>1456</v>
      </c>
      <c r="C66">
        <v>0</v>
      </c>
      <c r="E66" t="s">
        <v>1392</v>
      </c>
    </row>
    <row r="67" spans="1:5">
      <c r="A67">
        <v>38</v>
      </c>
      <c r="B67" t="s">
        <v>1457</v>
      </c>
      <c r="C67">
        <v>0</v>
      </c>
      <c r="E67" t="s">
        <v>1392</v>
      </c>
    </row>
    <row r="68" spans="1:5">
      <c r="A68">
        <v>38</v>
      </c>
      <c r="B68" t="s">
        <v>1458</v>
      </c>
      <c r="C68">
        <v>0</v>
      </c>
      <c r="E68" t="s">
        <v>1392</v>
      </c>
    </row>
    <row r="69" spans="1:5">
      <c r="A69">
        <v>38</v>
      </c>
      <c r="B69" t="s">
        <v>1459</v>
      </c>
      <c r="C69">
        <v>0</v>
      </c>
      <c r="E69" t="s">
        <v>1392</v>
      </c>
    </row>
    <row r="70" spans="1:5">
      <c r="A70">
        <v>38</v>
      </c>
      <c r="B70" t="s">
        <v>1460</v>
      </c>
      <c r="C70">
        <v>0</v>
      </c>
      <c r="E70" t="s">
        <v>1392</v>
      </c>
    </row>
    <row r="71" spans="1:5">
      <c r="A71">
        <v>38</v>
      </c>
      <c r="B71" t="s">
        <v>1461</v>
      </c>
      <c r="C71">
        <v>0</v>
      </c>
      <c r="E71" t="s">
        <v>1392</v>
      </c>
    </row>
    <row r="72" spans="1:5">
      <c r="A72">
        <v>38</v>
      </c>
      <c r="B72" t="s">
        <v>1462</v>
      </c>
      <c r="C72">
        <v>0</v>
      </c>
      <c r="E72" t="s">
        <v>1392</v>
      </c>
    </row>
    <row r="73" spans="1:5">
      <c r="A73">
        <v>38</v>
      </c>
      <c r="B73" t="s">
        <v>1463</v>
      </c>
      <c r="C73">
        <v>0</v>
      </c>
      <c r="E73" t="s">
        <v>1392</v>
      </c>
    </row>
    <row r="74" spans="1:5">
      <c r="A74">
        <v>38</v>
      </c>
      <c r="B74" t="s">
        <v>1464</v>
      </c>
      <c r="C74">
        <v>0</v>
      </c>
      <c r="E74" t="s">
        <v>1392</v>
      </c>
    </row>
    <row r="75" spans="1:5">
      <c r="A75">
        <v>38</v>
      </c>
      <c r="B75" t="s">
        <v>1465</v>
      </c>
      <c r="C75">
        <v>0</v>
      </c>
      <c r="E75" t="s">
        <v>1392</v>
      </c>
    </row>
    <row r="76" spans="1:5">
      <c r="A76">
        <v>38</v>
      </c>
      <c r="B76" t="s">
        <v>1466</v>
      </c>
      <c r="C76">
        <v>0</v>
      </c>
      <c r="E76" t="s">
        <v>1392</v>
      </c>
    </row>
    <row r="77" spans="1:5">
      <c r="A77">
        <v>38</v>
      </c>
      <c r="B77" t="s">
        <v>1467</v>
      </c>
      <c r="C77">
        <v>0</v>
      </c>
      <c r="E77" t="s">
        <v>1392</v>
      </c>
    </row>
    <row r="78" spans="1:5">
      <c r="A78">
        <v>38</v>
      </c>
      <c r="B78" t="s">
        <v>1468</v>
      </c>
      <c r="C78">
        <v>0</v>
      </c>
      <c r="E78" t="s">
        <v>1392</v>
      </c>
    </row>
    <row r="79" spans="1:5">
      <c r="A79">
        <v>38</v>
      </c>
      <c r="B79" t="s">
        <v>1469</v>
      </c>
      <c r="C79">
        <v>0</v>
      </c>
      <c r="E79" t="s">
        <v>1392</v>
      </c>
    </row>
    <row r="80" spans="1:5">
      <c r="A80">
        <v>38</v>
      </c>
      <c r="B80" t="s">
        <v>1470</v>
      </c>
      <c r="C80">
        <v>0</v>
      </c>
      <c r="E80" t="s">
        <v>1392</v>
      </c>
    </row>
    <row r="81" spans="1:5">
      <c r="A81">
        <v>38</v>
      </c>
      <c r="B81" t="s">
        <v>1471</v>
      </c>
      <c r="C81">
        <v>18901457.969999995</v>
      </c>
      <c r="E81" t="s">
        <v>1392</v>
      </c>
    </row>
    <row r="82" spans="1:5">
      <c r="A82">
        <v>38</v>
      </c>
      <c r="B82" t="s">
        <v>1472</v>
      </c>
      <c r="C82">
        <v>1573027.58</v>
      </c>
      <c r="E82" t="s">
        <v>1392</v>
      </c>
    </row>
    <row r="83" spans="1:5">
      <c r="A83">
        <v>38</v>
      </c>
      <c r="B83" t="s">
        <v>1473</v>
      </c>
      <c r="C83">
        <v>813389.3900000006</v>
      </c>
      <c r="E83" t="s">
        <v>1392</v>
      </c>
    </row>
    <row r="84" spans="1:5">
      <c r="A84">
        <v>38</v>
      </c>
      <c r="B84" t="s">
        <v>1474</v>
      </c>
      <c r="C84">
        <v>19661096.159999996</v>
      </c>
      <c r="E84" t="s">
        <v>1392</v>
      </c>
    </row>
    <row r="85" spans="1:5">
      <c r="A85">
        <v>38</v>
      </c>
      <c r="B85" t="s">
        <v>1475</v>
      </c>
      <c r="C85">
        <v>4.4932845930851888E-2</v>
      </c>
      <c r="E85" t="s">
        <v>1392</v>
      </c>
    </row>
    <row r="86" spans="1:5">
      <c r="A86">
        <v>38</v>
      </c>
      <c r="B86" t="s">
        <v>1476</v>
      </c>
      <c r="C86">
        <v>65.539999727159739</v>
      </c>
      <c r="E86" t="s">
        <v>1392</v>
      </c>
    </row>
    <row r="87" spans="1:5">
      <c r="A87">
        <v>38</v>
      </c>
      <c r="B87" t="s">
        <v>1411</v>
      </c>
      <c r="C87">
        <v>18.499999724328518</v>
      </c>
      <c r="E87" t="s">
        <v>1392</v>
      </c>
    </row>
    <row r="88" spans="1:5">
      <c r="A88">
        <v>38</v>
      </c>
      <c r="B88" t="s">
        <v>1410</v>
      </c>
      <c r="C88">
        <v>49.769999725744128</v>
      </c>
      <c r="E88" t="s">
        <v>1392</v>
      </c>
    </row>
    <row r="89" spans="1:5">
      <c r="A89">
        <v>38</v>
      </c>
      <c r="B89" t="s">
        <v>1477</v>
      </c>
      <c r="C89">
        <v>1.7425438278005308E-2</v>
      </c>
      <c r="E89" t="s">
        <v>1392</v>
      </c>
    </row>
    <row r="90" spans="1:5">
      <c r="A90">
        <v>38</v>
      </c>
      <c r="B90" t="s">
        <v>1478</v>
      </c>
      <c r="C90">
        <v>1.8901457969999994E-2</v>
      </c>
      <c r="E90" t="s">
        <v>1392</v>
      </c>
    </row>
    <row r="91" spans="1:5">
      <c r="A91">
        <v>38</v>
      </c>
      <c r="B91" t="s">
        <v>1479</v>
      </c>
      <c r="C91">
        <v>1.9661096159999995E-2</v>
      </c>
      <c r="E91" t="s">
        <v>1392</v>
      </c>
    </row>
    <row r="92" spans="1:5">
      <c r="A92">
        <v>38</v>
      </c>
      <c r="B92" t="s">
        <v>1480</v>
      </c>
      <c r="C92">
        <v>543571397.83999991</v>
      </c>
      <c r="E92" t="s">
        <v>1392</v>
      </c>
    </row>
    <row r="93" spans="1:5">
      <c r="A93">
        <v>38</v>
      </c>
      <c r="B93" t="s">
        <v>1481</v>
      </c>
      <c r="C93">
        <v>362060873.99999988</v>
      </c>
      <c r="E93" t="s">
        <v>1392</v>
      </c>
    </row>
    <row r="94" spans="1:5">
      <c r="A94">
        <v>38</v>
      </c>
      <c r="B94" t="s">
        <v>1482</v>
      </c>
      <c r="C94">
        <v>30858286.800000001</v>
      </c>
      <c r="E94" t="s">
        <v>1392</v>
      </c>
    </row>
    <row r="95" spans="1:5">
      <c r="A95">
        <v>38</v>
      </c>
      <c r="B95" t="s">
        <v>1483</v>
      </c>
      <c r="C95">
        <v>38572858.5</v>
      </c>
      <c r="E95" t="s">
        <v>1392</v>
      </c>
    </row>
    <row r="96" spans="1:5">
      <c r="A96">
        <v>38</v>
      </c>
      <c r="B96" t="s">
        <v>1484</v>
      </c>
      <c r="C96">
        <v>28052988</v>
      </c>
      <c r="E96" t="s">
        <v>1392</v>
      </c>
    </row>
    <row r="97" spans="1:5">
      <c r="A97">
        <v>38</v>
      </c>
      <c r="B97" t="s">
        <v>1485</v>
      </c>
      <c r="C97">
        <v>35767559.699999988</v>
      </c>
      <c r="E97" t="s">
        <v>1392</v>
      </c>
    </row>
    <row r="98" spans="1:5">
      <c r="A98">
        <v>38</v>
      </c>
      <c r="B98" t="s">
        <v>1486</v>
      </c>
      <c r="C98">
        <v>20258830.840000004</v>
      </c>
      <c r="E98" t="s">
        <v>1392</v>
      </c>
    </row>
    <row r="99" spans="1:5">
      <c r="A99">
        <v>38</v>
      </c>
      <c r="B99" t="s">
        <v>1487</v>
      </c>
      <c r="C99">
        <v>28000000</v>
      </c>
      <c r="E99" t="s">
        <v>1392</v>
      </c>
    </row>
    <row r="100" spans="1:5">
      <c r="A100">
        <v>38</v>
      </c>
      <c r="B100" t="s">
        <v>228</v>
      </c>
      <c r="C100">
        <v>0</v>
      </c>
      <c r="E100" t="s">
        <v>1392</v>
      </c>
    </row>
    <row r="101" spans="1:5">
      <c r="A101">
        <v>38</v>
      </c>
      <c r="B101" t="s">
        <v>1488</v>
      </c>
      <c r="C101">
        <v>16731943.199999999</v>
      </c>
      <c r="E101" t="s">
        <v>1392</v>
      </c>
    </row>
    <row r="102" spans="1:5">
      <c r="A102">
        <v>38</v>
      </c>
      <c r="B102" t="s">
        <v>1489</v>
      </c>
      <c r="C102">
        <v>16731943.199999999</v>
      </c>
      <c r="E102" t="s">
        <v>1392</v>
      </c>
    </row>
    <row r="103" spans="1:5">
      <c r="A103">
        <v>38</v>
      </c>
      <c r="B103" t="s">
        <v>1490</v>
      </c>
      <c r="C103">
        <v>16731943.199999999</v>
      </c>
      <c r="E103" t="s">
        <v>1392</v>
      </c>
    </row>
    <row r="104" spans="1:5">
      <c r="A104">
        <v>38</v>
      </c>
      <c r="B104" t="s">
        <v>1491</v>
      </c>
      <c r="C104">
        <v>0</v>
      </c>
      <c r="E104" t="s">
        <v>1392</v>
      </c>
    </row>
    <row r="105" spans="1:5">
      <c r="A105">
        <v>38</v>
      </c>
      <c r="B105" t="s">
        <v>1492</v>
      </c>
      <c r="C105">
        <v>0</v>
      </c>
      <c r="E105" t="s">
        <v>1392</v>
      </c>
    </row>
    <row r="106" spans="1:5">
      <c r="A106">
        <v>38</v>
      </c>
      <c r="B106" t="s">
        <v>1493</v>
      </c>
      <c r="C106">
        <v>0</v>
      </c>
      <c r="E106" t="s">
        <v>1392</v>
      </c>
    </row>
    <row r="107" spans="1:5">
      <c r="A107">
        <v>38</v>
      </c>
      <c r="B107" t="s">
        <v>1494</v>
      </c>
      <c r="C107">
        <v>0</v>
      </c>
      <c r="E107" t="s">
        <v>1392</v>
      </c>
    </row>
    <row r="108" spans="1:5">
      <c r="A108">
        <v>38</v>
      </c>
      <c r="B108" t="s">
        <v>1495</v>
      </c>
      <c r="C108">
        <v>0</v>
      </c>
      <c r="E108" t="s">
        <v>1392</v>
      </c>
    </row>
    <row r="109" spans="1:5">
      <c r="A109">
        <v>38</v>
      </c>
      <c r="B109" t="s">
        <v>1496</v>
      </c>
      <c r="C109">
        <v>0</v>
      </c>
      <c r="E109" t="s">
        <v>1392</v>
      </c>
    </row>
    <row r="110" spans="1:5">
      <c r="A110">
        <v>38</v>
      </c>
      <c r="B110" t="s">
        <v>1497</v>
      </c>
      <c r="C110">
        <v>28</v>
      </c>
      <c r="E110" t="s">
        <v>1392</v>
      </c>
    </row>
    <row r="111" spans="1:5">
      <c r="A111">
        <v>38</v>
      </c>
      <c r="B111" t="s">
        <v>1498</v>
      </c>
      <c r="C111">
        <v>729918</v>
      </c>
      <c r="E111" t="s">
        <v>1392</v>
      </c>
    </row>
    <row r="112" spans="1:5">
      <c r="A112">
        <v>38</v>
      </c>
      <c r="B112" t="s">
        <v>1499</v>
      </c>
      <c r="C112">
        <v>111412.40000000001</v>
      </c>
      <c r="E112" t="s">
        <v>1392</v>
      </c>
    </row>
    <row r="113" spans="1:5">
      <c r="A113">
        <v>38</v>
      </c>
      <c r="B113" t="s">
        <v>1500</v>
      </c>
      <c r="C113">
        <v>169268</v>
      </c>
      <c r="E113" t="s">
        <v>1392</v>
      </c>
    </row>
    <row r="114" spans="1:5">
      <c r="A114">
        <v>38</v>
      </c>
      <c r="B114" t="s">
        <v>1501</v>
      </c>
      <c r="C114">
        <v>161284</v>
      </c>
      <c r="E114" t="s">
        <v>1392</v>
      </c>
    </row>
    <row r="115" spans="1:5">
      <c r="A115">
        <v>38</v>
      </c>
      <c r="B115" t="s">
        <v>1502</v>
      </c>
      <c r="C115">
        <v>289098.60000000003</v>
      </c>
      <c r="E115" t="s">
        <v>1392</v>
      </c>
    </row>
    <row r="116" spans="1:5">
      <c r="A116">
        <v>38</v>
      </c>
      <c r="B116" t="s">
        <v>1503</v>
      </c>
      <c r="C116">
        <v>218894</v>
      </c>
      <c r="E116" t="s">
        <v>1392</v>
      </c>
    </row>
    <row r="117" spans="1:5">
      <c r="A117">
        <v>38</v>
      </c>
      <c r="B117" t="s">
        <v>1504</v>
      </c>
      <c r="C117">
        <v>0</v>
      </c>
      <c r="E117" t="s">
        <v>1392</v>
      </c>
    </row>
    <row r="118" spans="1:5">
      <c r="A118">
        <v>38</v>
      </c>
      <c r="B118" t="s">
        <v>1505</v>
      </c>
      <c r="C118">
        <v>1.8919999999999999E-2</v>
      </c>
      <c r="E118" t="s">
        <v>1392</v>
      </c>
    </row>
    <row r="119" spans="1:5">
      <c r="A119">
        <v>38</v>
      </c>
      <c r="B119" t="s">
        <v>1506</v>
      </c>
      <c r="C119">
        <v>2408765.08</v>
      </c>
      <c r="E119" t="s">
        <v>1392</v>
      </c>
    </row>
    <row r="120" spans="1:5">
      <c r="A120">
        <v>38</v>
      </c>
      <c r="B120" t="s">
        <v>1507</v>
      </c>
      <c r="C120">
        <v>0</v>
      </c>
      <c r="E120" t="s">
        <v>1392</v>
      </c>
    </row>
    <row r="121" spans="1:5">
      <c r="A121">
        <v>38</v>
      </c>
      <c r="B121" t="s">
        <v>1508</v>
      </c>
      <c r="C121">
        <v>154016.49</v>
      </c>
      <c r="E121" t="s">
        <v>1392</v>
      </c>
    </row>
    <row r="122" spans="1:5">
      <c r="A122">
        <v>38</v>
      </c>
      <c r="B122" t="s">
        <v>1509</v>
      </c>
      <c r="C122">
        <v>0</v>
      </c>
      <c r="E122" t="s">
        <v>1392</v>
      </c>
    </row>
    <row r="123" spans="1:5">
      <c r="A123">
        <v>38</v>
      </c>
      <c r="B123" t="s">
        <v>1510</v>
      </c>
      <c r="C123">
        <v>0</v>
      </c>
      <c r="E123" t="s">
        <v>1392</v>
      </c>
    </row>
    <row r="124" spans="1:5">
      <c r="A124">
        <v>38</v>
      </c>
      <c r="B124" t="s">
        <v>1511</v>
      </c>
      <c r="C124">
        <v>12657910.82</v>
      </c>
      <c r="E124" t="s">
        <v>1392</v>
      </c>
    </row>
    <row r="125" spans="1:5">
      <c r="A125">
        <v>38</v>
      </c>
      <c r="B125" t="s">
        <v>1512</v>
      </c>
      <c r="C125">
        <v>0</v>
      </c>
      <c r="E125" t="s">
        <v>1392</v>
      </c>
    </row>
    <row r="126" spans="1:5">
      <c r="A126">
        <v>38</v>
      </c>
      <c r="B126" t="s">
        <v>1513</v>
      </c>
      <c r="C126">
        <v>0</v>
      </c>
      <c r="E126" t="s">
        <v>1392</v>
      </c>
    </row>
    <row r="127" spans="1:5">
      <c r="A127">
        <v>38</v>
      </c>
      <c r="B127" t="s">
        <v>1514</v>
      </c>
      <c r="C127">
        <v>0</v>
      </c>
      <c r="E127" t="s">
        <v>1392</v>
      </c>
    </row>
    <row r="128" spans="1:5">
      <c r="A128">
        <v>38</v>
      </c>
      <c r="B128" t="s">
        <v>1515</v>
      </c>
      <c r="C128">
        <v>15220692.390000001</v>
      </c>
      <c r="E128" t="s">
        <v>1392</v>
      </c>
    </row>
    <row r="129" spans="1:5">
      <c r="A129">
        <v>38</v>
      </c>
      <c r="B129" t="s">
        <v>1515</v>
      </c>
      <c r="C129">
        <v>15220692.390000001</v>
      </c>
      <c r="E129" t="s">
        <v>1392</v>
      </c>
    </row>
    <row r="130" spans="1:5">
      <c r="A130">
        <v>38</v>
      </c>
      <c r="B130" t="s">
        <v>1516</v>
      </c>
      <c r="C130">
        <v>0</v>
      </c>
      <c r="E130" t="s">
        <v>1392</v>
      </c>
    </row>
    <row r="131" spans="1:5">
      <c r="A131">
        <v>38</v>
      </c>
      <c r="B131" t="s">
        <v>1517</v>
      </c>
      <c r="C131">
        <v>91428</v>
      </c>
      <c r="E131" t="s">
        <v>1392</v>
      </c>
    </row>
    <row r="132" spans="1:5">
      <c r="A132">
        <v>38</v>
      </c>
      <c r="B132" t="s">
        <v>1518</v>
      </c>
      <c r="C132">
        <v>729918</v>
      </c>
      <c r="E132" t="s">
        <v>1392</v>
      </c>
    </row>
    <row r="133" spans="1:5">
      <c r="A133">
        <v>38</v>
      </c>
      <c r="B133" t="s">
        <v>1519</v>
      </c>
      <c r="C133">
        <v>111412.40000000001</v>
      </c>
      <c r="E133" t="s">
        <v>1392</v>
      </c>
    </row>
    <row r="134" spans="1:5">
      <c r="A134">
        <v>38</v>
      </c>
      <c r="B134" t="s">
        <v>1520</v>
      </c>
      <c r="C134">
        <v>169268</v>
      </c>
      <c r="E134" t="s">
        <v>1392</v>
      </c>
    </row>
    <row r="135" spans="1:5">
      <c r="A135">
        <v>38</v>
      </c>
      <c r="B135" t="s">
        <v>1521</v>
      </c>
      <c r="C135">
        <v>161284</v>
      </c>
      <c r="E135" t="s">
        <v>1392</v>
      </c>
    </row>
    <row r="136" spans="1:5">
      <c r="A136">
        <v>38</v>
      </c>
      <c r="B136" t="s">
        <v>1522</v>
      </c>
      <c r="C136">
        <v>289098.60000000003</v>
      </c>
      <c r="E136" t="s">
        <v>1392</v>
      </c>
    </row>
    <row r="137" spans="1:5">
      <c r="A137">
        <v>38</v>
      </c>
      <c r="B137" t="s">
        <v>1523</v>
      </c>
      <c r="C137">
        <v>218894</v>
      </c>
      <c r="E137" t="s">
        <v>1392</v>
      </c>
    </row>
    <row r="138" spans="1:5">
      <c r="A138">
        <v>38</v>
      </c>
      <c r="B138" t="s">
        <v>1524</v>
      </c>
      <c r="C138">
        <v>12636000</v>
      </c>
      <c r="E138" t="s">
        <v>1392</v>
      </c>
    </row>
    <row r="139" spans="1:5">
      <c r="A139">
        <v>38</v>
      </c>
      <c r="B139" t="s">
        <v>1525</v>
      </c>
      <c r="C139">
        <v>813389.3900000006</v>
      </c>
      <c r="E139" t="s">
        <v>1392</v>
      </c>
    </row>
    <row r="140" spans="1:5">
      <c r="A140">
        <v>38</v>
      </c>
      <c r="B140" t="s">
        <v>1526</v>
      </c>
      <c r="C140">
        <v>0</v>
      </c>
      <c r="E140" t="s">
        <v>1392</v>
      </c>
    </row>
    <row r="141" spans="1:5">
      <c r="A141">
        <v>38</v>
      </c>
      <c r="B141" t="s">
        <v>1527</v>
      </c>
      <c r="C141">
        <v>0</v>
      </c>
      <c r="E141" t="s">
        <v>1392</v>
      </c>
    </row>
    <row r="142" spans="1:5">
      <c r="A142">
        <v>38</v>
      </c>
      <c r="B142" t="s">
        <v>1528</v>
      </c>
      <c r="C142">
        <v>0</v>
      </c>
      <c r="E142" t="s">
        <v>1392</v>
      </c>
    </row>
    <row r="143" spans="1:5">
      <c r="A143">
        <v>38</v>
      </c>
      <c r="B143" t="s">
        <v>1529</v>
      </c>
      <c r="C143">
        <v>0</v>
      </c>
      <c r="E143" t="s">
        <v>1392</v>
      </c>
    </row>
    <row r="144" spans="1:5">
      <c r="A144">
        <v>38</v>
      </c>
      <c r="B144" t="s">
        <v>1530</v>
      </c>
      <c r="C144">
        <v>0</v>
      </c>
      <c r="E144" t="s">
        <v>1392</v>
      </c>
    </row>
    <row r="145" spans="1:5">
      <c r="A145">
        <v>38</v>
      </c>
      <c r="B145" t="s">
        <v>1531</v>
      </c>
      <c r="C145">
        <v>0</v>
      </c>
      <c r="E145" t="s">
        <v>1392</v>
      </c>
    </row>
    <row r="146" spans="1:5">
      <c r="A146">
        <v>38</v>
      </c>
      <c r="B146" t="s">
        <v>1532</v>
      </c>
      <c r="C146">
        <v>0</v>
      </c>
      <c r="E146" t="s">
        <v>1392</v>
      </c>
    </row>
    <row r="147" spans="1:5">
      <c r="A147">
        <v>38</v>
      </c>
      <c r="B147" t="s">
        <v>1533</v>
      </c>
      <c r="C147">
        <v>0</v>
      </c>
      <c r="E147" t="s">
        <v>1392</v>
      </c>
    </row>
    <row r="148" spans="1:5">
      <c r="A148">
        <v>38</v>
      </c>
      <c r="B148" t="s">
        <v>1534</v>
      </c>
      <c r="C148">
        <v>0</v>
      </c>
      <c r="E148" t="s">
        <v>1392</v>
      </c>
    </row>
    <row r="149" spans="1:5">
      <c r="A149">
        <v>38</v>
      </c>
      <c r="B149" t="s">
        <v>1535</v>
      </c>
      <c r="C149">
        <v>0</v>
      </c>
      <c r="E149" t="s">
        <v>1392</v>
      </c>
    </row>
    <row r="150" spans="1:5">
      <c r="A150">
        <v>38</v>
      </c>
      <c r="B150" t="s">
        <v>1536</v>
      </c>
      <c r="C150">
        <v>0</v>
      </c>
      <c r="E150" t="s">
        <v>1392</v>
      </c>
    </row>
    <row r="151" spans="1:5">
      <c r="A151">
        <v>38</v>
      </c>
      <c r="B151" t="s">
        <v>1537</v>
      </c>
      <c r="C151">
        <v>0</v>
      </c>
      <c r="E151" t="s">
        <v>1392</v>
      </c>
    </row>
    <row r="152" spans="1:5">
      <c r="A152">
        <v>38</v>
      </c>
      <c r="B152" t="s">
        <v>1538</v>
      </c>
      <c r="C152">
        <v>0</v>
      </c>
      <c r="E152" t="s">
        <v>1392</v>
      </c>
    </row>
    <row r="153" spans="1:5">
      <c r="A153">
        <v>38</v>
      </c>
      <c r="B153" t="s">
        <v>1539</v>
      </c>
      <c r="C153">
        <v>15918585.08</v>
      </c>
      <c r="E153" t="s">
        <v>1392</v>
      </c>
    </row>
    <row r="154" spans="1:5">
      <c r="A154">
        <v>38</v>
      </c>
      <c r="B154" t="s">
        <v>1540</v>
      </c>
      <c r="C154">
        <v>0</v>
      </c>
      <c r="E154" t="s">
        <v>1392</v>
      </c>
    </row>
    <row r="155" spans="1:5">
      <c r="A155">
        <v>38</v>
      </c>
      <c r="B155" t="s">
        <v>1541</v>
      </c>
      <c r="C155">
        <v>0</v>
      </c>
      <c r="E155" t="s">
        <v>1392</v>
      </c>
    </row>
    <row r="156" spans="1:5">
      <c r="A156">
        <v>38</v>
      </c>
      <c r="B156" t="s">
        <v>1542</v>
      </c>
      <c r="C156">
        <v>0</v>
      </c>
      <c r="E156" t="s">
        <v>1392</v>
      </c>
    </row>
    <row r="157" spans="1:5">
      <c r="A157">
        <v>38</v>
      </c>
      <c r="B157" t="s">
        <v>1543</v>
      </c>
      <c r="C157">
        <v>0</v>
      </c>
      <c r="E157" t="s">
        <v>1392</v>
      </c>
    </row>
    <row r="158" spans="1:5">
      <c r="A158">
        <v>38</v>
      </c>
      <c r="B158" t="s">
        <v>1544</v>
      </c>
      <c r="C158">
        <v>18.499999724328518</v>
      </c>
      <c r="E158" t="s">
        <v>1392</v>
      </c>
    </row>
    <row r="159" spans="1:5">
      <c r="A159">
        <v>38</v>
      </c>
      <c r="B159" t="s">
        <v>1545</v>
      </c>
      <c r="C159">
        <v>0</v>
      </c>
      <c r="E159" t="s">
        <v>1392</v>
      </c>
    </row>
    <row r="160" spans="1:5">
      <c r="A160">
        <v>38</v>
      </c>
      <c r="B160" t="s">
        <v>1546</v>
      </c>
      <c r="C160">
        <v>813389.3900000006</v>
      </c>
      <c r="E160" t="s">
        <v>1392</v>
      </c>
    </row>
    <row r="161" spans="1:5">
      <c r="A161">
        <v>38</v>
      </c>
      <c r="B161" t="s">
        <v>1547</v>
      </c>
      <c r="C161">
        <v>0</v>
      </c>
      <c r="E161" t="s">
        <v>1392</v>
      </c>
    </row>
    <row r="162" spans="1:5">
      <c r="A162">
        <v>38</v>
      </c>
      <c r="B162" t="s">
        <v>1548</v>
      </c>
      <c r="C162">
        <v>16731992.969999725</v>
      </c>
      <c r="E162" t="s">
        <v>1392</v>
      </c>
    </row>
    <row r="163" spans="1:5">
      <c r="A163">
        <v>38</v>
      </c>
      <c r="B163" t="s">
        <v>1548</v>
      </c>
      <c r="C163">
        <v>16731992.969999725</v>
      </c>
      <c r="E163" t="s">
        <v>1392</v>
      </c>
    </row>
    <row r="164" spans="1:5">
      <c r="A164">
        <v>38</v>
      </c>
      <c r="B164" t="s">
        <v>1549</v>
      </c>
      <c r="C164">
        <v>0</v>
      </c>
      <c r="E164" t="s">
        <v>1392</v>
      </c>
    </row>
    <row r="165" spans="1:5">
      <c r="A165">
        <v>38</v>
      </c>
      <c r="B165" t="s">
        <v>1550</v>
      </c>
      <c r="C165">
        <v>16731992.969999725</v>
      </c>
      <c r="E165" t="s">
        <v>1392</v>
      </c>
    </row>
    <row r="166" spans="1:5">
      <c r="A166">
        <v>38</v>
      </c>
      <c r="B166" t="s">
        <v>228</v>
      </c>
      <c r="C166">
        <v>0</v>
      </c>
      <c r="E166" t="s">
        <v>1392</v>
      </c>
    </row>
    <row r="167" spans="1:5">
      <c r="A167">
        <v>38</v>
      </c>
      <c r="B167" t="s">
        <v>1551</v>
      </c>
      <c r="C167">
        <v>0</v>
      </c>
      <c r="E167" t="s">
        <v>1392</v>
      </c>
    </row>
    <row r="168" spans="1:5">
      <c r="A168">
        <v>38</v>
      </c>
      <c r="B168" t="s">
        <v>1552</v>
      </c>
      <c r="C168">
        <v>0</v>
      </c>
      <c r="E168" t="s">
        <v>1392</v>
      </c>
    </row>
    <row r="169" spans="1:5">
      <c r="A169">
        <v>38</v>
      </c>
      <c r="B169" t="s">
        <v>1553</v>
      </c>
      <c r="C169">
        <v>0</v>
      </c>
      <c r="E169" t="s">
        <v>1392</v>
      </c>
    </row>
    <row r="170" spans="1:5">
      <c r="A170">
        <v>38</v>
      </c>
      <c r="B170" t="s">
        <v>1554</v>
      </c>
      <c r="C170">
        <v>0</v>
      </c>
      <c r="E170" t="s">
        <v>1392</v>
      </c>
    </row>
    <row r="171" spans="1:5">
      <c r="A171">
        <v>38</v>
      </c>
      <c r="B171" t="s">
        <v>1555</v>
      </c>
      <c r="C171">
        <v>0</v>
      </c>
      <c r="E171" t="s">
        <v>1392</v>
      </c>
    </row>
    <row r="172" spans="1:5">
      <c r="A172">
        <v>38</v>
      </c>
      <c r="B172" t="s">
        <v>1556</v>
      </c>
      <c r="C172">
        <v>0</v>
      </c>
      <c r="E172" t="s">
        <v>1392</v>
      </c>
    </row>
    <row r="173" spans="1:5">
      <c r="A173">
        <v>38</v>
      </c>
      <c r="B173" t="s">
        <v>1557</v>
      </c>
      <c r="C173">
        <v>16731943.199999999</v>
      </c>
      <c r="E173" t="s">
        <v>1392</v>
      </c>
    </row>
    <row r="174" spans="1:5">
      <c r="A174">
        <v>38</v>
      </c>
      <c r="B174" t="s">
        <v>1558</v>
      </c>
      <c r="C174">
        <v>0</v>
      </c>
      <c r="E174" t="s">
        <v>1392</v>
      </c>
    </row>
    <row r="175" spans="1:5">
      <c r="A175">
        <v>38</v>
      </c>
      <c r="B175" t="s">
        <v>1559</v>
      </c>
      <c r="C175">
        <v>0</v>
      </c>
      <c r="E175" t="s">
        <v>1392</v>
      </c>
    </row>
    <row r="176" spans="1:5">
      <c r="A176">
        <v>38</v>
      </c>
      <c r="B176" t="s">
        <v>1560</v>
      </c>
      <c r="C176">
        <v>0</v>
      </c>
      <c r="E176" t="s">
        <v>1392</v>
      </c>
    </row>
    <row r="177" spans="1:5">
      <c r="A177">
        <v>38</v>
      </c>
      <c r="B177" t="s">
        <v>1561</v>
      </c>
      <c r="C177">
        <v>0</v>
      </c>
      <c r="E177" t="s">
        <v>1392</v>
      </c>
    </row>
    <row r="178" spans="1:5">
      <c r="A178">
        <v>38</v>
      </c>
      <c r="B178" t="s">
        <v>1562</v>
      </c>
      <c r="C178">
        <v>0</v>
      </c>
      <c r="E178" t="s">
        <v>1392</v>
      </c>
    </row>
    <row r="179" spans="1:5">
      <c r="A179">
        <v>38</v>
      </c>
      <c r="B179" t="s">
        <v>1563</v>
      </c>
      <c r="C179">
        <v>0</v>
      </c>
      <c r="E179" t="s">
        <v>1392</v>
      </c>
    </row>
    <row r="180" spans="1:5">
      <c r="A180">
        <v>38</v>
      </c>
      <c r="B180" t="s">
        <v>1564</v>
      </c>
      <c r="C180">
        <v>0</v>
      </c>
      <c r="E180" t="s">
        <v>1392</v>
      </c>
    </row>
    <row r="181" spans="1:5">
      <c r="A181">
        <v>38</v>
      </c>
      <c r="B181" t="s">
        <v>1565</v>
      </c>
      <c r="C181">
        <v>0</v>
      </c>
      <c r="E181" t="s">
        <v>1392</v>
      </c>
    </row>
    <row r="182" spans="1:5">
      <c r="A182">
        <v>38</v>
      </c>
      <c r="B182" t="s">
        <v>1566</v>
      </c>
      <c r="C182">
        <v>0</v>
      </c>
      <c r="E182" t="s">
        <v>1392</v>
      </c>
    </row>
    <row r="183" spans="1:5">
      <c r="A183">
        <v>38</v>
      </c>
      <c r="B183" t="s">
        <v>1516</v>
      </c>
      <c r="C183">
        <v>0</v>
      </c>
      <c r="E183" t="s">
        <v>1392</v>
      </c>
    </row>
    <row r="184" spans="1:5">
      <c r="A184">
        <v>38</v>
      </c>
      <c r="B184" t="s">
        <v>1567</v>
      </c>
      <c r="C184">
        <v>14430797.84</v>
      </c>
      <c r="E184" t="s">
        <v>1392</v>
      </c>
    </row>
    <row r="185" spans="1:5">
      <c r="A185">
        <v>38</v>
      </c>
      <c r="B185" t="s">
        <v>1568</v>
      </c>
      <c r="C185">
        <v>729918</v>
      </c>
      <c r="E185" t="s">
        <v>1392</v>
      </c>
    </row>
    <row r="186" spans="1:5">
      <c r="A186">
        <v>38</v>
      </c>
      <c r="B186" t="s">
        <v>1569</v>
      </c>
      <c r="C186">
        <v>111412.40000000001</v>
      </c>
      <c r="E186" t="s">
        <v>1392</v>
      </c>
    </row>
    <row r="187" spans="1:5">
      <c r="A187">
        <v>38</v>
      </c>
      <c r="B187" t="s">
        <v>1570</v>
      </c>
      <c r="C187">
        <v>169268</v>
      </c>
      <c r="E187" t="s">
        <v>1392</v>
      </c>
    </row>
    <row r="188" spans="1:5">
      <c r="A188">
        <v>38</v>
      </c>
      <c r="B188" t="s">
        <v>1571</v>
      </c>
      <c r="C188">
        <v>161284</v>
      </c>
      <c r="E188" t="s">
        <v>1392</v>
      </c>
    </row>
    <row r="189" spans="1:5">
      <c r="A189">
        <v>38</v>
      </c>
      <c r="B189" t="s">
        <v>1572</v>
      </c>
      <c r="C189">
        <v>289098.60000000003</v>
      </c>
      <c r="E189" t="s">
        <v>1392</v>
      </c>
    </row>
    <row r="190" spans="1:5">
      <c r="A190">
        <v>38</v>
      </c>
      <c r="B190" t="s">
        <v>1573</v>
      </c>
      <c r="C190">
        <v>218894</v>
      </c>
      <c r="E190" t="s">
        <v>1392</v>
      </c>
    </row>
    <row r="191" spans="1:5">
      <c r="A191">
        <v>38</v>
      </c>
      <c r="B191" t="s">
        <v>1574</v>
      </c>
      <c r="C191">
        <v>12440349.6</v>
      </c>
      <c r="E191" t="s">
        <v>1392</v>
      </c>
    </row>
    <row r="192" spans="1:5">
      <c r="A192">
        <v>38</v>
      </c>
      <c r="B192" t="s">
        <v>1575</v>
      </c>
      <c r="C192">
        <v>310573.24000000005</v>
      </c>
      <c r="E192" t="s">
        <v>1392</v>
      </c>
    </row>
    <row r="193" spans="1:5">
      <c r="A193">
        <v>38</v>
      </c>
      <c r="B193" t="s">
        <v>1576</v>
      </c>
      <c r="C193">
        <v>322670639.94</v>
      </c>
      <c r="E193" t="s">
        <v>1392</v>
      </c>
    </row>
    <row r="194" spans="1:5">
      <c r="A194">
        <v>38</v>
      </c>
      <c r="B194" t="s">
        <v>1577</v>
      </c>
      <c r="C194">
        <v>64915830</v>
      </c>
      <c r="E194" t="s">
        <v>1392</v>
      </c>
    </row>
    <row r="195" spans="1:5">
      <c r="A195">
        <v>38</v>
      </c>
      <c r="B195" t="s">
        <v>1578</v>
      </c>
      <c r="C195">
        <v>6048182.8000000007</v>
      </c>
      <c r="E195" t="s">
        <v>1392</v>
      </c>
    </row>
    <row r="196" spans="1:5">
      <c r="A196">
        <v>38</v>
      </c>
      <c r="B196" t="s">
        <v>1579</v>
      </c>
      <c r="C196">
        <v>8864482</v>
      </c>
      <c r="E196" t="s">
        <v>1392</v>
      </c>
    </row>
    <row r="197" spans="1:5">
      <c r="A197">
        <v>38</v>
      </c>
      <c r="B197" t="s">
        <v>1580</v>
      </c>
      <c r="C197">
        <v>8106844</v>
      </c>
      <c r="E197" t="s">
        <v>1392</v>
      </c>
    </row>
    <row r="198" spans="1:5">
      <c r="A198">
        <v>38</v>
      </c>
      <c r="B198" t="s">
        <v>1581</v>
      </c>
      <c r="C198">
        <v>13964391.6</v>
      </c>
      <c r="E198" t="s">
        <v>1392</v>
      </c>
    </row>
    <row r="199" spans="1:5">
      <c r="A199">
        <v>38</v>
      </c>
      <c r="B199" t="s">
        <v>1582</v>
      </c>
      <c r="C199">
        <v>8498323.5999999978</v>
      </c>
      <c r="E199" t="s">
        <v>1392</v>
      </c>
    </row>
    <row r="200" spans="1:5">
      <c r="A200">
        <v>38</v>
      </c>
      <c r="B200" t="s">
        <v>1583</v>
      </c>
      <c r="C200">
        <v>209188711.19999999</v>
      </c>
      <c r="E200" t="s">
        <v>1392</v>
      </c>
    </row>
    <row r="201" spans="1:5">
      <c r="A201">
        <v>38</v>
      </c>
      <c r="B201" t="s">
        <v>1584</v>
      </c>
      <c r="C201">
        <v>3083874.7400000007</v>
      </c>
      <c r="E201" t="s">
        <v>1392</v>
      </c>
    </row>
    <row r="202" spans="1:5">
      <c r="A202">
        <v>38</v>
      </c>
      <c r="B202" t="s">
        <v>1585</v>
      </c>
      <c r="C202">
        <v>1679875</v>
      </c>
      <c r="E202" t="s">
        <v>1392</v>
      </c>
    </row>
    <row r="203" spans="1:5">
      <c r="A203">
        <v>38</v>
      </c>
      <c r="B203" t="s">
        <v>1586</v>
      </c>
      <c r="C203">
        <v>729918</v>
      </c>
      <c r="E203" t="s">
        <v>1392</v>
      </c>
    </row>
    <row r="204" spans="1:5">
      <c r="A204">
        <v>38</v>
      </c>
      <c r="B204" t="s">
        <v>1587</v>
      </c>
      <c r="C204">
        <v>111412.40000000001</v>
      </c>
      <c r="E204" t="s">
        <v>1392</v>
      </c>
    </row>
    <row r="205" spans="1:5">
      <c r="A205">
        <v>38</v>
      </c>
      <c r="B205" t="s">
        <v>1588</v>
      </c>
      <c r="C205">
        <v>169268</v>
      </c>
      <c r="E205" t="s">
        <v>1392</v>
      </c>
    </row>
    <row r="206" spans="1:5">
      <c r="A206">
        <v>38</v>
      </c>
      <c r="B206" t="s">
        <v>1589</v>
      </c>
      <c r="C206">
        <v>161284</v>
      </c>
      <c r="E206" t="s">
        <v>1392</v>
      </c>
    </row>
    <row r="207" spans="1:5">
      <c r="A207">
        <v>38</v>
      </c>
      <c r="B207" t="s">
        <v>1590</v>
      </c>
      <c r="C207">
        <v>289098.60000000003</v>
      </c>
      <c r="E207" t="s">
        <v>1392</v>
      </c>
    </row>
    <row r="208" spans="1:5">
      <c r="A208">
        <v>38</v>
      </c>
      <c r="B208" t="s">
        <v>1591</v>
      </c>
      <c r="C208">
        <v>218894</v>
      </c>
      <c r="E208" t="s">
        <v>1392</v>
      </c>
    </row>
    <row r="209" spans="1:5">
      <c r="A209">
        <v>38</v>
      </c>
      <c r="B209" t="s">
        <v>1592</v>
      </c>
      <c r="C209">
        <v>0</v>
      </c>
      <c r="E209" t="s">
        <v>1392</v>
      </c>
    </row>
    <row r="210" spans="1:5">
      <c r="A210">
        <v>38</v>
      </c>
      <c r="B210" t="s">
        <v>1593</v>
      </c>
      <c r="C210">
        <v>0</v>
      </c>
      <c r="E210" t="s">
        <v>1392</v>
      </c>
    </row>
    <row r="211" spans="1:5">
      <c r="A211">
        <v>38</v>
      </c>
      <c r="B211" t="s">
        <v>1594</v>
      </c>
      <c r="C211">
        <v>110398053.99999999</v>
      </c>
      <c r="E211" t="s">
        <v>1392</v>
      </c>
    </row>
    <row r="212" spans="1:5">
      <c r="A212">
        <v>38</v>
      </c>
      <c r="B212" t="s">
        <v>1595</v>
      </c>
      <c r="C212">
        <v>64915830</v>
      </c>
      <c r="E212" t="s">
        <v>1392</v>
      </c>
    </row>
    <row r="213" spans="1:5">
      <c r="A213">
        <v>38</v>
      </c>
      <c r="B213" t="s">
        <v>1596</v>
      </c>
      <c r="C213">
        <v>6048182.8000000007</v>
      </c>
      <c r="E213" t="s">
        <v>1392</v>
      </c>
    </row>
    <row r="214" spans="1:5">
      <c r="A214">
        <v>38</v>
      </c>
      <c r="B214" t="s">
        <v>1597</v>
      </c>
      <c r="C214">
        <v>8864482</v>
      </c>
      <c r="E214" t="s">
        <v>1392</v>
      </c>
    </row>
    <row r="215" spans="1:5">
      <c r="A215">
        <v>38</v>
      </c>
      <c r="B215" t="s">
        <v>1598</v>
      </c>
      <c r="C215">
        <v>8106844</v>
      </c>
      <c r="E215" t="s">
        <v>1392</v>
      </c>
    </row>
    <row r="216" spans="1:5">
      <c r="A216">
        <v>38</v>
      </c>
      <c r="B216" t="s">
        <v>1599</v>
      </c>
      <c r="C216">
        <v>13964391.6</v>
      </c>
      <c r="E216" t="s">
        <v>1392</v>
      </c>
    </row>
    <row r="217" spans="1:5">
      <c r="A217">
        <v>38</v>
      </c>
      <c r="B217" t="s">
        <v>1600</v>
      </c>
      <c r="C217">
        <v>8498323.5999999978</v>
      </c>
      <c r="E217" t="s">
        <v>1392</v>
      </c>
    </row>
    <row r="218" spans="1:5">
      <c r="A218">
        <v>38</v>
      </c>
      <c r="B218" t="s">
        <v>1601</v>
      </c>
      <c r="C218">
        <v>0</v>
      </c>
      <c r="E218" t="s">
        <v>1392</v>
      </c>
    </row>
    <row r="219" spans="1:5">
      <c r="A219">
        <v>38</v>
      </c>
      <c r="B219" t="s">
        <v>1602</v>
      </c>
      <c r="C219">
        <v>0</v>
      </c>
      <c r="E219" t="s">
        <v>1392</v>
      </c>
    </row>
    <row r="220" spans="1:5">
      <c r="A220">
        <v>38</v>
      </c>
      <c r="B220" t="s">
        <v>1603</v>
      </c>
      <c r="C220">
        <v>12750922.84</v>
      </c>
      <c r="E220" t="s">
        <v>1392</v>
      </c>
    </row>
    <row r="221" spans="1:5">
      <c r="A221">
        <v>38</v>
      </c>
      <c r="B221" t="s">
        <v>1604</v>
      </c>
      <c r="C221">
        <v>0</v>
      </c>
      <c r="E221" t="s">
        <v>1392</v>
      </c>
    </row>
    <row r="222" spans="1:5">
      <c r="A222">
        <v>38</v>
      </c>
      <c r="B222" t="s">
        <v>1605</v>
      </c>
      <c r="C222">
        <v>0</v>
      </c>
      <c r="E222" t="s">
        <v>1392</v>
      </c>
    </row>
    <row r="223" spans="1:5">
      <c r="A223">
        <v>38</v>
      </c>
      <c r="B223" t="s">
        <v>1606</v>
      </c>
      <c r="C223">
        <v>0</v>
      </c>
      <c r="E223" t="s">
        <v>1392</v>
      </c>
    </row>
    <row r="224" spans="1:5">
      <c r="A224">
        <v>38</v>
      </c>
      <c r="B224" t="s">
        <v>1607</v>
      </c>
      <c r="C224">
        <v>0</v>
      </c>
      <c r="E224" t="s">
        <v>1392</v>
      </c>
    </row>
    <row r="225" spans="1:5">
      <c r="A225">
        <v>38</v>
      </c>
      <c r="B225" t="s">
        <v>1608</v>
      </c>
      <c r="C225">
        <v>0</v>
      </c>
      <c r="E225" t="s">
        <v>1392</v>
      </c>
    </row>
    <row r="226" spans="1:5">
      <c r="A226">
        <v>38</v>
      </c>
      <c r="B226" t="s">
        <v>1609</v>
      </c>
      <c r="C226">
        <v>0</v>
      </c>
      <c r="E226" t="s">
        <v>1392</v>
      </c>
    </row>
    <row r="227" spans="1:5">
      <c r="A227">
        <v>38</v>
      </c>
      <c r="B227" t="s">
        <v>1610</v>
      </c>
      <c r="C227">
        <v>12440349.6</v>
      </c>
      <c r="E227" t="s">
        <v>1392</v>
      </c>
    </row>
    <row r="228" spans="1:5">
      <c r="A228">
        <v>38</v>
      </c>
      <c r="B228" t="s">
        <v>1611</v>
      </c>
      <c r="C228">
        <v>310573.24000000005</v>
      </c>
      <c r="E228" t="s">
        <v>1392</v>
      </c>
    </row>
    <row r="229" spans="1:5">
      <c r="A229">
        <v>38</v>
      </c>
      <c r="B229" t="s">
        <v>1612</v>
      </c>
      <c r="C229">
        <v>212272585.94</v>
      </c>
      <c r="E229" t="s">
        <v>1392</v>
      </c>
    </row>
    <row r="230" spans="1:5">
      <c r="A230">
        <v>38</v>
      </c>
      <c r="B230" t="s">
        <v>1613</v>
      </c>
      <c r="C230">
        <v>0</v>
      </c>
      <c r="E230" t="s">
        <v>1392</v>
      </c>
    </row>
    <row r="231" spans="1:5">
      <c r="A231">
        <v>38</v>
      </c>
      <c r="B231" t="s">
        <v>1614</v>
      </c>
      <c r="C231">
        <v>0</v>
      </c>
      <c r="E231" t="s">
        <v>1392</v>
      </c>
    </row>
    <row r="232" spans="1:5">
      <c r="A232">
        <v>38</v>
      </c>
      <c r="B232" t="s">
        <v>1615</v>
      </c>
      <c r="C232">
        <v>0</v>
      </c>
      <c r="E232" t="s">
        <v>1392</v>
      </c>
    </row>
    <row r="233" spans="1:5">
      <c r="A233">
        <v>38</v>
      </c>
      <c r="B233" t="s">
        <v>1616</v>
      </c>
      <c r="C233">
        <v>0</v>
      </c>
      <c r="E233" t="s">
        <v>1392</v>
      </c>
    </row>
    <row r="234" spans="1:5">
      <c r="A234">
        <v>38</v>
      </c>
      <c r="B234" t="s">
        <v>1617</v>
      </c>
      <c r="C234">
        <v>0</v>
      </c>
      <c r="E234" t="s">
        <v>1392</v>
      </c>
    </row>
    <row r="235" spans="1:5">
      <c r="A235">
        <v>38</v>
      </c>
      <c r="B235" t="s">
        <v>1618</v>
      </c>
      <c r="C235">
        <v>0</v>
      </c>
      <c r="E235" t="s">
        <v>1392</v>
      </c>
    </row>
    <row r="236" spans="1:5">
      <c r="A236">
        <v>38</v>
      </c>
      <c r="B236" t="s">
        <v>1619</v>
      </c>
      <c r="C236">
        <v>209188711.19999999</v>
      </c>
      <c r="E236" t="s">
        <v>1392</v>
      </c>
    </row>
    <row r="237" spans="1:5">
      <c r="A237">
        <v>38</v>
      </c>
      <c r="B237" t="s">
        <v>1620</v>
      </c>
      <c r="C237">
        <v>3083874.7400000007</v>
      </c>
      <c r="E237" t="s">
        <v>1392</v>
      </c>
    </row>
    <row r="238" spans="1:5">
      <c r="A238">
        <v>38</v>
      </c>
      <c r="B238" t="s">
        <v>1621</v>
      </c>
      <c r="C238">
        <v>21667900.400000002</v>
      </c>
      <c r="E238" t="s">
        <v>1392</v>
      </c>
    </row>
    <row r="239" spans="1:5">
      <c r="A239">
        <v>38</v>
      </c>
      <c r="B239" t="s">
        <v>1622</v>
      </c>
      <c r="C239">
        <v>515571397.83999991</v>
      </c>
      <c r="E239" t="s">
        <v>1392</v>
      </c>
    </row>
    <row r="240" spans="1:5">
      <c r="A240">
        <v>38</v>
      </c>
      <c r="B240" t="s">
        <v>1623</v>
      </c>
      <c r="C240">
        <v>2.12E-2</v>
      </c>
      <c r="E240" t="s">
        <v>1392</v>
      </c>
    </row>
    <row r="241" spans="1:5">
      <c r="A241">
        <v>38</v>
      </c>
      <c r="B241" t="s">
        <v>1624</v>
      </c>
      <c r="C241">
        <v>1.8919999999999999E-2</v>
      </c>
      <c r="E241" t="s">
        <v>1392</v>
      </c>
    </row>
    <row r="242" spans="1:5">
      <c r="A242">
        <v>38</v>
      </c>
      <c r="B242" t="s">
        <v>1625</v>
      </c>
      <c r="C242">
        <v>91428</v>
      </c>
      <c r="E242" t="s">
        <v>1392</v>
      </c>
    </row>
    <row r="243" spans="1:5">
      <c r="A243">
        <v>38</v>
      </c>
      <c r="B243" t="s">
        <v>1626</v>
      </c>
      <c r="C243">
        <v>498839454.63999987</v>
      </c>
      <c r="E243" t="s">
        <v>1392</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54296875" style="102" customWidth="1"/>
    <col min="2" max="2" width="41.1796875" style="102" customWidth="1"/>
    <col min="3" max="3" width="17.81640625" style="102" bestFit="1" customWidth="1"/>
    <col min="4" max="4" width="23.1796875" style="102" customWidth="1"/>
    <col min="5" max="5" width="18.1796875" style="102" customWidth="1"/>
    <col min="6" max="6" width="23.1796875" style="102" customWidth="1"/>
    <col min="7" max="7" width="17.1796875" style="102" customWidth="1"/>
    <col min="8" max="8" width="10.453125" style="102" customWidth="1"/>
    <col min="9" max="9" width="4.81640625" style="102" customWidth="1"/>
    <col min="10" max="10" width="8.81640625" style="102" bestFit="1"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tr">
        <f>'Cover Sheet'!B2</f>
        <v>SC Germany Consumer 2022-1</v>
      </c>
      <c r="C2" s="876"/>
      <c r="D2" s="106" t="str">
        <f>'Cover Sheet'!D2</f>
        <v>Calculation Date</v>
      </c>
      <c r="E2" s="107"/>
      <c r="F2" s="108">
        <f>'Cover Sheet'!F2</f>
        <v>45848</v>
      </c>
      <c r="G2" s="107"/>
      <c r="H2" s="107"/>
      <c r="I2" s="107"/>
      <c r="J2" s="109"/>
      <c r="K2" s="110"/>
      <c r="L2" s="877"/>
    </row>
    <row r="3" spans="1:13" ht="18">
      <c r="A3" s="103"/>
      <c r="B3" s="104" t="str">
        <f>'Cover Sheet'!B3</f>
        <v>Monthly Investor Report</v>
      </c>
      <c r="C3" s="876"/>
      <c r="D3" s="112" t="str">
        <f>'Cover Sheet'!D3</f>
        <v>Payment Date</v>
      </c>
      <c r="E3" s="113"/>
      <c r="F3" s="114">
        <f>'Cover Sheet'!F3</f>
        <v>45852</v>
      </c>
      <c r="G3" s="113"/>
      <c r="H3" s="113"/>
      <c r="I3" s="113"/>
      <c r="J3" s="115"/>
      <c r="K3" s="110"/>
      <c r="L3" s="878"/>
    </row>
    <row r="4" spans="1:13" ht="13">
      <c r="A4" s="103"/>
      <c r="B4" s="158"/>
      <c r="C4" s="116"/>
      <c r="D4" s="112" t="str">
        <f>'Cover Sheet'!D4</f>
        <v>Period  No</v>
      </c>
      <c r="E4" s="113"/>
      <c r="F4" s="117">
        <f>'Cover Sheet'!F4</f>
        <v>33</v>
      </c>
      <c r="G4" s="113"/>
      <c r="H4" s="118"/>
      <c r="I4" s="113"/>
      <c r="J4" s="119"/>
      <c r="K4" s="110"/>
      <c r="L4" s="877"/>
    </row>
    <row r="5" spans="1:13" ht="18">
      <c r="A5" s="103"/>
      <c r="B5" s="120" t="s">
        <v>367</v>
      </c>
      <c r="C5" s="879"/>
      <c r="D5" s="112" t="str">
        <f>'Cover Sheet'!D5</f>
        <v>Monthly Period</v>
      </c>
      <c r="E5" s="113"/>
      <c r="F5" s="121">
        <f>'Cover Sheet'!F5</f>
        <v>45852</v>
      </c>
      <c r="G5" s="113"/>
      <c r="H5" s="118"/>
      <c r="I5" s="113"/>
      <c r="J5" s="119"/>
      <c r="K5" s="110"/>
      <c r="L5" s="878"/>
    </row>
    <row r="6" spans="1:13"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ht="13">
      <c r="A7" s="103"/>
      <c r="B7" s="880"/>
      <c r="C7" s="880"/>
      <c r="D7" s="127" t="str">
        <f>'Cover Sheet'!D7</f>
        <v>Collection Period</v>
      </c>
      <c r="E7" s="128" t="str">
        <f>'Cover Sheet'!E7</f>
        <v>from</v>
      </c>
      <c r="F7" s="129" t="str">
        <f>'Cover Sheet'!F7</f>
        <v>01.06.2025</v>
      </c>
      <c r="G7" s="128" t="str">
        <f>'Cover Sheet'!G7</f>
        <v>to</v>
      </c>
      <c r="H7" s="129">
        <f>'Cover Sheet'!H7</f>
        <v>45838</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c r="G11" s="133"/>
      <c r="H11" s="134"/>
      <c r="I11" s="105"/>
      <c r="J11" s="133"/>
      <c r="K11" s="110"/>
    </row>
    <row r="12" spans="1:13" ht="18" customHeight="1" thickBot="1">
      <c r="A12" s="103"/>
      <c r="B12" s="105"/>
      <c r="C12" s="105"/>
      <c r="D12" s="164"/>
      <c r="E12" s="105"/>
      <c r="F12" s="132"/>
      <c r="G12" s="133"/>
      <c r="H12" s="134"/>
      <c r="I12" s="105"/>
      <c r="J12" s="133"/>
      <c r="K12" s="110"/>
    </row>
    <row r="13" spans="1:13" ht="18" customHeight="1">
      <c r="A13" s="103"/>
      <c r="B13" s="992" t="s">
        <v>110</v>
      </c>
      <c r="C13" s="992" t="s">
        <v>428</v>
      </c>
      <c r="D13" s="992" t="s">
        <v>37</v>
      </c>
      <c r="E13" s="992" t="s">
        <v>38</v>
      </c>
      <c r="F13" s="992" t="s">
        <v>39</v>
      </c>
      <c r="G13" s="995" t="s">
        <v>369</v>
      </c>
      <c r="H13" s="994"/>
      <c r="I13" s="991"/>
      <c r="J13" s="991"/>
      <c r="K13" s="110"/>
    </row>
    <row r="14" spans="1:13" ht="18" customHeight="1" thickBot="1">
      <c r="A14" s="103"/>
      <c r="B14" s="993"/>
      <c r="C14" s="993"/>
      <c r="D14" s="993"/>
      <c r="E14" s="993"/>
      <c r="F14" s="993"/>
      <c r="G14" s="996"/>
      <c r="H14" s="994"/>
      <c r="I14" s="991"/>
      <c r="J14" s="991"/>
      <c r="K14" s="110"/>
    </row>
    <row r="15" spans="1:13" ht="15" customHeight="1">
      <c r="A15" s="103"/>
      <c r="B15" s="981">
        <v>1</v>
      </c>
      <c r="C15" s="982">
        <f t="shared" ref="C15:C46" si="0">IF($F$4&gt;=B15,VLOOKUP(CONCATENATE("portfolio_",$B15),portfolio_p.p.,2,0),"")</f>
        <v>999999987.09000027</v>
      </c>
      <c r="D15" s="982">
        <f t="shared" ref="D15:D46" si="1">IF($F$4&gt;=B15,VLOOKUP(CONCATENATE("portfolio_",$B15),portfolio_p.p.,3,0),"")</f>
        <v>12874153.58</v>
      </c>
      <c r="E15" s="982">
        <f t="shared" ref="E15:E46" si="2">IF($F$4&gt;=B15,VLOOKUP(CONCATENATE("portfolio_",$B15),portfolio_p.p.,4,0),"")</f>
        <v>12869301.560000001</v>
      </c>
      <c r="F15" s="982">
        <f t="shared" ref="F15:F46" si="3">IF($F$4&gt;=B15,VLOOKUP(CONCATENATE("portfolio_",$B15),portfolio_p.p.,5,0),"")</f>
        <v>25743455.140000001</v>
      </c>
      <c r="G15" s="983">
        <f t="shared" ref="G15:G46" si="4">IF($F$4&gt;=B15,VLOOKUP(CONCATENATE("portfolio_",$B15),portfolio_p.p.,6,0),"")</f>
        <v>0.1439563772824759</v>
      </c>
      <c r="H15" s="134"/>
      <c r="I15" s="105"/>
      <c r="J15" s="133"/>
      <c r="K15" s="110"/>
    </row>
    <row r="16" spans="1:13" ht="15" customHeight="1">
      <c r="A16" s="103"/>
      <c r="B16" s="984">
        <v>2</v>
      </c>
      <c r="C16" s="966">
        <f t="shared" si="0"/>
        <v>999999994.49000025</v>
      </c>
      <c r="D16" s="966">
        <f t="shared" si="1"/>
        <v>12749018.209999988</v>
      </c>
      <c r="E16" s="966">
        <f t="shared" si="2"/>
        <v>14938459.260000011</v>
      </c>
      <c r="F16" s="966">
        <f t="shared" si="3"/>
        <v>27687477.469999999</v>
      </c>
      <c r="G16" s="985">
        <f t="shared" si="4"/>
        <v>0.1652424397028962</v>
      </c>
      <c r="H16" s="134"/>
      <c r="I16" s="105"/>
      <c r="J16" s="133"/>
      <c r="K16" s="110"/>
    </row>
    <row r="17" spans="1:12" ht="15" customHeight="1">
      <c r="A17" s="103"/>
      <c r="B17" s="984">
        <v>3</v>
      </c>
      <c r="C17" s="966">
        <f t="shared" si="0"/>
        <v>999999997.6700002</v>
      </c>
      <c r="D17" s="966">
        <f t="shared" si="1"/>
        <v>12267567.370000005</v>
      </c>
      <c r="E17" s="966">
        <f t="shared" si="2"/>
        <v>9162134.9099999964</v>
      </c>
      <c r="F17" s="966">
        <f t="shared" si="3"/>
        <v>21429702.280000001</v>
      </c>
      <c r="G17" s="985">
        <f t="shared" si="4"/>
        <v>0.1045710351748308</v>
      </c>
      <c r="H17" s="134"/>
      <c r="I17" s="105"/>
      <c r="J17" s="133"/>
      <c r="K17" s="110"/>
    </row>
    <row r="18" spans="1:12" ht="15" customHeight="1">
      <c r="A18" s="103"/>
      <c r="B18" s="984">
        <v>4</v>
      </c>
      <c r="C18" s="966">
        <f t="shared" si="0"/>
        <v>999999994.00000024</v>
      </c>
      <c r="D18" s="966">
        <f t="shared" si="1"/>
        <v>12703121.130000014</v>
      </c>
      <c r="E18" s="966">
        <f t="shared" si="2"/>
        <v>19011983.489999983</v>
      </c>
      <c r="F18" s="966">
        <f t="shared" si="3"/>
        <v>31715104.619999997</v>
      </c>
      <c r="G18" s="985">
        <f t="shared" si="4"/>
        <v>0.20573682844045915</v>
      </c>
      <c r="H18" s="134"/>
      <c r="I18" s="105"/>
      <c r="J18" s="133"/>
      <c r="K18" s="110"/>
    </row>
    <row r="19" spans="1:12" ht="15" customHeight="1">
      <c r="A19" s="103"/>
      <c r="B19" s="984">
        <v>5</v>
      </c>
      <c r="C19" s="966">
        <f t="shared" si="0"/>
        <v>999999989.14000022</v>
      </c>
      <c r="D19" s="966">
        <f t="shared" si="1"/>
        <v>12573513.080000028</v>
      </c>
      <c r="E19" s="966">
        <f t="shared" si="2"/>
        <v>15870326.31999997</v>
      </c>
      <c r="F19" s="966">
        <f t="shared" si="3"/>
        <v>28443839.399999999</v>
      </c>
      <c r="G19" s="985">
        <f t="shared" si="4"/>
        <v>0.17466944742711243</v>
      </c>
      <c r="H19" s="134"/>
      <c r="I19" s="105"/>
      <c r="J19" s="133"/>
      <c r="K19" s="110"/>
    </row>
    <row r="20" spans="1:12" ht="15" customHeight="1">
      <c r="A20" s="103"/>
      <c r="B20" s="984">
        <v>6</v>
      </c>
      <c r="C20" s="966">
        <f t="shared" si="0"/>
        <v>999999997.6500001</v>
      </c>
      <c r="D20" s="966">
        <f t="shared" si="1"/>
        <v>12878781.510000009</v>
      </c>
      <c r="E20" s="966">
        <f t="shared" si="2"/>
        <v>16692848.519999992</v>
      </c>
      <c r="F20" s="966">
        <f t="shared" si="3"/>
        <v>29571630.030000001</v>
      </c>
      <c r="G20" s="985">
        <f t="shared" si="4"/>
        <v>0.18290910187146314</v>
      </c>
      <c r="H20" s="134"/>
      <c r="I20" s="105"/>
      <c r="J20" s="133"/>
      <c r="K20" s="110"/>
    </row>
    <row r="21" spans="1:12" ht="15" customHeight="1">
      <c r="A21" s="103"/>
      <c r="B21" s="984">
        <v>7</v>
      </c>
      <c r="C21" s="966">
        <f t="shared" si="0"/>
        <v>999999996.75000012</v>
      </c>
      <c r="D21" s="966">
        <f t="shared" si="1"/>
        <v>13682490.239999989</v>
      </c>
      <c r="E21" s="966">
        <f t="shared" si="2"/>
        <v>13503526.900000012</v>
      </c>
      <c r="F21" s="966">
        <f t="shared" si="3"/>
        <v>27186017.140000001</v>
      </c>
      <c r="G21" s="985">
        <f t="shared" si="4"/>
        <v>0.15053313575833305</v>
      </c>
      <c r="H21" s="105"/>
      <c r="I21" s="105"/>
      <c r="J21" s="105"/>
      <c r="K21" s="110"/>
    </row>
    <row r="22" spans="1:12" ht="15" customHeight="1">
      <c r="A22" s="103"/>
      <c r="B22" s="984">
        <v>8</v>
      </c>
      <c r="C22" s="966">
        <f t="shared" si="0"/>
        <v>999999997.4000001</v>
      </c>
      <c r="D22" s="966">
        <f t="shared" si="1"/>
        <v>13211478.119999997</v>
      </c>
      <c r="E22" s="966">
        <f t="shared" si="2"/>
        <v>16184488.810000002</v>
      </c>
      <c r="F22" s="966">
        <f t="shared" si="3"/>
        <v>29395966.93</v>
      </c>
      <c r="G22" s="985">
        <f t="shared" si="4"/>
        <v>0.17782553189681738</v>
      </c>
      <c r="H22" s="105"/>
      <c r="I22" s="105"/>
      <c r="J22" s="881"/>
      <c r="K22" s="110"/>
      <c r="L22" s="882"/>
    </row>
    <row r="23" spans="1:12" ht="15" customHeight="1">
      <c r="A23" s="103"/>
      <c r="B23" s="984">
        <v>9</v>
      </c>
      <c r="C23" s="966">
        <f t="shared" si="0"/>
        <v>999999977.96000004</v>
      </c>
      <c r="D23" s="966">
        <f t="shared" si="1"/>
        <v>13262543.270000014</v>
      </c>
      <c r="E23" s="966">
        <f t="shared" si="2"/>
        <v>16278904.209999986</v>
      </c>
      <c r="F23" s="966">
        <f t="shared" si="3"/>
        <v>29541447.48</v>
      </c>
      <c r="G23" s="985">
        <f t="shared" si="4"/>
        <v>0.17877187068324063</v>
      </c>
      <c r="H23" s="105"/>
      <c r="I23" s="105"/>
      <c r="J23" s="883"/>
      <c r="K23" s="110"/>
    </row>
    <row r="24" spans="1:12" ht="15" customHeight="1">
      <c r="A24" s="103"/>
      <c r="B24" s="984">
        <v>10</v>
      </c>
      <c r="C24" s="966">
        <f t="shared" si="0"/>
        <v>999999995.70000005</v>
      </c>
      <c r="D24" s="966">
        <f t="shared" si="1"/>
        <v>13446052.159999993</v>
      </c>
      <c r="E24" s="947">
        <f t="shared" si="2"/>
        <v>18154861.640000008</v>
      </c>
      <c r="F24" s="966">
        <f t="shared" si="3"/>
        <v>31600913.800000001</v>
      </c>
      <c r="G24" s="985">
        <f t="shared" si="4"/>
        <v>0.19736900258936274</v>
      </c>
      <c r="H24" s="884"/>
      <c r="I24" s="884"/>
      <c r="J24" s="885"/>
      <c r="K24" s="110"/>
    </row>
    <row r="25" spans="1:12" ht="15" customHeight="1">
      <c r="A25" s="103"/>
      <c r="B25" s="984">
        <v>11</v>
      </c>
      <c r="C25" s="966">
        <f t="shared" si="0"/>
        <v>999999981.95999992</v>
      </c>
      <c r="D25" s="966">
        <f t="shared" si="1"/>
        <v>13599419.18999999</v>
      </c>
      <c r="E25" s="966">
        <f t="shared" si="2"/>
        <v>16834208.940000009</v>
      </c>
      <c r="F25" s="966">
        <f t="shared" si="3"/>
        <v>30433628.129999999</v>
      </c>
      <c r="G25" s="985">
        <f t="shared" si="4"/>
        <v>0.18431757219282974</v>
      </c>
      <c r="H25" s="872"/>
      <c r="I25" s="872"/>
      <c r="J25" s="871"/>
      <c r="K25" s="110"/>
    </row>
    <row r="26" spans="1:12" ht="15" customHeight="1">
      <c r="A26" s="103"/>
      <c r="B26" s="984">
        <v>12</v>
      </c>
      <c r="C26" s="966">
        <f t="shared" si="0"/>
        <v>999530391.04999995</v>
      </c>
      <c r="D26" s="966">
        <f t="shared" si="1"/>
        <v>15340390.180000013</v>
      </c>
      <c r="E26" s="966">
        <f t="shared" si="2"/>
        <v>11711911.979999987</v>
      </c>
      <c r="F26" s="966">
        <f t="shared" si="3"/>
        <v>27052302.16</v>
      </c>
      <c r="G26" s="985">
        <f t="shared" si="4"/>
        <v>0.13189209194135831</v>
      </c>
      <c r="H26" s="872"/>
      <c r="I26" s="872"/>
      <c r="J26" s="874"/>
      <c r="K26" s="110"/>
    </row>
    <row r="27" spans="1:12" ht="15" customHeight="1">
      <c r="A27" s="103"/>
      <c r="B27" s="984">
        <v>13</v>
      </c>
      <c r="C27" s="966">
        <f t="shared" si="0"/>
        <v>999580049.78999984</v>
      </c>
      <c r="D27" s="966">
        <f t="shared" si="1"/>
        <v>13793697.789999992</v>
      </c>
      <c r="E27" s="966">
        <f t="shared" si="2"/>
        <v>11179253.250000007</v>
      </c>
      <c r="F27" s="966">
        <f t="shared" si="3"/>
        <v>24972951.039999999</v>
      </c>
      <c r="G27" s="985">
        <f t="shared" si="4"/>
        <v>0.12625222050776919</v>
      </c>
      <c r="H27" s="872"/>
      <c r="I27" s="872"/>
      <c r="J27" s="310"/>
      <c r="K27" s="110"/>
    </row>
    <row r="28" spans="1:12" ht="15" customHeight="1">
      <c r="A28" s="103"/>
      <c r="B28" s="984">
        <v>14</v>
      </c>
      <c r="C28" s="966">
        <f t="shared" si="0"/>
        <v>972266109.06999993</v>
      </c>
      <c r="D28" s="966">
        <f t="shared" si="1"/>
        <v>13666245.620000003</v>
      </c>
      <c r="E28" s="966">
        <f t="shared" si="2"/>
        <v>11190638.689999996</v>
      </c>
      <c r="F28" s="966">
        <f t="shared" si="3"/>
        <v>24856884.309999999</v>
      </c>
      <c r="G28" s="985">
        <f t="shared" si="4"/>
        <v>0.12970168240960411</v>
      </c>
      <c r="H28" s="872"/>
      <c r="I28" s="872"/>
      <c r="J28" s="871"/>
      <c r="K28" s="110"/>
    </row>
    <row r="29" spans="1:12" ht="15" customHeight="1">
      <c r="A29" s="103"/>
      <c r="B29" s="984">
        <v>15</v>
      </c>
      <c r="C29" s="966">
        <f t="shared" si="0"/>
        <v>944785206.33999991</v>
      </c>
      <c r="D29" s="966">
        <f t="shared" si="1"/>
        <v>13428232.839999998</v>
      </c>
      <c r="E29" s="966">
        <f t="shared" si="2"/>
        <v>6947345.4199999999</v>
      </c>
      <c r="F29" s="966">
        <f t="shared" si="3"/>
        <v>20375578.259999998</v>
      </c>
      <c r="G29" s="985">
        <f t="shared" si="4"/>
        <v>8.4757614431644979E-2</v>
      </c>
      <c r="H29" s="872"/>
      <c r="I29" s="872"/>
      <c r="J29" s="871"/>
      <c r="K29" s="110"/>
    </row>
    <row r="30" spans="1:12" ht="15" customHeight="1">
      <c r="A30" s="103"/>
      <c r="B30" s="984">
        <v>16</v>
      </c>
      <c r="C30" s="966">
        <f t="shared" si="0"/>
        <v>921970706.56999993</v>
      </c>
      <c r="D30" s="966">
        <f t="shared" si="1"/>
        <v>13481764.400000008</v>
      </c>
      <c r="E30" s="966">
        <f t="shared" si="2"/>
        <v>15831286.419999992</v>
      </c>
      <c r="F30" s="966">
        <f t="shared" si="3"/>
        <v>29313050.82</v>
      </c>
      <c r="G30" s="985">
        <f t="shared" si="4"/>
        <v>0.18766564983211276</v>
      </c>
      <c r="H30" s="872"/>
      <c r="I30" s="872"/>
      <c r="J30" s="871"/>
      <c r="K30" s="110"/>
    </row>
    <row r="31" spans="1:12" ht="15" customHeight="1">
      <c r="A31" s="103"/>
      <c r="B31" s="984">
        <v>17</v>
      </c>
      <c r="C31" s="966">
        <f t="shared" si="0"/>
        <v>890117850.68999994</v>
      </c>
      <c r="D31" s="966">
        <f t="shared" si="1"/>
        <v>12996695.209999992</v>
      </c>
      <c r="E31" s="966">
        <f t="shared" si="2"/>
        <v>12787144.970000008</v>
      </c>
      <c r="F31" s="966">
        <f t="shared" si="3"/>
        <v>25783840.18</v>
      </c>
      <c r="G31" s="985">
        <f t="shared" si="4"/>
        <v>0.15939914586898651</v>
      </c>
      <c r="H31" s="872"/>
      <c r="I31" s="872"/>
      <c r="J31" s="871"/>
      <c r="K31" s="110"/>
    </row>
    <row r="32" spans="1:12" ht="15" customHeight="1">
      <c r="A32" s="103"/>
      <c r="B32" s="984">
        <v>18</v>
      </c>
      <c r="C32" s="966">
        <f t="shared" si="0"/>
        <v>861730634.76999998</v>
      </c>
      <c r="D32" s="966">
        <f t="shared" si="1"/>
        <v>13076882.809999999</v>
      </c>
      <c r="E32" s="966">
        <f t="shared" si="2"/>
        <v>11073015.120000001</v>
      </c>
      <c r="F32" s="966">
        <f t="shared" si="3"/>
        <v>24149897.93</v>
      </c>
      <c r="G32" s="985">
        <f t="shared" si="4"/>
        <v>0.14375279322232148</v>
      </c>
      <c r="H32" s="872"/>
      <c r="I32" s="872"/>
      <c r="J32" s="871"/>
      <c r="K32" s="110"/>
    </row>
    <row r="33" spans="1:11" ht="15" customHeight="1">
      <c r="A33" s="103"/>
      <c r="B33" s="984">
        <v>19</v>
      </c>
      <c r="C33" s="966">
        <f t="shared" si="0"/>
        <v>835033301.61999989</v>
      </c>
      <c r="D33" s="966">
        <f t="shared" si="1"/>
        <v>12399426.809999995</v>
      </c>
      <c r="E33" s="966">
        <f t="shared" si="2"/>
        <v>11845408.980000004</v>
      </c>
      <c r="F33" s="966">
        <f t="shared" si="3"/>
        <v>24244835.789999999</v>
      </c>
      <c r="G33" s="985">
        <f t="shared" si="4"/>
        <v>0.15755386541545702</v>
      </c>
      <c r="H33" s="872"/>
      <c r="I33" s="872"/>
      <c r="J33" s="871"/>
      <c r="K33" s="110"/>
    </row>
    <row r="34" spans="1:11" ht="15" customHeight="1">
      <c r="A34" s="103"/>
      <c r="B34" s="984">
        <v>20</v>
      </c>
      <c r="C34" s="966">
        <f t="shared" si="0"/>
        <v>808209422.54999983</v>
      </c>
      <c r="D34" s="966">
        <f t="shared" si="1"/>
        <v>12178434.680000002</v>
      </c>
      <c r="E34" s="966">
        <f t="shared" si="2"/>
        <v>10913314.139999999</v>
      </c>
      <c r="F34" s="966">
        <f t="shared" si="3"/>
        <v>23091748.82</v>
      </c>
      <c r="G34" s="985">
        <f t="shared" si="4"/>
        <v>0.15052848737645041</v>
      </c>
      <c r="H34" s="872"/>
      <c r="I34" s="872"/>
      <c r="J34" s="871"/>
      <c r="K34" s="110"/>
    </row>
    <row r="35" spans="1:11" ht="15" customHeight="1">
      <c r="A35" s="103"/>
      <c r="B35" s="984">
        <v>21</v>
      </c>
      <c r="C35" s="966">
        <f t="shared" si="0"/>
        <v>782196586.9599998</v>
      </c>
      <c r="D35" s="966">
        <f t="shared" si="1"/>
        <v>12151252.310000004</v>
      </c>
      <c r="E35" s="966">
        <f t="shared" si="2"/>
        <v>10400103.579999996</v>
      </c>
      <c r="F35" s="966">
        <f t="shared" si="3"/>
        <v>22551355.890000001</v>
      </c>
      <c r="G35" s="985">
        <f t="shared" si="4"/>
        <v>0.14838648388545306</v>
      </c>
      <c r="H35" s="872"/>
      <c r="I35" s="872"/>
      <c r="J35" s="871"/>
      <c r="K35" s="110"/>
    </row>
    <row r="36" spans="1:11" ht="15" customHeight="1">
      <c r="A36" s="103"/>
      <c r="B36" s="984">
        <v>22</v>
      </c>
      <c r="C36" s="966">
        <f t="shared" si="0"/>
        <v>757456618.61999977</v>
      </c>
      <c r="D36" s="966">
        <f t="shared" si="1"/>
        <v>11862521.130000001</v>
      </c>
      <c r="E36" s="966">
        <f t="shared" si="2"/>
        <v>11399724.4</v>
      </c>
      <c r="F36" s="966">
        <f t="shared" si="3"/>
        <v>23262245.530000001</v>
      </c>
      <c r="G36" s="985">
        <f t="shared" si="4"/>
        <v>0.16637602122129302</v>
      </c>
      <c r="H36" s="872"/>
      <c r="I36" s="872"/>
      <c r="J36" s="871"/>
      <c r="K36" s="110"/>
    </row>
    <row r="37" spans="1:11" s="59" customFormat="1" ht="15" customHeight="1">
      <c r="A37" s="886"/>
      <c r="B37" s="984">
        <v>23</v>
      </c>
      <c r="C37" s="966">
        <f t="shared" si="0"/>
        <v>731399238.9599998</v>
      </c>
      <c r="D37" s="966">
        <f t="shared" si="1"/>
        <v>11731053.269999994</v>
      </c>
      <c r="E37" s="966">
        <f t="shared" si="2"/>
        <v>9605072.5200000051</v>
      </c>
      <c r="F37" s="966">
        <f t="shared" si="3"/>
        <v>21336125.789999999</v>
      </c>
      <c r="G37" s="985">
        <f t="shared" si="4"/>
        <v>0.14669092618638835</v>
      </c>
      <c r="H37" s="887"/>
      <c r="I37" s="887"/>
      <c r="J37" s="888"/>
      <c r="K37" s="168"/>
    </row>
    <row r="38" spans="1:11" s="59" customFormat="1" ht="15" customHeight="1">
      <c r="A38" s="886"/>
      <c r="B38" s="984">
        <v>24</v>
      </c>
      <c r="C38" s="966">
        <f t="shared" si="0"/>
        <v>707906332.37999988</v>
      </c>
      <c r="D38" s="966">
        <f t="shared" si="1"/>
        <v>11354152.690000005</v>
      </c>
      <c r="E38" s="966">
        <f t="shared" si="2"/>
        <v>8141008.599999995</v>
      </c>
      <c r="F38" s="966">
        <f t="shared" si="3"/>
        <v>19495161.289999999</v>
      </c>
      <c r="G38" s="985">
        <f t="shared" si="4"/>
        <v>0.12959887243422585</v>
      </c>
      <c r="H38" s="884"/>
      <c r="I38" s="884"/>
      <c r="J38" s="871"/>
      <c r="K38" s="168"/>
    </row>
    <row r="39" spans="1:11" s="59" customFormat="1" ht="15" customHeight="1">
      <c r="A39" s="886"/>
      <c r="B39" s="984">
        <v>25</v>
      </c>
      <c r="C39" s="966">
        <f t="shared" si="0"/>
        <v>686245897.63999987</v>
      </c>
      <c r="D39" s="966">
        <f t="shared" si="1"/>
        <v>11574922.919999996</v>
      </c>
      <c r="E39" s="966">
        <f t="shared" si="2"/>
        <v>9370823.7400000039</v>
      </c>
      <c r="F39" s="966">
        <f t="shared" si="3"/>
        <v>20945746.66</v>
      </c>
      <c r="G39" s="985">
        <f t="shared" si="4"/>
        <v>0.15209905080930552</v>
      </c>
      <c r="H39" s="884"/>
      <c r="I39" s="884"/>
      <c r="J39" s="871"/>
      <c r="K39" s="168"/>
    </row>
    <row r="40" spans="1:11" ht="15" customHeight="1">
      <c r="A40" s="103"/>
      <c r="B40" s="984">
        <v>26</v>
      </c>
      <c r="C40" s="966">
        <f t="shared" si="0"/>
        <v>663524217.88999987</v>
      </c>
      <c r="D40" s="966">
        <f t="shared" si="1"/>
        <v>11095809.889999997</v>
      </c>
      <c r="E40" s="966">
        <f t="shared" si="2"/>
        <v>6434692.9600000037</v>
      </c>
      <c r="F40" s="966">
        <f t="shared" si="3"/>
        <v>17530502.850000001</v>
      </c>
      <c r="G40" s="985">
        <f t="shared" si="4"/>
        <v>0.11036229382667007</v>
      </c>
      <c r="H40" s="872"/>
      <c r="I40" s="872"/>
      <c r="J40" s="889"/>
      <c r="K40" s="110"/>
    </row>
    <row r="41" spans="1:11" ht="15" customHeight="1">
      <c r="A41" s="103"/>
      <c r="B41" s="984">
        <v>27</v>
      </c>
      <c r="C41" s="966">
        <f t="shared" si="0"/>
        <v>643878808.3299998</v>
      </c>
      <c r="D41" s="966">
        <f t="shared" si="1"/>
        <v>10824002.309999999</v>
      </c>
      <c r="E41" s="966">
        <f t="shared" si="2"/>
        <v>4234187.7800000021</v>
      </c>
      <c r="F41" s="966">
        <f t="shared" si="3"/>
        <v>15058190.09</v>
      </c>
      <c r="G41" s="985">
        <f t="shared" si="4"/>
        <v>7.6120262481757184E-2</v>
      </c>
      <c r="H41" s="872"/>
      <c r="I41" s="872"/>
      <c r="J41" s="874"/>
      <c r="K41" s="110"/>
    </row>
    <row r="42" spans="1:11" ht="15" customHeight="1">
      <c r="A42" s="103"/>
      <c r="B42" s="984">
        <v>28</v>
      </c>
      <c r="C42" s="966">
        <f t="shared" si="0"/>
        <v>626981831.49999988</v>
      </c>
      <c r="D42" s="966">
        <f t="shared" si="1"/>
        <v>11233842.549999997</v>
      </c>
      <c r="E42" s="966">
        <f t="shared" si="2"/>
        <v>8106944.2200000025</v>
      </c>
      <c r="F42" s="966">
        <f t="shared" si="3"/>
        <v>19340786.77</v>
      </c>
      <c r="G42" s="985">
        <f t="shared" si="4"/>
        <v>0.14458896385233955</v>
      </c>
      <c r="H42" s="105"/>
      <c r="I42" s="105"/>
      <c r="J42" s="158"/>
      <c r="K42" s="110"/>
    </row>
    <row r="43" spans="1:11" ht="15" customHeight="1">
      <c r="A43" s="103"/>
      <c r="B43" s="984">
        <v>29</v>
      </c>
      <c r="C43" s="966">
        <f t="shared" si="0"/>
        <v>605593470.43999994</v>
      </c>
      <c r="D43" s="966">
        <f t="shared" si="1"/>
        <v>10657546.860000003</v>
      </c>
      <c r="E43" s="966">
        <f t="shared" si="2"/>
        <v>6148915.4999999972</v>
      </c>
      <c r="F43" s="966">
        <f t="shared" si="3"/>
        <v>16806462.359999999</v>
      </c>
      <c r="G43" s="985">
        <f t="shared" si="4"/>
        <v>0.1152633288123287</v>
      </c>
      <c r="H43" s="105"/>
      <c r="I43" s="105"/>
      <c r="J43" s="158"/>
      <c r="K43" s="110"/>
    </row>
    <row r="44" spans="1:11" ht="15" customHeight="1">
      <c r="A44" s="103"/>
      <c r="B44" s="984">
        <v>30</v>
      </c>
      <c r="C44" s="966">
        <f t="shared" si="0"/>
        <v>586759359.30999994</v>
      </c>
      <c r="D44" s="966">
        <f t="shared" si="1"/>
        <v>10440973.470000003</v>
      </c>
      <c r="E44" s="966">
        <f t="shared" si="2"/>
        <v>6038610.5999999987</v>
      </c>
      <c r="F44" s="966">
        <f t="shared" si="3"/>
        <v>16479584.07</v>
      </c>
      <c r="G44" s="985">
        <f t="shared" si="4"/>
        <v>0.11674152843620667</v>
      </c>
      <c r="H44" s="105"/>
      <c r="I44" s="105"/>
      <c r="J44" s="158"/>
      <c r="K44" s="110"/>
    </row>
    <row r="45" spans="1:11" ht="15" customHeight="1">
      <c r="A45" s="103"/>
      <c r="B45" s="984">
        <v>31</v>
      </c>
      <c r="C45" s="966">
        <f t="shared" si="0"/>
        <v>568467527.35000002</v>
      </c>
      <c r="D45" s="966">
        <f t="shared" si="1"/>
        <v>10352758.200000003</v>
      </c>
      <c r="E45" s="966">
        <f t="shared" si="2"/>
        <v>6905244.0199999949</v>
      </c>
      <c r="F45" s="966">
        <f t="shared" si="3"/>
        <v>17258002.219999999</v>
      </c>
      <c r="G45" s="985">
        <f t="shared" si="4"/>
        <v>0.13641073113290836</v>
      </c>
      <c r="H45" s="105"/>
      <c r="I45" s="105"/>
      <c r="J45" s="158"/>
      <c r="K45" s="110"/>
    </row>
    <row r="46" spans="1:11" ht="15" customHeight="1">
      <c r="A46" s="103"/>
      <c r="B46" s="984">
        <v>32</v>
      </c>
      <c r="C46" s="966">
        <f t="shared" si="0"/>
        <v>549072459.42000008</v>
      </c>
      <c r="D46" s="966">
        <f t="shared" si="1"/>
        <v>10245999.360000001</v>
      </c>
      <c r="E46" s="966">
        <f t="shared" si="2"/>
        <v>6762647.2699999977</v>
      </c>
      <c r="F46" s="966">
        <f t="shared" si="3"/>
        <v>17008646.629999999</v>
      </c>
      <c r="G46" s="985">
        <f t="shared" si="4"/>
        <v>0.13818585349579282</v>
      </c>
      <c r="H46" s="105"/>
      <c r="I46" s="105"/>
      <c r="J46" s="158"/>
      <c r="K46" s="110"/>
    </row>
    <row r="47" spans="1:11" ht="15" customHeight="1">
      <c r="A47" s="103"/>
      <c r="B47" s="984">
        <v>33</v>
      </c>
      <c r="C47" s="966">
        <f t="shared" ref="C47:C78" si="5">IF($F$4&gt;=B47,VLOOKUP(CONCATENATE("portfolio_",$B47),portfolio_p.p.,2,0),"")</f>
        <v>530411090.53000003</v>
      </c>
      <c r="D47" s="966">
        <f t="shared" ref="D47:D78" si="6">IF($F$4&gt;=B47,VLOOKUP(CONCATENATE("portfolio_",$B47),portfolio_p.p.,3,0),"")</f>
        <v>9884900.6100000031</v>
      </c>
      <c r="E47" s="966">
        <f t="shared" ref="E47:E78" si="7">IF($F$4&gt;=B47,VLOOKUP(CONCATENATE("portfolio_",$B47),portfolio_p.p.,4,0),"")</f>
        <v>6033684.4699999979</v>
      </c>
      <c r="F47" s="966">
        <f t="shared" ref="F47:F78" si="8">IF($F$4&gt;=B47,VLOOKUP(CONCATENATE("portfolio_",$B47),portfolio_p.p.,5,0),"")</f>
        <v>15918585.08</v>
      </c>
      <c r="G47" s="985">
        <f t="shared" ref="G47:G78" si="9">IF($F$4&gt;=B47,VLOOKUP(CONCATENATE("portfolio_",$B47),portfolio_p.p.,6,0),"")</f>
        <v>0.12828103343464037</v>
      </c>
      <c r="H47" s="105"/>
      <c r="I47" s="105"/>
      <c r="J47" s="158"/>
      <c r="K47" s="110"/>
    </row>
    <row r="48" spans="1:11" ht="15" customHeight="1">
      <c r="A48" s="103"/>
      <c r="B48" s="984">
        <v>34</v>
      </c>
      <c r="C48" s="966" t="str">
        <f t="shared" si="5"/>
        <v/>
      </c>
      <c r="D48" s="966" t="str">
        <f t="shared" si="6"/>
        <v/>
      </c>
      <c r="E48" s="966" t="str">
        <f t="shared" si="7"/>
        <v/>
      </c>
      <c r="F48" s="966" t="str">
        <f t="shared" si="8"/>
        <v/>
      </c>
      <c r="G48" s="985" t="str">
        <f t="shared" si="9"/>
        <v/>
      </c>
      <c r="H48" s="105"/>
      <c r="I48" s="105"/>
      <c r="J48" s="158"/>
      <c r="K48" s="110"/>
    </row>
    <row r="49" spans="1:11" ht="15" customHeight="1">
      <c r="A49" s="103"/>
      <c r="B49" s="984">
        <v>35</v>
      </c>
      <c r="C49" s="966" t="str">
        <f t="shared" si="5"/>
        <v/>
      </c>
      <c r="D49" s="966" t="str">
        <f t="shared" si="6"/>
        <v/>
      </c>
      <c r="E49" s="966" t="str">
        <f t="shared" si="7"/>
        <v/>
      </c>
      <c r="F49" s="966" t="str">
        <f t="shared" si="8"/>
        <v/>
      </c>
      <c r="G49" s="985" t="str">
        <f t="shared" si="9"/>
        <v/>
      </c>
      <c r="H49" s="105"/>
      <c r="I49" s="105"/>
      <c r="J49" s="158"/>
      <c r="K49" s="110"/>
    </row>
    <row r="50" spans="1:11" ht="15" customHeight="1">
      <c r="A50" s="103"/>
      <c r="B50" s="984">
        <v>36</v>
      </c>
      <c r="C50" s="966" t="str">
        <f t="shared" si="5"/>
        <v/>
      </c>
      <c r="D50" s="966" t="str">
        <f t="shared" si="6"/>
        <v/>
      </c>
      <c r="E50" s="966" t="str">
        <f t="shared" si="7"/>
        <v/>
      </c>
      <c r="F50" s="966" t="str">
        <f t="shared" si="8"/>
        <v/>
      </c>
      <c r="G50" s="985" t="str">
        <f t="shared" si="9"/>
        <v/>
      </c>
      <c r="H50" s="105"/>
      <c r="I50" s="105"/>
      <c r="J50" s="158"/>
      <c r="K50" s="110"/>
    </row>
    <row r="51" spans="1:11" ht="15" customHeight="1">
      <c r="A51" s="103"/>
      <c r="B51" s="984">
        <v>37</v>
      </c>
      <c r="C51" s="966" t="str">
        <f t="shared" si="5"/>
        <v/>
      </c>
      <c r="D51" s="966" t="str">
        <f t="shared" si="6"/>
        <v/>
      </c>
      <c r="E51" s="966" t="str">
        <f t="shared" si="7"/>
        <v/>
      </c>
      <c r="F51" s="966" t="str">
        <f t="shared" si="8"/>
        <v/>
      </c>
      <c r="G51" s="985" t="str">
        <f t="shared" si="9"/>
        <v/>
      </c>
      <c r="H51" s="105"/>
      <c r="I51" s="105"/>
      <c r="J51" s="158"/>
      <c r="K51" s="110"/>
    </row>
    <row r="52" spans="1:11" ht="15" customHeight="1">
      <c r="A52" s="103"/>
      <c r="B52" s="984">
        <v>38</v>
      </c>
      <c r="C52" s="966" t="str">
        <f t="shared" si="5"/>
        <v/>
      </c>
      <c r="D52" s="966" t="str">
        <f t="shared" si="6"/>
        <v/>
      </c>
      <c r="E52" s="966" t="str">
        <f t="shared" si="7"/>
        <v/>
      </c>
      <c r="F52" s="966" t="str">
        <f t="shared" si="8"/>
        <v/>
      </c>
      <c r="G52" s="985" t="str">
        <f t="shared" si="9"/>
        <v/>
      </c>
      <c r="H52" s="105"/>
      <c r="I52" s="105"/>
      <c r="J52" s="158"/>
      <c r="K52" s="110"/>
    </row>
    <row r="53" spans="1:11" ht="15" customHeight="1">
      <c r="A53" s="103"/>
      <c r="B53" s="984">
        <v>39</v>
      </c>
      <c r="C53" s="145" t="str">
        <f t="shared" si="5"/>
        <v/>
      </c>
      <c r="D53" s="145" t="str">
        <f t="shared" si="6"/>
        <v/>
      </c>
      <c r="E53" s="145" t="str">
        <f t="shared" si="7"/>
        <v/>
      </c>
      <c r="F53" s="145" t="str">
        <f t="shared" si="8"/>
        <v/>
      </c>
      <c r="G53" s="985" t="str">
        <f t="shared" si="9"/>
        <v/>
      </c>
      <c r="H53" s="105"/>
      <c r="I53" s="105"/>
      <c r="J53" s="158"/>
      <c r="K53" s="110"/>
    </row>
    <row r="54" spans="1:11" ht="15" customHeight="1">
      <c r="A54" s="103"/>
      <c r="B54" s="984">
        <v>40</v>
      </c>
      <c r="C54" s="145" t="str">
        <f t="shared" si="5"/>
        <v/>
      </c>
      <c r="D54" s="145" t="str">
        <f t="shared" si="6"/>
        <v/>
      </c>
      <c r="E54" s="145" t="str">
        <f t="shared" si="7"/>
        <v/>
      </c>
      <c r="F54" s="145" t="str">
        <f t="shared" si="8"/>
        <v/>
      </c>
      <c r="G54" s="985" t="str">
        <f t="shared" si="9"/>
        <v/>
      </c>
      <c r="H54" s="105"/>
      <c r="I54" s="105"/>
      <c r="J54" s="158"/>
      <c r="K54" s="110"/>
    </row>
    <row r="55" spans="1:11" ht="15" customHeight="1">
      <c r="A55" s="103"/>
      <c r="B55" s="984">
        <v>41</v>
      </c>
      <c r="C55" s="145" t="str">
        <f t="shared" si="5"/>
        <v/>
      </c>
      <c r="D55" s="145" t="str">
        <f t="shared" si="6"/>
        <v/>
      </c>
      <c r="E55" s="145" t="str">
        <f t="shared" si="7"/>
        <v/>
      </c>
      <c r="F55" s="145" t="str">
        <f t="shared" si="8"/>
        <v/>
      </c>
      <c r="G55" s="985" t="str">
        <f t="shared" si="9"/>
        <v/>
      </c>
      <c r="H55" s="105"/>
      <c r="I55" s="105"/>
      <c r="J55" s="158"/>
      <c r="K55" s="110"/>
    </row>
    <row r="56" spans="1:11" ht="15" customHeight="1">
      <c r="A56" s="103"/>
      <c r="B56" s="984">
        <v>42</v>
      </c>
      <c r="C56" s="145" t="str">
        <f t="shared" si="5"/>
        <v/>
      </c>
      <c r="D56" s="145" t="str">
        <f t="shared" si="6"/>
        <v/>
      </c>
      <c r="E56" s="145" t="str">
        <f t="shared" si="7"/>
        <v/>
      </c>
      <c r="F56" s="145" t="str">
        <f t="shared" si="8"/>
        <v/>
      </c>
      <c r="G56" s="985" t="str">
        <f t="shared" si="9"/>
        <v/>
      </c>
      <c r="H56" s="105"/>
      <c r="I56" s="105"/>
      <c r="J56" s="158"/>
      <c r="K56" s="110"/>
    </row>
    <row r="57" spans="1:11" ht="15" customHeight="1">
      <c r="A57" s="103"/>
      <c r="B57" s="984">
        <v>43</v>
      </c>
      <c r="C57" s="145" t="str">
        <f t="shared" si="5"/>
        <v/>
      </c>
      <c r="D57" s="145" t="str">
        <f t="shared" si="6"/>
        <v/>
      </c>
      <c r="E57" s="145" t="str">
        <f t="shared" si="7"/>
        <v/>
      </c>
      <c r="F57" s="145" t="str">
        <f t="shared" si="8"/>
        <v/>
      </c>
      <c r="G57" s="985" t="str">
        <f t="shared" si="9"/>
        <v/>
      </c>
      <c r="H57" s="105"/>
      <c r="I57" s="105"/>
      <c r="J57" s="158"/>
      <c r="K57" s="110"/>
    </row>
    <row r="58" spans="1:11" ht="15" customHeight="1">
      <c r="A58" s="103"/>
      <c r="B58" s="984">
        <v>44</v>
      </c>
      <c r="C58" s="145" t="str">
        <f t="shared" si="5"/>
        <v/>
      </c>
      <c r="D58" s="145" t="str">
        <f t="shared" si="6"/>
        <v/>
      </c>
      <c r="E58" s="145" t="str">
        <f t="shared" si="7"/>
        <v/>
      </c>
      <c r="F58" s="145" t="str">
        <f t="shared" si="8"/>
        <v/>
      </c>
      <c r="G58" s="985" t="str">
        <f t="shared" si="9"/>
        <v/>
      </c>
      <c r="H58" s="105"/>
      <c r="I58" s="105"/>
      <c r="J58" s="158"/>
      <c r="K58" s="110"/>
    </row>
    <row r="59" spans="1:11" ht="15" customHeight="1">
      <c r="A59" s="103"/>
      <c r="B59" s="984">
        <v>45</v>
      </c>
      <c r="C59" s="145" t="str">
        <f t="shared" si="5"/>
        <v/>
      </c>
      <c r="D59" s="145" t="str">
        <f t="shared" si="6"/>
        <v/>
      </c>
      <c r="E59" s="145" t="str">
        <f t="shared" si="7"/>
        <v/>
      </c>
      <c r="F59" s="145" t="str">
        <f t="shared" si="8"/>
        <v/>
      </c>
      <c r="G59" s="985" t="str">
        <f t="shared" si="9"/>
        <v/>
      </c>
      <c r="H59" s="105"/>
      <c r="I59" s="105"/>
      <c r="J59" s="158"/>
      <c r="K59" s="110"/>
    </row>
    <row r="60" spans="1:11" ht="15" customHeight="1">
      <c r="A60" s="103"/>
      <c r="B60" s="984">
        <v>46</v>
      </c>
      <c r="C60" s="145" t="str">
        <f t="shared" si="5"/>
        <v/>
      </c>
      <c r="D60" s="145" t="str">
        <f t="shared" si="6"/>
        <v/>
      </c>
      <c r="E60" s="145" t="str">
        <f t="shared" si="7"/>
        <v/>
      </c>
      <c r="F60" s="145" t="str">
        <f t="shared" si="8"/>
        <v/>
      </c>
      <c r="G60" s="985" t="str">
        <f t="shared" si="9"/>
        <v/>
      </c>
      <c r="H60" s="105"/>
      <c r="I60" s="105"/>
      <c r="J60" s="105"/>
      <c r="K60" s="110"/>
    </row>
    <row r="61" spans="1:11" ht="15" customHeight="1">
      <c r="A61" s="103"/>
      <c r="B61" s="984">
        <v>47</v>
      </c>
      <c r="C61" s="145" t="str">
        <f t="shared" si="5"/>
        <v/>
      </c>
      <c r="D61" s="145" t="str">
        <f t="shared" si="6"/>
        <v/>
      </c>
      <c r="E61" s="145" t="str">
        <f t="shared" si="7"/>
        <v/>
      </c>
      <c r="F61" s="145" t="str">
        <f t="shared" si="8"/>
        <v/>
      </c>
      <c r="G61" s="985" t="str">
        <f t="shared" si="9"/>
        <v/>
      </c>
      <c r="H61" s="105"/>
      <c r="I61" s="105"/>
      <c r="J61" s="105"/>
      <c r="K61" s="110"/>
    </row>
    <row r="62" spans="1:11" ht="15" customHeight="1">
      <c r="A62" s="103"/>
      <c r="B62" s="984">
        <v>48</v>
      </c>
      <c r="C62" s="145" t="str">
        <f t="shared" si="5"/>
        <v/>
      </c>
      <c r="D62" s="145" t="str">
        <f t="shared" si="6"/>
        <v/>
      </c>
      <c r="E62" s="145" t="str">
        <f t="shared" si="7"/>
        <v/>
      </c>
      <c r="F62" s="145" t="str">
        <f t="shared" si="8"/>
        <v/>
      </c>
      <c r="G62" s="985" t="str">
        <f t="shared" si="9"/>
        <v/>
      </c>
      <c r="H62" s="105"/>
      <c r="I62" s="105"/>
      <c r="J62" s="105"/>
      <c r="K62" s="110"/>
    </row>
    <row r="63" spans="1:11" ht="15" customHeight="1">
      <c r="A63" s="103"/>
      <c r="B63" s="984">
        <v>49</v>
      </c>
      <c r="C63" s="145" t="str">
        <f t="shared" si="5"/>
        <v/>
      </c>
      <c r="D63" s="145" t="str">
        <f t="shared" si="6"/>
        <v/>
      </c>
      <c r="E63" s="145" t="str">
        <f t="shared" si="7"/>
        <v/>
      </c>
      <c r="F63" s="145" t="str">
        <f t="shared" si="8"/>
        <v/>
      </c>
      <c r="G63" s="985" t="str">
        <f t="shared" si="9"/>
        <v/>
      </c>
      <c r="H63" s="105"/>
      <c r="I63" s="105"/>
      <c r="J63" s="105"/>
      <c r="K63" s="110"/>
    </row>
    <row r="64" spans="1:11" ht="15" customHeight="1">
      <c r="A64" s="103"/>
      <c r="B64" s="984">
        <v>50</v>
      </c>
      <c r="C64" s="145" t="str">
        <f t="shared" si="5"/>
        <v/>
      </c>
      <c r="D64" s="145" t="str">
        <f t="shared" si="6"/>
        <v/>
      </c>
      <c r="E64" s="145" t="str">
        <f t="shared" si="7"/>
        <v/>
      </c>
      <c r="F64" s="145" t="str">
        <f t="shared" si="8"/>
        <v/>
      </c>
      <c r="G64" s="985" t="str">
        <f t="shared" si="9"/>
        <v/>
      </c>
      <c r="H64" s="105"/>
      <c r="I64" s="105"/>
      <c r="J64" s="105"/>
      <c r="K64" s="110"/>
    </row>
    <row r="65" spans="1:11" ht="15" customHeight="1">
      <c r="A65" s="103"/>
      <c r="B65" s="984">
        <v>51</v>
      </c>
      <c r="C65" s="145" t="str">
        <f t="shared" si="5"/>
        <v/>
      </c>
      <c r="D65" s="145" t="str">
        <f t="shared" si="6"/>
        <v/>
      </c>
      <c r="E65" s="145" t="str">
        <f t="shared" si="7"/>
        <v/>
      </c>
      <c r="F65" s="145" t="str">
        <f t="shared" si="8"/>
        <v/>
      </c>
      <c r="G65" s="985" t="str">
        <f t="shared" si="9"/>
        <v/>
      </c>
      <c r="H65" s="105"/>
      <c r="I65" s="105"/>
      <c r="J65" s="105"/>
      <c r="K65" s="110"/>
    </row>
    <row r="66" spans="1:11" ht="15" customHeight="1">
      <c r="A66" s="103"/>
      <c r="B66" s="984">
        <v>52</v>
      </c>
      <c r="C66" s="145" t="str">
        <f t="shared" si="5"/>
        <v/>
      </c>
      <c r="D66" s="145" t="str">
        <f t="shared" si="6"/>
        <v/>
      </c>
      <c r="E66" s="145" t="str">
        <f t="shared" si="7"/>
        <v/>
      </c>
      <c r="F66" s="145" t="str">
        <f t="shared" si="8"/>
        <v/>
      </c>
      <c r="G66" s="985" t="str">
        <f t="shared" si="9"/>
        <v/>
      </c>
      <c r="H66" s="105"/>
      <c r="I66" s="105"/>
      <c r="J66" s="105"/>
      <c r="K66" s="110"/>
    </row>
    <row r="67" spans="1:11" ht="15" customHeight="1">
      <c r="A67" s="103"/>
      <c r="B67" s="984">
        <v>53</v>
      </c>
      <c r="C67" s="145" t="str">
        <f t="shared" si="5"/>
        <v/>
      </c>
      <c r="D67" s="145" t="str">
        <f t="shared" si="6"/>
        <v/>
      </c>
      <c r="E67" s="145" t="str">
        <f t="shared" si="7"/>
        <v/>
      </c>
      <c r="F67" s="145" t="str">
        <f t="shared" si="8"/>
        <v/>
      </c>
      <c r="G67" s="985" t="str">
        <f t="shared" si="9"/>
        <v/>
      </c>
      <c r="H67" s="105"/>
      <c r="I67" s="105"/>
      <c r="J67" s="105"/>
      <c r="K67" s="110"/>
    </row>
    <row r="68" spans="1:11" ht="15" customHeight="1">
      <c r="A68" s="103"/>
      <c r="B68" s="984">
        <v>54</v>
      </c>
      <c r="C68" s="145" t="str">
        <f t="shared" si="5"/>
        <v/>
      </c>
      <c r="D68" s="145" t="str">
        <f t="shared" si="6"/>
        <v/>
      </c>
      <c r="E68" s="145" t="str">
        <f t="shared" si="7"/>
        <v/>
      </c>
      <c r="F68" s="145" t="str">
        <f t="shared" si="8"/>
        <v/>
      </c>
      <c r="G68" s="985" t="str">
        <f t="shared" si="9"/>
        <v/>
      </c>
      <c r="H68" s="105"/>
      <c r="I68" s="105"/>
      <c r="J68" s="105"/>
      <c r="K68" s="110"/>
    </row>
    <row r="69" spans="1:11" ht="15" customHeight="1">
      <c r="A69" s="103"/>
      <c r="B69" s="984">
        <v>55</v>
      </c>
      <c r="C69" s="145" t="str">
        <f t="shared" si="5"/>
        <v/>
      </c>
      <c r="D69" s="145" t="str">
        <f t="shared" si="6"/>
        <v/>
      </c>
      <c r="E69" s="145" t="str">
        <f t="shared" si="7"/>
        <v/>
      </c>
      <c r="F69" s="145" t="str">
        <f t="shared" si="8"/>
        <v/>
      </c>
      <c r="G69" s="985" t="str">
        <f t="shared" si="9"/>
        <v/>
      </c>
      <c r="H69" s="105"/>
      <c r="I69" s="105"/>
      <c r="J69" s="105"/>
      <c r="K69" s="110"/>
    </row>
    <row r="70" spans="1:11" ht="15" customHeight="1">
      <c r="A70" s="103"/>
      <c r="B70" s="984">
        <v>56</v>
      </c>
      <c r="C70" s="145" t="str">
        <f t="shared" si="5"/>
        <v/>
      </c>
      <c r="D70" s="145" t="str">
        <f t="shared" si="6"/>
        <v/>
      </c>
      <c r="E70" s="145" t="str">
        <f t="shared" si="7"/>
        <v/>
      </c>
      <c r="F70" s="145" t="str">
        <f t="shared" si="8"/>
        <v/>
      </c>
      <c r="G70" s="985" t="str">
        <f t="shared" si="9"/>
        <v/>
      </c>
      <c r="H70" s="105"/>
      <c r="I70" s="105"/>
      <c r="J70" s="105"/>
      <c r="K70" s="110"/>
    </row>
    <row r="71" spans="1:11" ht="15" customHeight="1">
      <c r="A71" s="103"/>
      <c r="B71" s="984">
        <v>57</v>
      </c>
      <c r="C71" s="145" t="str">
        <f t="shared" si="5"/>
        <v/>
      </c>
      <c r="D71" s="145" t="str">
        <f t="shared" si="6"/>
        <v/>
      </c>
      <c r="E71" s="145" t="str">
        <f t="shared" si="7"/>
        <v/>
      </c>
      <c r="F71" s="145" t="str">
        <f t="shared" si="8"/>
        <v/>
      </c>
      <c r="G71" s="985" t="str">
        <f t="shared" si="9"/>
        <v/>
      </c>
      <c r="H71" s="105"/>
      <c r="I71" s="105"/>
      <c r="J71" s="105"/>
      <c r="K71" s="110"/>
    </row>
    <row r="72" spans="1:11" ht="15" customHeight="1">
      <c r="A72" s="103"/>
      <c r="B72" s="984">
        <v>58</v>
      </c>
      <c r="C72" s="145" t="str">
        <f t="shared" si="5"/>
        <v/>
      </c>
      <c r="D72" s="145" t="str">
        <f t="shared" si="6"/>
        <v/>
      </c>
      <c r="E72" s="145" t="str">
        <f t="shared" si="7"/>
        <v/>
      </c>
      <c r="F72" s="145" t="str">
        <f t="shared" si="8"/>
        <v/>
      </c>
      <c r="G72" s="985" t="str">
        <f t="shared" si="9"/>
        <v/>
      </c>
      <c r="H72" s="105"/>
      <c r="I72" s="105"/>
      <c r="J72" s="105"/>
      <c r="K72" s="110"/>
    </row>
    <row r="73" spans="1:11" ht="15" customHeight="1">
      <c r="A73" s="103"/>
      <c r="B73" s="984">
        <v>59</v>
      </c>
      <c r="C73" s="145" t="str">
        <f t="shared" si="5"/>
        <v/>
      </c>
      <c r="D73" s="145" t="str">
        <f t="shared" si="6"/>
        <v/>
      </c>
      <c r="E73" s="145" t="str">
        <f t="shared" si="7"/>
        <v/>
      </c>
      <c r="F73" s="145" t="str">
        <f t="shared" si="8"/>
        <v/>
      </c>
      <c r="G73" s="985" t="str">
        <f t="shared" si="9"/>
        <v/>
      </c>
      <c r="H73" s="105"/>
      <c r="I73" s="105"/>
      <c r="J73" s="105"/>
      <c r="K73" s="110"/>
    </row>
    <row r="74" spans="1:11" ht="15" customHeight="1">
      <c r="A74" s="103"/>
      <c r="B74" s="984">
        <v>60</v>
      </c>
      <c r="C74" s="145" t="str">
        <f t="shared" si="5"/>
        <v/>
      </c>
      <c r="D74" s="145" t="str">
        <f t="shared" si="6"/>
        <v/>
      </c>
      <c r="E74" s="145" t="str">
        <f t="shared" si="7"/>
        <v/>
      </c>
      <c r="F74" s="145" t="str">
        <f t="shared" si="8"/>
        <v/>
      </c>
      <c r="G74" s="985" t="str">
        <f t="shared" si="9"/>
        <v/>
      </c>
      <c r="H74" s="105"/>
      <c r="I74" s="105"/>
      <c r="J74" s="105"/>
      <c r="K74" s="110"/>
    </row>
    <row r="75" spans="1:11" ht="15" customHeight="1">
      <c r="A75" s="103"/>
      <c r="B75" s="984">
        <v>61</v>
      </c>
      <c r="C75" s="145" t="str">
        <f t="shared" si="5"/>
        <v/>
      </c>
      <c r="D75" s="145" t="str">
        <f t="shared" si="6"/>
        <v/>
      </c>
      <c r="E75" s="145" t="str">
        <f t="shared" si="7"/>
        <v/>
      </c>
      <c r="F75" s="145" t="str">
        <f t="shared" si="8"/>
        <v/>
      </c>
      <c r="G75" s="985" t="str">
        <f t="shared" si="9"/>
        <v/>
      </c>
      <c r="H75" s="105"/>
      <c r="I75" s="105"/>
      <c r="J75" s="105"/>
      <c r="K75" s="110"/>
    </row>
    <row r="76" spans="1:11" ht="15" customHeight="1">
      <c r="A76" s="103"/>
      <c r="B76" s="984">
        <v>62</v>
      </c>
      <c r="C76" s="145" t="str">
        <f t="shared" si="5"/>
        <v/>
      </c>
      <c r="D76" s="145" t="str">
        <f t="shared" si="6"/>
        <v/>
      </c>
      <c r="E76" s="145" t="str">
        <f t="shared" si="7"/>
        <v/>
      </c>
      <c r="F76" s="145" t="str">
        <f t="shared" si="8"/>
        <v/>
      </c>
      <c r="G76" s="985" t="str">
        <f t="shared" si="9"/>
        <v/>
      </c>
      <c r="H76" s="105"/>
      <c r="I76" s="105"/>
      <c r="J76" s="105"/>
      <c r="K76" s="110"/>
    </row>
    <row r="77" spans="1:11" ht="15" customHeight="1">
      <c r="A77" s="103"/>
      <c r="B77" s="984">
        <v>63</v>
      </c>
      <c r="C77" s="145" t="str">
        <f t="shared" si="5"/>
        <v/>
      </c>
      <c r="D77" s="145" t="str">
        <f t="shared" si="6"/>
        <v/>
      </c>
      <c r="E77" s="145" t="str">
        <f t="shared" si="7"/>
        <v/>
      </c>
      <c r="F77" s="145" t="str">
        <f t="shared" si="8"/>
        <v/>
      </c>
      <c r="G77" s="985" t="str">
        <f t="shared" si="9"/>
        <v/>
      </c>
      <c r="H77" s="105"/>
      <c r="I77" s="105"/>
      <c r="J77" s="105"/>
      <c r="K77" s="110"/>
    </row>
    <row r="78" spans="1:11" ht="15" customHeight="1">
      <c r="A78" s="103"/>
      <c r="B78" s="984">
        <v>64</v>
      </c>
      <c r="C78" s="145" t="str">
        <f t="shared" si="5"/>
        <v/>
      </c>
      <c r="D78" s="145" t="str">
        <f t="shared" si="6"/>
        <v/>
      </c>
      <c r="E78" s="145" t="str">
        <f t="shared" si="7"/>
        <v/>
      </c>
      <c r="F78" s="145" t="str">
        <f t="shared" si="8"/>
        <v/>
      </c>
      <c r="G78" s="985" t="str">
        <f t="shared" si="9"/>
        <v/>
      </c>
      <c r="H78" s="105"/>
      <c r="I78" s="105"/>
      <c r="J78" s="105"/>
      <c r="K78" s="110"/>
    </row>
    <row r="79" spans="1:11" ht="15" customHeight="1">
      <c r="A79" s="103"/>
      <c r="B79" s="984">
        <v>65</v>
      </c>
      <c r="C79" s="145" t="str">
        <f t="shared" ref="C79:C94" si="10">IF($F$4&gt;=B79,VLOOKUP(CONCATENATE("portfolio_",$B79),portfolio_p.p.,2,0),"")</f>
        <v/>
      </c>
      <c r="D79" s="145" t="str">
        <f t="shared" ref="D79:D94" si="11">IF($F$4&gt;=B79,VLOOKUP(CONCATENATE("portfolio_",$B79),portfolio_p.p.,3,0),"")</f>
        <v/>
      </c>
      <c r="E79" s="145" t="str">
        <f t="shared" ref="E79:E94" si="12">IF($F$4&gt;=B79,VLOOKUP(CONCATENATE("portfolio_",$B79),portfolio_p.p.,4,0),"")</f>
        <v/>
      </c>
      <c r="F79" s="145" t="str">
        <f t="shared" ref="F79:F94" si="13">IF($F$4&gt;=B79,VLOOKUP(CONCATENATE("portfolio_",$B79),portfolio_p.p.,5,0),"")</f>
        <v/>
      </c>
      <c r="G79" s="985" t="str">
        <f t="shared" ref="G79:G94" si="14">IF($F$4&gt;=B79,VLOOKUP(CONCATENATE("portfolio_",$B79),portfolio_p.p.,6,0),"")</f>
        <v/>
      </c>
      <c r="H79" s="105"/>
      <c r="I79" s="105"/>
      <c r="J79" s="105"/>
      <c r="K79" s="110"/>
    </row>
    <row r="80" spans="1:11" ht="15" customHeight="1">
      <c r="A80" s="103"/>
      <c r="B80" s="984">
        <v>66</v>
      </c>
      <c r="C80" s="145" t="str">
        <f t="shared" si="10"/>
        <v/>
      </c>
      <c r="D80" s="145" t="str">
        <f t="shared" si="11"/>
        <v/>
      </c>
      <c r="E80" s="145" t="str">
        <f t="shared" si="12"/>
        <v/>
      </c>
      <c r="F80" s="145" t="str">
        <f t="shared" si="13"/>
        <v/>
      </c>
      <c r="G80" s="985" t="str">
        <f t="shared" si="14"/>
        <v/>
      </c>
      <c r="H80" s="105"/>
      <c r="I80" s="105"/>
      <c r="J80" s="105"/>
      <c r="K80" s="110"/>
    </row>
    <row r="81" spans="1:11" ht="15" customHeight="1">
      <c r="A81" s="103"/>
      <c r="B81" s="984">
        <v>67</v>
      </c>
      <c r="C81" s="145" t="str">
        <f t="shared" si="10"/>
        <v/>
      </c>
      <c r="D81" s="145" t="str">
        <f t="shared" si="11"/>
        <v/>
      </c>
      <c r="E81" s="145" t="str">
        <f t="shared" si="12"/>
        <v/>
      </c>
      <c r="F81" s="145" t="str">
        <f t="shared" si="13"/>
        <v/>
      </c>
      <c r="G81" s="985" t="str">
        <f t="shared" si="14"/>
        <v/>
      </c>
      <c r="H81" s="105"/>
      <c r="I81" s="105"/>
      <c r="J81" s="105"/>
      <c r="K81" s="110"/>
    </row>
    <row r="82" spans="1:11" ht="15" customHeight="1">
      <c r="A82" s="103"/>
      <c r="B82" s="984">
        <v>68</v>
      </c>
      <c r="C82" s="145" t="str">
        <f t="shared" si="10"/>
        <v/>
      </c>
      <c r="D82" s="145" t="str">
        <f t="shared" si="11"/>
        <v/>
      </c>
      <c r="E82" s="145" t="str">
        <f t="shared" si="12"/>
        <v/>
      </c>
      <c r="F82" s="145" t="str">
        <f t="shared" si="13"/>
        <v/>
      </c>
      <c r="G82" s="985" t="str">
        <f t="shared" si="14"/>
        <v/>
      </c>
      <c r="H82" s="105"/>
      <c r="I82" s="105"/>
      <c r="J82" s="105"/>
      <c r="K82" s="110"/>
    </row>
    <row r="83" spans="1:11" ht="15" customHeight="1">
      <c r="A83" s="103"/>
      <c r="B83" s="984">
        <v>69</v>
      </c>
      <c r="C83" s="145" t="str">
        <f t="shared" si="10"/>
        <v/>
      </c>
      <c r="D83" s="145" t="str">
        <f t="shared" si="11"/>
        <v/>
      </c>
      <c r="E83" s="145" t="str">
        <f t="shared" si="12"/>
        <v/>
      </c>
      <c r="F83" s="145" t="str">
        <f t="shared" si="13"/>
        <v/>
      </c>
      <c r="G83" s="985" t="str">
        <f t="shared" si="14"/>
        <v/>
      </c>
      <c r="H83" s="105"/>
      <c r="I83" s="105"/>
      <c r="J83" s="105"/>
      <c r="K83" s="110"/>
    </row>
    <row r="84" spans="1:11" ht="15" customHeight="1">
      <c r="A84" s="103"/>
      <c r="B84" s="984">
        <v>70</v>
      </c>
      <c r="C84" s="145" t="str">
        <f t="shared" si="10"/>
        <v/>
      </c>
      <c r="D84" s="145" t="str">
        <f t="shared" si="11"/>
        <v/>
      </c>
      <c r="E84" s="145" t="str">
        <f t="shared" si="12"/>
        <v/>
      </c>
      <c r="F84" s="145" t="str">
        <f t="shared" si="13"/>
        <v/>
      </c>
      <c r="G84" s="985" t="str">
        <f t="shared" si="14"/>
        <v/>
      </c>
      <c r="H84" s="105"/>
      <c r="I84" s="105"/>
      <c r="J84" s="105"/>
      <c r="K84" s="110"/>
    </row>
    <row r="85" spans="1:11" ht="15" customHeight="1">
      <c r="A85" s="103"/>
      <c r="B85" s="984">
        <v>71</v>
      </c>
      <c r="C85" s="145" t="str">
        <f t="shared" si="10"/>
        <v/>
      </c>
      <c r="D85" s="145" t="str">
        <f t="shared" si="11"/>
        <v/>
      </c>
      <c r="E85" s="145" t="str">
        <f t="shared" si="12"/>
        <v/>
      </c>
      <c r="F85" s="145" t="str">
        <f t="shared" si="13"/>
        <v/>
      </c>
      <c r="G85" s="985" t="str">
        <f t="shared" si="14"/>
        <v/>
      </c>
      <c r="H85" s="105"/>
      <c r="I85" s="105"/>
      <c r="J85" s="105"/>
      <c r="K85" s="110"/>
    </row>
    <row r="86" spans="1:11" ht="15" customHeight="1">
      <c r="A86" s="103"/>
      <c r="B86" s="984">
        <v>72</v>
      </c>
      <c r="C86" s="145" t="str">
        <f t="shared" si="10"/>
        <v/>
      </c>
      <c r="D86" s="145" t="str">
        <f t="shared" si="11"/>
        <v/>
      </c>
      <c r="E86" s="145" t="str">
        <f t="shared" si="12"/>
        <v/>
      </c>
      <c r="F86" s="145" t="str">
        <f t="shared" si="13"/>
        <v/>
      </c>
      <c r="G86" s="985" t="str">
        <f t="shared" si="14"/>
        <v/>
      </c>
      <c r="H86" s="105"/>
      <c r="I86" s="105"/>
      <c r="J86" s="105"/>
      <c r="K86" s="110"/>
    </row>
    <row r="87" spans="1:11" ht="15" customHeight="1">
      <c r="A87" s="103"/>
      <c r="B87" s="984">
        <v>73</v>
      </c>
      <c r="C87" s="145" t="str">
        <f t="shared" si="10"/>
        <v/>
      </c>
      <c r="D87" s="145" t="str">
        <f t="shared" si="11"/>
        <v/>
      </c>
      <c r="E87" s="145" t="str">
        <f t="shared" si="12"/>
        <v/>
      </c>
      <c r="F87" s="145" t="str">
        <f t="shared" si="13"/>
        <v/>
      </c>
      <c r="G87" s="985" t="str">
        <f t="shared" si="14"/>
        <v/>
      </c>
      <c r="H87" s="105"/>
      <c r="I87" s="105"/>
      <c r="J87" s="105"/>
      <c r="K87" s="110"/>
    </row>
    <row r="88" spans="1:11" ht="15" customHeight="1">
      <c r="A88" s="103"/>
      <c r="B88" s="984">
        <v>74</v>
      </c>
      <c r="C88" s="145" t="str">
        <f t="shared" si="10"/>
        <v/>
      </c>
      <c r="D88" s="145" t="str">
        <f t="shared" si="11"/>
        <v/>
      </c>
      <c r="E88" s="145" t="str">
        <f t="shared" si="12"/>
        <v/>
      </c>
      <c r="F88" s="145" t="str">
        <f t="shared" si="13"/>
        <v/>
      </c>
      <c r="G88" s="985" t="str">
        <f t="shared" si="14"/>
        <v/>
      </c>
      <c r="H88" s="105"/>
      <c r="I88" s="105"/>
      <c r="J88" s="105"/>
      <c r="K88" s="110"/>
    </row>
    <row r="89" spans="1:11" ht="15" customHeight="1">
      <c r="A89" s="103"/>
      <c r="B89" s="984">
        <v>75</v>
      </c>
      <c r="C89" s="145" t="str">
        <f t="shared" si="10"/>
        <v/>
      </c>
      <c r="D89" s="145" t="str">
        <f t="shared" si="11"/>
        <v/>
      </c>
      <c r="E89" s="145" t="str">
        <f t="shared" si="12"/>
        <v/>
      </c>
      <c r="F89" s="145" t="str">
        <f t="shared" si="13"/>
        <v/>
      </c>
      <c r="G89" s="985" t="str">
        <f t="shared" si="14"/>
        <v/>
      </c>
      <c r="H89" s="105"/>
      <c r="I89" s="105"/>
      <c r="J89" s="105"/>
      <c r="K89" s="110"/>
    </row>
    <row r="90" spans="1:11" ht="15" customHeight="1">
      <c r="A90" s="103"/>
      <c r="B90" s="984">
        <v>76</v>
      </c>
      <c r="C90" s="145" t="str">
        <f t="shared" si="10"/>
        <v/>
      </c>
      <c r="D90" s="145" t="str">
        <f t="shared" si="11"/>
        <v/>
      </c>
      <c r="E90" s="145" t="str">
        <f t="shared" si="12"/>
        <v/>
      </c>
      <c r="F90" s="145" t="str">
        <f t="shared" si="13"/>
        <v/>
      </c>
      <c r="G90" s="985" t="str">
        <f t="shared" si="14"/>
        <v/>
      </c>
      <c r="H90" s="105"/>
      <c r="I90" s="105"/>
      <c r="J90" s="105"/>
      <c r="K90" s="110"/>
    </row>
    <row r="91" spans="1:11" ht="15" customHeight="1">
      <c r="A91" s="103"/>
      <c r="B91" s="984">
        <v>77</v>
      </c>
      <c r="C91" s="145" t="str">
        <f t="shared" si="10"/>
        <v/>
      </c>
      <c r="D91" s="145" t="str">
        <f t="shared" si="11"/>
        <v/>
      </c>
      <c r="E91" s="145" t="str">
        <f t="shared" si="12"/>
        <v/>
      </c>
      <c r="F91" s="145" t="str">
        <f t="shared" si="13"/>
        <v/>
      </c>
      <c r="G91" s="985" t="str">
        <f t="shared" si="14"/>
        <v/>
      </c>
      <c r="H91" s="105"/>
      <c r="I91" s="105"/>
      <c r="J91" s="105"/>
      <c r="K91" s="110"/>
    </row>
    <row r="92" spans="1:11" ht="15" customHeight="1">
      <c r="A92" s="103"/>
      <c r="B92" s="984">
        <v>78</v>
      </c>
      <c r="C92" s="145" t="str">
        <f t="shared" si="10"/>
        <v/>
      </c>
      <c r="D92" s="145" t="str">
        <f t="shared" si="11"/>
        <v/>
      </c>
      <c r="E92" s="145" t="str">
        <f t="shared" si="12"/>
        <v/>
      </c>
      <c r="F92" s="145" t="str">
        <f t="shared" si="13"/>
        <v/>
      </c>
      <c r="G92" s="985" t="str">
        <f t="shared" si="14"/>
        <v/>
      </c>
      <c r="H92" s="105"/>
      <c r="I92" s="105"/>
      <c r="J92" s="105"/>
      <c r="K92" s="110"/>
    </row>
    <row r="93" spans="1:11" ht="15" customHeight="1">
      <c r="A93" s="103"/>
      <c r="B93" s="984">
        <v>79</v>
      </c>
      <c r="C93" s="145" t="str">
        <f t="shared" si="10"/>
        <v/>
      </c>
      <c r="D93" s="145" t="str">
        <f t="shared" si="11"/>
        <v/>
      </c>
      <c r="E93" s="145" t="str">
        <f t="shared" si="12"/>
        <v/>
      </c>
      <c r="F93" s="145" t="str">
        <f t="shared" si="13"/>
        <v/>
      </c>
      <c r="G93" s="985" t="str">
        <f t="shared" si="14"/>
        <v/>
      </c>
      <c r="H93" s="105"/>
      <c r="I93" s="105"/>
      <c r="J93" s="105"/>
      <c r="K93" s="110"/>
    </row>
    <row r="94" spans="1:11" ht="15" customHeight="1">
      <c r="A94" s="103"/>
      <c r="B94" s="986">
        <v>80</v>
      </c>
      <c r="C94" s="987" t="str">
        <f t="shared" si="10"/>
        <v/>
      </c>
      <c r="D94" s="987" t="str">
        <f t="shared" si="11"/>
        <v/>
      </c>
      <c r="E94" s="987" t="str">
        <f t="shared" si="12"/>
        <v/>
      </c>
      <c r="F94" s="987" t="str">
        <f t="shared" si="13"/>
        <v/>
      </c>
      <c r="G94" s="988" t="str">
        <f t="shared" si="14"/>
        <v/>
      </c>
      <c r="H94" s="105"/>
      <c r="I94" s="105"/>
      <c r="J94" s="105"/>
      <c r="K94" s="110"/>
    </row>
    <row r="95" spans="1:11" ht="15" customHeight="1">
      <c r="A95" s="146"/>
      <c r="B95" s="148"/>
      <c r="C95" s="148"/>
      <c r="D95" s="148"/>
      <c r="E95" s="148"/>
      <c r="F95" s="148"/>
      <c r="G95" s="148"/>
      <c r="H95" s="148"/>
      <c r="I95" s="148"/>
      <c r="J95" s="148"/>
      <c r="K95" s="149"/>
    </row>
    <row r="96" spans="1:11" ht="15" customHeight="1">
      <c r="A96" s="980"/>
      <c r="B96" s="980"/>
      <c r="C96" s="980"/>
      <c r="D96" s="980"/>
      <c r="E96" s="980"/>
      <c r="F96" s="980"/>
      <c r="G96" s="980"/>
      <c r="H96" s="980"/>
      <c r="I96" s="980"/>
      <c r="J96" s="980"/>
      <c r="K96" s="980"/>
    </row>
    <row r="97" spans="1:11" ht="15" customHeight="1">
      <c r="A97" s="980"/>
      <c r="B97" s="980"/>
      <c r="C97" s="980"/>
      <c r="D97" s="980"/>
      <c r="E97" s="980"/>
      <c r="F97" s="980"/>
      <c r="G97" s="980"/>
      <c r="H97" s="980"/>
      <c r="I97" s="980"/>
      <c r="J97" s="980"/>
      <c r="K97" s="980"/>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637</v>
      </c>
      <c r="B1" t="s">
        <v>634</v>
      </c>
      <c r="C1" t="s">
        <v>606</v>
      </c>
      <c r="D1" t="s">
        <v>403</v>
      </c>
      <c r="E1" t="s">
        <v>642</v>
      </c>
      <c r="F1" t="s">
        <v>643</v>
      </c>
      <c r="G1" t="s">
        <v>644</v>
      </c>
      <c r="H1" t="s">
        <v>645</v>
      </c>
      <c r="I1" t="s">
        <v>646</v>
      </c>
      <c r="J1" t="s">
        <v>647</v>
      </c>
      <c r="K1" t="s">
        <v>648</v>
      </c>
    </row>
    <row r="2" spans="1:11">
      <c r="A2">
        <v>38</v>
      </c>
      <c r="B2" t="s">
        <v>762</v>
      </c>
      <c r="C2" s="512">
        <v>999999987.09000003</v>
      </c>
      <c r="D2" s="512">
        <v>0</v>
      </c>
      <c r="E2" s="512">
        <v>0</v>
      </c>
      <c r="F2" s="512">
        <v>0</v>
      </c>
      <c r="G2" s="512">
        <v>0</v>
      </c>
      <c r="H2" s="512">
        <v>0</v>
      </c>
      <c r="I2" s="512">
        <v>0</v>
      </c>
      <c r="J2" s="512">
        <v>0</v>
      </c>
      <c r="K2" s="512">
        <v>0</v>
      </c>
    </row>
    <row r="3" spans="1:11">
      <c r="A3">
        <v>38</v>
      </c>
      <c r="B3" t="s">
        <v>763</v>
      </c>
      <c r="C3" s="512">
        <v>999999994.49000001</v>
      </c>
      <c r="D3" s="512">
        <v>641380.18999999994</v>
      </c>
      <c r="E3" s="512">
        <v>1894731.03</v>
      </c>
      <c r="F3" s="512">
        <v>844156.63</v>
      </c>
      <c r="G3" s="512">
        <v>61173.599999999999</v>
      </c>
      <c r="H3" s="512">
        <v>10595.92</v>
      </c>
      <c r="I3" s="512">
        <v>33524.75</v>
      </c>
      <c r="J3" s="512">
        <v>20817.8</v>
      </c>
      <c r="K3" s="512">
        <v>1115.72</v>
      </c>
    </row>
    <row r="4" spans="1:11">
      <c r="A4">
        <v>38</v>
      </c>
      <c r="B4" t="s">
        <v>764</v>
      </c>
      <c r="C4" s="512">
        <v>999999997.66999996</v>
      </c>
      <c r="D4" s="512">
        <v>2165080.7799999998</v>
      </c>
      <c r="E4" s="512">
        <v>1060540.6299999999</v>
      </c>
      <c r="F4" s="512">
        <v>2578767.3199999998</v>
      </c>
      <c r="G4" s="512">
        <v>725701.01</v>
      </c>
      <c r="H4" s="512">
        <v>38857.96</v>
      </c>
      <c r="I4" s="512">
        <v>23276.06</v>
      </c>
      <c r="J4" s="512">
        <v>66075.42</v>
      </c>
      <c r="K4" s="512">
        <v>32048.15</v>
      </c>
    </row>
    <row r="5" spans="1:11">
      <c r="A5">
        <v>38</v>
      </c>
      <c r="B5" t="s">
        <v>765</v>
      </c>
      <c r="C5" s="512">
        <v>999999994</v>
      </c>
      <c r="D5" s="512">
        <v>1781232.01</v>
      </c>
      <c r="E5" s="512">
        <v>2899036.17</v>
      </c>
      <c r="F5" s="512">
        <v>795324.06</v>
      </c>
      <c r="G5" s="512">
        <v>2634984.34</v>
      </c>
      <c r="H5" s="512">
        <v>35239.339999999997</v>
      </c>
      <c r="I5" s="512">
        <v>72906.13</v>
      </c>
      <c r="J5" s="512">
        <v>32560.34</v>
      </c>
      <c r="K5" s="512">
        <v>127807.92</v>
      </c>
    </row>
    <row r="6" spans="1:11">
      <c r="A6">
        <v>38</v>
      </c>
      <c r="B6" t="s">
        <v>766</v>
      </c>
      <c r="C6" s="512">
        <v>999999989.13999999</v>
      </c>
      <c r="D6" s="512">
        <v>860512.44</v>
      </c>
      <c r="E6" s="512">
        <v>2266862.75</v>
      </c>
      <c r="F6" s="512">
        <v>2762908.48</v>
      </c>
      <c r="G6" s="512">
        <v>4198265.92</v>
      </c>
      <c r="H6" s="512">
        <v>17388.240000000002</v>
      </c>
      <c r="I6" s="512">
        <v>52606.25</v>
      </c>
      <c r="J6" s="512">
        <v>88892.45</v>
      </c>
      <c r="K6" s="512">
        <v>218633.35</v>
      </c>
    </row>
    <row r="7" spans="1:11">
      <c r="A7">
        <v>38</v>
      </c>
      <c r="B7" t="s">
        <v>767</v>
      </c>
      <c r="C7" s="512">
        <v>999999997.64999998</v>
      </c>
      <c r="D7" s="512">
        <v>2543997.92</v>
      </c>
      <c r="E7" s="512">
        <v>3376601.62</v>
      </c>
      <c r="F7" s="512">
        <v>2436455.5099999998</v>
      </c>
      <c r="G7" s="512">
        <v>2844720.69</v>
      </c>
      <c r="H7" s="512">
        <v>48328.81</v>
      </c>
      <c r="I7" s="512">
        <v>92329.18</v>
      </c>
      <c r="J7" s="512">
        <v>105589.05</v>
      </c>
      <c r="K7" s="512">
        <v>166571.70000000001</v>
      </c>
    </row>
    <row r="8" spans="1:11">
      <c r="A8">
        <v>38</v>
      </c>
      <c r="B8" t="s">
        <v>768</v>
      </c>
      <c r="C8" s="512">
        <v>999999996.75</v>
      </c>
      <c r="D8" s="512">
        <v>954864.9</v>
      </c>
      <c r="E8" s="512">
        <v>5145832.87</v>
      </c>
      <c r="F8" s="512">
        <v>2763720.24</v>
      </c>
      <c r="G8" s="512">
        <v>2757097.57</v>
      </c>
      <c r="H8" s="512">
        <v>19173.43</v>
      </c>
      <c r="I8" s="512">
        <v>123523.89</v>
      </c>
      <c r="J8" s="512">
        <v>111381.7</v>
      </c>
      <c r="K8" s="512">
        <v>162847.04999999999</v>
      </c>
    </row>
    <row r="9" spans="1:11">
      <c r="A9">
        <v>38</v>
      </c>
      <c r="B9" t="s">
        <v>769</v>
      </c>
      <c r="C9" s="512">
        <v>999999997.39999998</v>
      </c>
      <c r="D9" s="512">
        <v>2864134.06</v>
      </c>
      <c r="E9" s="512">
        <v>3671378.04</v>
      </c>
      <c r="F9" s="512">
        <v>2672979.02</v>
      </c>
      <c r="G9" s="512">
        <v>3346589.7</v>
      </c>
      <c r="H9" s="512">
        <v>57954.94</v>
      </c>
      <c r="I9" s="512">
        <v>100296.92</v>
      </c>
      <c r="J9" s="512">
        <v>112061.17</v>
      </c>
      <c r="K9" s="512">
        <v>196634.41</v>
      </c>
    </row>
    <row r="10" spans="1:11">
      <c r="A10">
        <v>38</v>
      </c>
      <c r="B10" t="s">
        <v>770</v>
      </c>
      <c r="C10" s="512">
        <v>999999977.96000004</v>
      </c>
      <c r="D10" s="512">
        <v>1065451.69</v>
      </c>
      <c r="E10" s="512">
        <v>3999926.34</v>
      </c>
      <c r="F10" s="512">
        <v>3994959.29</v>
      </c>
      <c r="G10" s="512">
        <v>5266748.99</v>
      </c>
      <c r="H10" s="512">
        <v>20269.759999999998</v>
      </c>
      <c r="I10" s="512">
        <v>91502.86</v>
      </c>
      <c r="J10" s="512">
        <v>126134.99</v>
      </c>
      <c r="K10" s="512">
        <v>286237.99</v>
      </c>
    </row>
    <row r="11" spans="1:11">
      <c r="A11">
        <v>38</v>
      </c>
      <c r="B11" t="s">
        <v>771</v>
      </c>
      <c r="C11" s="512">
        <v>999999995.70000005</v>
      </c>
      <c r="D11" s="512">
        <v>3250747.46</v>
      </c>
      <c r="E11" s="512">
        <v>1215052.8799999999</v>
      </c>
      <c r="F11" s="512">
        <v>4064701.73</v>
      </c>
      <c r="G11" s="512">
        <v>5563315.0599999996</v>
      </c>
      <c r="H11" s="512">
        <v>62002.74</v>
      </c>
      <c r="I11" s="512">
        <v>32092.02</v>
      </c>
      <c r="J11" s="512">
        <v>137896.07999999999</v>
      </c>
      <c r="K11" s="512">
        <v>295601.15999999997</v>
      </c>
    </row>
    <row r="12" spans="1:11">
      <c r="A12">
        <v>38</v>
      </c>
      <c r="B12" t="s">
        <v>772</v>
      </c>
      <c r="C12" s="512">
        <v>999999981.96000004</v>
      </c>
      <c r="D12" s="512">
        <v>1111463.21</v>
      </c>
      <c r="E12" s="512">
        <v>3290646.07</v>
      </c>
      <c r="F12" s="512">
        <v>3538383</v>
      </c>
      <c r="G12" s="512">
        <v>6510756</v>
      </c>
      <c r="H12" s="512">
        <v>24170.94</v>
      </c>
      <c r="I12" s="512">
        <v>78220.7</v>
      </c>
      <c r="J12" s="512">
        <v>109574.06</v>
      </c>
      <c r="K12" s="512">
        <v>349610.23999999999</v>
      </c>
    </row>
    <row r="13" spans="1:11">
      <c r="A13">
        <v>38</v>
      </c>
      <c r="B13" t="s">
        <v>773</v>
      </c>
      <c r="C13" s="512">
        <v>999530391.04999995</v>
      </c>
      <c r="D13" s="512">
        <v>1104492.49</v>
      </c>
      <c r="E13" s="512">
        <v>3745027.68</v>
      </c>
      <c r="F13" s="512">
        <v>3444484.59</v>
      </c>
      <c r="G13" s="512">
        <v>6265484.4199999999</v>
      </c>
      <c r="H13" s="512">
        <v>20783.16</v>
      </c>
      <c r="I13" s="512">
        <v>82604.86</v>
      </c>
      <c r="J13" s="512">
        <v>109012.93</v>
      </c>
      <c r="K13" s="512">
        <v>331276.62</v>
      </c>
    </row>
    <row r="14" spans="1:11">
      <c r="A14">
        <v>38</v>
      </c>
      <c r="B14" t="s">
        <v>774</v>
      </c>
      <c r="C14" s="512">
        <v>999580049.78999996</v>
      </c>
      <c r="D14" s="512">
        <v>4151380.28</v>
      </c>
      <c r="E14" s="512">
        <v>3804017.99</v>
      </c>
      <c r="F14" s="512">
        <v>1411264.7</v>
      </c>
      <c r="G14" s="512">
        <v>6179967.3399999999</v>
      </c>
      <c r="H14" s="512">
        <v>76155.69</v>
      </c>
      <c r="I14" s="512">
        <v>107896.03</v>
      </c>
      <c r="J14" s="512">
        <v>55672.76</v>
      </c>
      <c r="K14" s="512">
        <v>324997.02</v>
      </c>
    </row>
    <row r="15" spans="1:11">
      <c r="A15">
        <v>38</v>
      </c>
      <c r="B15" t="s">
        <v>775</v>
      </c>
      <c r="C15" s="512">
        <v>972266109.07000005</v>
      </c>
      <c r="D15" s="512">
        <v>1607009.74</v>
      </c>
      <c r="E15" s="512">
        <v>4520145.3</v>
      </c>
      <c r="F15" s="512">
        <v>4047145.59</v>
      </c>
      <c r="G15" s="512">
        <v>6202633.3799999999</v>
      </c>
      <c r="H15" s="512">
        <v>29093.53</v>
      </c>
      <c r="I15" s="512">
        <v>101361.68</v>
      </c>
      <c r="J15" s="512">
        <v>125413.59</v>
      </c>
      <c r="K15" s="512">
        <v>340443.43</v>
      </c>
    </row>
    <row r="16" spans="1:11">
      <c r="A16">
        <v>38</v>
      </c>
      <c r="B16" t="s">
        <v>776</v>
      </c>
      <c r="C16" s="512">
        <v>944785206.34000003</v>
      </c>
      <c r="D16" s="512">
        <v>3552122.7</v>
      </c>
      <c r="E16" s="512">
        <v>1608436.98</v>
      </c>
      <c r="F16" s="512">
        <v>4962406.83</v>
      </c>
      <c r="G16" s="512">
        <v>6386006.2400000002</v>
      </c>
      <c r="H16" s="512">
        <v>68916.05</v>
      </c>
      <c r="I16" s="512">
        <v>46258.26</v>
      </c>
      <c r="J16" s="512">
        <v>164801.21</v>
      </c>
      <c r="K16" s="512">
        <v>344218.49</v>
      </c>
    </row>
    <row r="17" spans="1:11">
      <c r="A17">
        <v>38</v>
      </c>
      <c r="B17" t="s">
        <v>777</v>
      </c>
      <c r="C17" s="512">
        <v>921970706.57000005</v>
      </c>
      <c r="D17" s="512">
        <v>3147158.13</v>
      </c>
      <c r="E17" s="512">
        <v>3933297.21</v>
      </c>
      <c r="F17" s="512">
        <v>3839134.43</v>
      </c>
      <c r="G17" s="512">
        <v>4811470.7699999996</v>
      </c>
      <c r="H17" s="512">
        <v>63559.8</v>
      </c>
      <c r="I17" s="512">
        <v>110842.28</v>
      </c>
      <c r="J17" s="512">
        <v>172288.16</v>
      </c>
      <c r="K17" s="512">
        <v>283593.82</v>
      </c>
    </row>
    <row r="18" spans="1:11">
      <c r="A18">
        <v>38</v>
      </c>
      <c r="B18" t="s">
        <v>778</v>
      </c>
      <c r="C18" s="512">
        <v>890117850.69000006</v>
      </c>
      <c r="D18" s="512">
        <v>1252628.08</v>
      </c>
      <c r="E18" s="512">
        <v>4057655.83</v>
      </c>
      <c r="F18" s="512">
        <v>3440436.28</v>
      </c>
      <c r="G18" s="512">
        <v>7103166.5499999998</v>
      </c>
      <c r="H18" s="512">
        <v>26189.86</v>
      </c>
      <c r="I18" s="512">
        <v>92580.37</v>
      </c>
      <c r="J18" s="512">
        <v>115260.9</v>
      </c>
      <c r="K18" s="512">
        <v>408986.64</v>
      </c>
    </row>
    <row r="19" spans="1:11">
      <c r="A19">
        <v>38</v>
      </c>
      <c r="B19" t="s">
        <v>779</v>
      </c>
      <c r="C19" s="512">
        <v>861730634.76999998</v>
      </c>
      <c r="D19" s="512">
        <v>3912154.3</v>
      </c>
      <c r="E19" s="512">
        <v>4270575.5199999996</v>
      </c>
      <c r="F19" s="512">
        <v>1307688.81</v>
      </c>
      <c r="G19" s="512">
        <v>6425133.1600000001</v>
      </c>
      <c r="H19" s="512">
        <v>74325.73</v>
      </c>
      <c r="I19" s="512">
        <v>118607.69</v>
      </c>
      <c r="J19" s="512">
        <v>56711.53</v>
      </c>
      <c r="K19" s="512">
        <v>368524.51</v>
      </c>
    </row>
    <row r="20" spans="1:11">
      <c r="A20">
        <v>38</v>
      </c>
      <c r="B20" t="s">
        <v>780</v>
      </c>
      <c r="C20" s="512">
        <v>835033301.62</v>
      </c>
      <c r="D20" s="512">
        <v>3897092.13</v>
      </c>
      <c r="E20" s="512">
        <v>4002286.96</v>
      </c>
      <c r="F20" s="512">
        <v>3502789.87</v>
      </c>
      <c r="G20" s="512">
        <v>5126557.96</v>
      </c>
      <c r="H20" s="512">
        <v>74354.179999999993</v>
      </c>
      <c r="I20" s="512">
        <v>116878.01</v>
      </c>
      <c r="J20" s="512">
        <v>155320.56</v>
      </c>
      <c r="K20" s="512">
        <v>326788.03000000003</v>
      </c>
    </row>
    <row r="21" spans="1:11">
      <c r="A21">
        <v>38</v>
      </c>
      <c r="B21" t="s">
        <v>781</v>
      </c>
      <c r="C21" s="512">
        <v>808209422.54999995</v>
      </c>
      <c r="D21" s="512">
        <v>3499175.3</v>
      </c>
      <c r="E21" s="512">
        <v>1293454.3999999999</v>
      </c>
      <c r="F21" s="512">
        <v>5482911.96</v>
      </c>
      <c r="G21" s="512">
        <v>4674976.26</v>
      </c>
      <c r="H21" s="512">
        <v>70417.240000000005</v>
      </c>
      <c r="I21" s="512">
        <v>37283.019999999997</v>
      </c>
      <c r="J21" s="512">
        <v>210847.73</v>
      </c>
      <c r="K21" s="512">
        <v>294734.78999999998</v>
      </c>
    </row>
    <row r="22" spans="1:11">
      <c r="A22">
        <v>38</v>
      </c>
      <c r="B22" t="s">
        <v>782</v>
      </c>
      <c r="C22" s="512">
        <v>782196586.96000004</v>
      </c>
      <c r="D22" s="512">
        <v>801151.12</v>
      </c>
      <c r="E22" s="512">
        <v>3187482.48</v>
      </c>
      <c r="F22" s="512">
        <v>3171427.94</v>
      </c>
      <c r="G22" s="512">
        <v>5867506.4900000002</v>
      </c>
      <c r="H22" s="512">
        <v>19198.310000000001</v>
      </c>
      <c r="I22" s="512">
        <v>72831.960000000006</v>
      </c>
      <c r="J22" s="512">
        <v>110496.1</v>
      </c>
      <c r="K22" s="512">
        <v>351916.66</v>
      </c>
    </row>
    <row r="23" spans="1:11">
      <c r="A23">
        <v>38</v>
      </c>
      <c r="B23" t="s">
        <v>783</v>
      </c>
      <c r="C23" s="512">
        <v>757456618.62</v>
      </c>
      <c r="D23" s="512">
        <v>3983534.98</v>
      </c>
      <c r="E23" s="512">
        <v>3944100.01</v>
      </c>
      <c r="F23" s="512">
        <v>2703830.75</v>
      </c>
      <c r="G23" s="512">
        <v>4044073.38</v>
      </c>
      <c r="H23" s="512">
        <v>82672.86</v>
      </c>
      <c r="I23" s="512">
        <v>120773.22</v>
      </c>
      <c r="J23" s="512">
        <v>126120.51</v>
      </c>
      <c r="K23" s="512">
        <v>273717.28000000003</v>
      </c>
    </row>
    <row r="24" spans="1:11">
      <c r="A24">
        <v>38</v>
      </c>
      <c r="B24" t="s">
        <v>784</v>
      </c>
      <c r="C24" s="512">
        <v>731399238.96000004</v>
      </c>
      <c r="D24" s="512">
        <v>1386139.24</v>
      </c>
      <c r="E24" s="512">
        <v>3071441.39</v>
      </c>
      <c r="F24" s="512">
        <v>3509600.48</v>
      </c>
      <c r="G24" s="512">
        <v>4911018.4400000004</v>
      </c>
      <c r="H24" s="512">
        <v>28491.77</v>
      </c>
      <c r="I24" s="512">
        <v>74536.66</v>
      </c>
      <c r="J24" s="512">
        <v>123429.46</v>
      </c>
      <c r="K24" s="512">
        <v>286373.24</v>
      </c>
    </row>
    <row r="25" spans="1:11">
      <c r="A25">
        <v>38</v>
      </c>
      <c r="B25" t="s">
        <v>785</v>
      </c>
      <c r="C25" s="512">
        <v>707906332.38</v>
      </c>
      <c r="D25" s="512">
        <v>3944594.97</v>
      </c>
      <c r="E25" s="512">
        <v>1505322.97</v>
      </c>
      <c r="F25" s="512">
        <v>3326455.77</v>
      </c>
      <c r="G25" s="512">
        <v>5508688.6100000003</v>
      </c>
      <c r="H25" s="512">
        <v>76798.86</v>
      </c>
      <c r="I25" s="512">
        <v>45492.03</v>
      </c>
      <c r="J25" s="512">
        <v>115338.69</v>
      </c>
      <c r="K25" s="512">
        <v>307065.43</v>
      </c>
    </row>
    <row r="26" spans="1:11">
      <c r="A26">
        <v>38</v>
      </c>
      <c r="B26" t="s">
        <v>786</v>
      </c>
      <c r="C26" s="512">
        <v>686245897.63999999</v>
      </c>
      <c r="D26" s="512">
        <v>3390577.89</v>
      </c>
      <c r="E26" s="512">
        <v>1391601.05</v>
      </c>
      <c r="F26" s="512">
        <v>3918207.71</v>
      </c>
      <c r="G26" s="512">
        <v>5636807.7000000002</v>
      </c>
      <c r="H26" s="512">
        <v>70224.31</v>
      </c>
      <c r="I26" s="512">
        <v>38451.49</v>
      </c>
      <c r="J26" s="512">
        <v>132382.25</v>
      </c>
      <c r="K26" s="512">
        <v>329649.24</v>
      </c>
    </row>
    <row r="27" spans="1:11">
      <c r="A27">
        <v>38</v>
      </c>
      <c r="B27" t="s">
        <v>787</v>
      </c>
      <c r="C27" s="512">
        <v>663524217.88999999</v>
      </c>
      <c r="D27" s="512">
        <v>1466150.53</v>
      </c>
      <c r="E27" s="512">
        <v>3395973.02</v>
      </c>
      <c r="F27" s="512">
        <v>3296654.39</v>
      </c>
      <c r="G27" s="512">
        <v>5973633.9500000002</v>
      </c>
      <c r="H27" s="512">
        <v>30452.01</v>
      </c>
      <c r="I27" s="512">
        <v>80650.53</v>
      </c>
      <c r="J27" s="512">
        <v>104320.52</v>
      </c>
      <c r="K27" s="512">
        <v>350000.28</v>
      </c>
    </row>
    <row r="28" spans="1:11">
      <c r="A28">
        <v>38</v>
      </c>
      <c r="B28" t="s">
        <v>788</v>
      </c>
      <c r="C28" s="512">
        <v>643878808.33000004</v>
      </c>
      <c r="D28" s="512">
        <v>3107631.11</v>
      </c>
      <c r="E28" s="512">
        <v>3639798.12</v>
      </c>
      <c r="F28" s="512">
        <v>3069164.05</v>
      </c>
      <c r="G28" s="512">
        <v>3968949.41</v>
      </c>
      <c r="H28" s="512">
        <v>66706.94</v>
      </c>
      <c r="I28" s="512">
        <v>112918.09</v>
      </c>
      <c r="J28" s="512">
        <v>128436.82</v>
      </c>
      <c r="K28" s="512">
        <v>253144.75</v>
      </c>
    </row>
    <row r="29" spans="1:11">
      <c r="A29">
        <v>38</v>
      </c>
      <c r="B29" t="s">
        <v>789</v>
      </c>
      <c r="C29" s="512">
        <v>626981831.5</v>
      </c>
      <c r="D29" s="512">
        <v>3293761.44</v>
      </c>
      <c r="E29" s="512">
        <v>2798122.24</v>
      </c>
      <c r="F29" s="512">
        <v>1103998</v>
      </c>
      <c r="G29" s="512">
        <v>5832416.3399999999</v>
      </c>
      <c r="H29" s="512">
        <v>68152.990000000005</v>
      </c>
      <c r="I29" s="512">
        <v>81573.31</v>
      </c>
      <c r="J29" s="512">
        <v>41609.519999999997</v>
      </c>
      <c r="K29" s="512">
        <v>355869.16</v>
      </c>
    </row>
    <row r="30" spans="1:11">
      <c r="A30">
        <v>38</v>
      </c>
      <c r="B30" t="s">
        <v>790</v>
      </c>
      <c r="C30" s="512">
        <v>605593470.44000006</v>
      </c>
      <c r="D30" s="512">
        <v>1160188.31</v>
      </c>
      <c r="E30" s="512">
        <v>3542024.69</v>
      </c>
      <c r="F30" s="512">
        <v>2795788.79</v>
      </c>
      <c r="G30" s="512">
        <v>5065881.92</v>
      </c>
      <c r="H30" s="512">
        <v>26549.58</v>
      </c>
      <c r="I30" s="512">
        <v>84608.29</v>
      </c>
      <c r="J30" s="512">
        <v>99821.6</v>
      </c>
      <c r="K30" s="512">
        <v>307022.40000000002</v>
      </c>
    </row>
    <row r="31" spans="1:11">
      <c r="A31">
        <v>38</v>
      </c>
      <c r="B31" t="s">
        <v>791</v>
      </c>
      <c r="C31" s="512">
        <v>586759359.30999994</v>
      </c>
      <c r="D31" s="512">
        <v>3561389.21</v>
      </c>
      <c r="E31" s="512">
        <v>4094315.86</v>
      </c>
      <c r="F31" s="512">
        <v>2538333.86</v>
      </c>
      <c r="G31" s="512">
        <v>3334621.15</v>
      </c>
      <c r="H31" s="512">
        <v>74375.16</v>
      </c>
      <c r="I31" s="512">
        <v>123371.35</v>
      </c>
      <c r="J31" s="512">
        <v>113126.94</v>
      </c>
      <c r="K31" s="512">
        <v>229854.22</v>
      </c>
    </row>
    <row r="32" spans="1:11">
      <c r="A32">
        <v>38</v>
      </c>
      <c r="B32" t="s">
        <v>792</v>
      </c>
      <c r="C32" s="512">
        <v>568467527.35000002</v>
      </c>
      <c r="D32" s="512">
        <v>1353226.82</v>
      </c>
      <c r="E32" s="512">
        <v>4782020.9400000004</v>
      </c>
      <c r="F32" s="512">
        <v>3235669.96</v>
      </c>
      <c r="G32" s="512">
        <v>3131024.25</v>
      </c>
      <c r="H32" s="512">
        <v>28664.7</v>
      </c>
      <c r="I32" s="512">
        <v>129319.17</v>
      </c>
      <c r="J32" s="512">
        <v>150958.32</v>
      </c>
      <c r="K32" s="512">
        <v>211914.66</v>
      </c>
    </row>
    <row r="33" spans="1:11">
      <c r="A33">
        <v>38</v>
      </c>
      <c r="B33" t="s">
        <v>793</v>
      </c>
      <c r="C33" s="512">
        <v>549072459.41999996</v>
      </c>
      <c r="D33" s="512">
        <v>3369880.96</v>
      </c>
      <c r="E33" s="512">
        <v>1400342.46</v>
      </c>
      <c r="F33" s="512">
        <v>4162366.24</v>
      </c>
      <c r="G33" s="512">
        <v>3799518.95</v>
      </c>
      <c r="H33" s="512">
        <v>70937.55</v>
      </c>
      <c r="I33" s="512">
        <v>39533.78</v>
      </c>
      <c r="J33" s="512">
        <v>160913.71</v>
      </c>
      <c r="K33" s="512">
        <v>254978.75</v>
      </c>
    </row>
    <row r="34" spans="1:11">
      <c r="A34">
        <v>38</v>
      </c>
      <c r="B34" t="s">
        <v>794</v>
      </c>
      <c r="C34" s="512">
        <v>530411090.52999997</v>
      </c>
      <c r="D34" s="512">
        <v>2998541.33</v>
      </c>
      <c r="E34" s="512">
        <v>3013054</v>
      </c>
      <c r="F34" s="512">
        <v>1073391.29</v>
      </c>
      <c r="G34" s="512">
        <v>5156200.43</v>
      </c>
      <c r="H34" s="512">
        <v>66022.41</v>
      </c>
      <c r="I34" s="512">
        <v>99211.46</v>
      </c>
      <c r="J34" s="512">
        <v>47549.29</v>
      </c>
      <c r="K34" s="512">
        <v>324656.69</v>
      </c>
    </row>
    <row r="35" spans="1:11">
      <c r="A35">
        <v>38</v>
      </c>
      <c r="B35" t="s">
        <v>795</v>
      </c>
    </row>
    <row r="36" spans="1:11">
      <c r="A36">
        <v>38</v>
      </c>
      <c r="B36" t="s">
        <v>796</v>
      </c>
    </row>
    <row r="37" spans="1:11">
      <c r="A37">
        <v>38</v>
      </c>
      <c r="B37" t="s">
        <v>797</v>
      </c>
    </row>
    <row r="38" spans="1:11">
      <c r="A38">
        <v>38</v>
      </c>
      <c r="B38" t="s">
        <v>798</v>
      </c>
    </row>
    <row r="39" spans="1:11">
      <c r="A39">
        <v>38</v>
      </c>
      <c r="B39" t="s">
        <v>799</v>
      </c>
    </row>
    <row r="40" spans="1:11">
      <c r="A40">
        <v>38</v>
      </c>
      <c r="B40" t="s">
        <v>800</v>
      </c>
    </row>
    <row r="41" spans="1:11">
      <c r="A41">
        <v>38</v>
      </c>
      <c r="B41" t="s">
        <v>801</v>
      </c>
    </row>
    <row r="42" spans="1:11">
      <c r="A42">
        <v>38</v>
      </c>
      <c r="B42" t="s">
        <v>802</v>
      </c>
    </row>
    <row r="43" spans="1:11">
      <c r="A43">
        <v>38</v>
      </c>
      <c r="B43" t="s">
        <v>803</v>
      </c>
    </row>
    <row r="44" spans="1:11">
      <c r="A44">
        <v>38</v>
      </c>
      <c r="B44" t="s">
        <v>804</v>
      </c>
    </row>
    <row r="45" spans="1:11">
      <c r="A45">
        <v>38</v>
      </c>
      <c r="B45" t="s">
        <v>805</v>
      </c>
    </row>
    <row r="46" spans="1:11">
      <c r="A46">
        <v>38</v>
      </c>
      <c r="B46" t="s">
        <v>806</v>
      </c>
    </row>
    <row r="47" spans="1:11">
      <c r="A47">
        <v>38</v>
      </c>
      <c r="B47" t="s">
        <v>807</v>
      </c>
    </row>
    <row r="48" spans="1:11">
      <c r="A48">
        <v>38</v>
      </c>
      <c r="B48" t="s">
        <v>808</v>
      </c>
    </row>
    <row r="49" spans="1:2">
      <c r="A49">
        <v>38</v>
      </c>
      <c r="B49" t="s">
        <v>809</v>
      </c>
    </row>
    <row r="50" spans="1:2">
      <c r="A50">
        <v>38</v>
      </c>
      <c r="B50" t="s">
        <v>810</v>
      </c>
    </row>
    <row r="51" spans="1:2">
      <c r="A51">
        <v>38</v>
      </c>
      <c r="B51" t="s">
        <v>811</v>
      </c>
    </row>
    <row r="52" spans="1:2">
      <c r="A52">
        <v>38</v>
      </c>
      <c r="B52" t="s">
        <v>812</v>
      </c>
    </row>
    <row r="53" spans="1:2">
      <c r="A53">
        <v>38</v>
      </c>
      <c r="B53" t="s">
        <v>813</v>
      </c>
    </row>
    <row r="54" spans="1:2">
      <c r="A54">
        <v>38</v>
      </c>
      <c r="B54" t="s">
        <v>814</v>
      </c>
    </row>
    <row r="55" spans="1:2">
      <c r="A55">
        <v>38</v>
      </c>
      <c r="B55" t="s">
        <v>815</v>
      </c>
    </row>
    <row r="56" spans="1:2">
      <c r="A56">
        <v>38</v>
      </c>
      <c r="B56" t="s">
        <v>816</v>
      </c>
    </row>
    <row r="57" spans="1:2">
      <c r="A57">
        <v>38</v>
      </c>
      <c r="B57" t="s">
        <v>817</v>
      </c>
    </row>
    <row r="58" spans="1:2">
      <c r="A58">
        <v>38</v>
      </c>
      <c r="B58" t="s">
        <v>818</v>
      </c>
    </row>
    <row r="59" spans="1:2">
      <c r="A59">
        <v>38</v>
      </c>
      <c r="B59" t="s">
        <v>819</v>
      </c>
    </row>
    <row r="60" spans="1:2">
      <c r="A60">
        <v>38</v>
      </c>
      <c r="B60" t="s">
        <v>820</v>
      </c>
    </row>
    <row r="61" spans="1:2">
      <c r="A61">
        <v>38</v>
      </c>
      <c r="B61" t="s">
        <v>821</v>
      </c>
    </row>
    <row r="62" spans="1:2">
      <c r="A62">
        <v>38</v>
      </c>
      <c r="B62" t="s">
        <v>822</v>
      </c>
    </row>
    <row r="63" spans="1:2">
      <c r="A63">
        <v>38</v>
      </c>
      <c r="B63" t="s">
        <v>823</v>
      </c>
    </row>
    <row r="64" spans="1:2">
      <c r="A64">
        <v>38</v>
      </c>
      <c r="B64" t="s">
        <v>824</v>
      </c>
    </row>
    <row r="65" spans="1:2">
      <c r="A65">
        <v>38</v>
      </c>
      <c r="B65" t="s">
        <v>825</v>
      </c>
    </row>
    <row r="66" spans="1:2">
      <c r="A66">
        <v>38</v>
      </c>
      <c r="B66" t="s">
        <v>826</v>
      </c>
    </row>
    <row r="67" spans="1:2">
      <c r="A67">
        <v>38</v>
      </c>
      <c r="B67" t="s">
        <v>827</v>
      </c>
    </row>
    <row r="68" spans="1:2">
      <c r="A68">
        <v>38</v>
      </c>
      <c r="B68" t="s">
        <v>828</v>
      </c>
    </row>
    <row r="69" spans="1:2">
      <c r="A69">
        <v>38</v>
      </c>
      <c r="B69" t="s">
        <v>829</v>
      </c>
    </row>
    <row r="70" spans="1:2">
      <c r="A70">
        <v>38</v>
      </c>
      <c r="B70" t="s">
        <v>830</v>
      </c>
    </row>
    <row r="71" spans="1:2">
      <c r="A71">
        <v>38</v>
      </c>
      <c r="B71" t="s">
        <v>831</v>
      </c>
    </row>
    <row r="72" spans="1:2">
      <c r="A72">
        <v>38</v>
      </c>
      <c r="B72" t="s">
        <v>832</v>
      </c>
    </row>
    <row r="73" spans="1:2">
      <c r="A73">
        <v>38</v>
      </c>
      <c r="B73" t="s">
        <v>833</v>
      </c>
    </row>
    <row r="74" spans="1:2">
      <c r="A74">
        <v>38</v>
      </c>
      <c r="B74" t="s">
        <v>834</v>
      </c>
    </row>
    <row r="75" spans="1:2">
      <c r="A75">
        <v>38</v>
      </c>
      <c r="B75" t="s">
        <v>835</v>
      </c>
    </row>
    <row r="76" spans="1:2">
      <c r="A76">
        <v>38</v>
      </c>
      <c r="B76" t="s">
        <v>836</v>
      </c>
    </row>
    <row r="77" spans="1:2">
      <c r="A77">
        <v>38</v>
      </c>
      <c r="B77" t="s">
        <v>837</v>
      </c>
    </row>
    <row r="78" spans="1:2">
      <c r="A78">
        <v>38</v>
      </c>
      <c r="B78" t="s">
        <v>838</v>
      </c>
    </row>
    <row r="79" spans="1:2">
      <c r="A79">
        <v>38</v>
      </c>
      <c r="B79" t="s">
        <v>839</v>
      </c>
    </row>
    <row r="80" spans="1:2">
      <c r="A80">
        <v>38</v>
      </c>
      <c r="B80" t="s">
        <v>840</v>
      </c>
    </row>
    <row r="81" spans="1:2">
      <c r="A81">
        <v>38</v>
      </c>
      <c r="B81" t="s">
        <v>841</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E50" sqref="E50"/>
    </sheetView>
  </sheetViews>
  <sheetFormatPr baseColWidth="10" defaultColWidth="8.7265625" defaultRowHeight="12.5"/>
  <cols>
    <col min="1" max="1" width="13" customWidth="1"/>
    <col min="2" max="2" width="41" customWidth="1"/>
    <col min="3" max="11" width="13" customWidth="1"/>
  </cols>
  <sheetData>
    <row r="1" spans="1:11">
      <c r="A1" t="s">
        <v>637</v>
      </c>
      <c r="B1" t="s">
        <v>634</v>
      </c>
      <c r="C1" t="s">
        <v>606</v>
      </c>
      <c r="D1" t="s">
        <v>403</v>
      </c>
      <c r="E1" t="s">
        <v>642</v>
      </c>
      <c r="F1" t="s">
        <v>643</v>
      </c>
      <c r="G1" t="s">
        <v>644</v>
      </c>
      <c r="H1" t="s">
        <v>645</v>
      </c>
      <c r="I1" t="s">
        <v>646</v>
      </c>
      <c r="J1" t="s">
        <v>647</v>
      </c>
      <c r="K1" t="s">
        <v>648</v>
      </c>
    </row>
    <row r="2" spans="1:11">
      <c r="A2">
        <v>38</v>
      </c>
      <c r="B2" t="s">
        <v>656</v>
      </c>
      <c r="C2">
        <v>0</v>
      </c>
      <c r="D2" s="512">
        <v>0</v>
      </c>
      <c r="E2" s="512">
        <v>0</v>
      </c>
      <c r="F2" s="512">
        <v>1025743449.63</v>
      </c>
      <c r="G2">
        <v>0</v>
      </c>
      <c r="H2" s="512">
        <v>0</v>
      </c>
      <c r="I2" s="512">
        <v>0</v>
      </c>
      <c r="J2" s="512">
        <v>0</v>
      </c>
      <c r="K2">
        <v>0</v>
      </c>
    </row>
    <row r="3" spans="1:11">
      <c r="A3">
        <v>38</v>
      </c>
      <c r="B3" t="s">
        <v>657</v>
      </c>
      <c r="C3">
        <v>2</v>
      </c>
      <c r="D3" s="512">
        <v>24148.21</v>
      </c>
      <c r="E3" s="512">
        <v>24148.21</v>
      </c>
      <c r="F3" s="512">
        <v>1053455078.49</v>
      </c>
      <c r="G3">
        <v>2.2922866378520404E-5</v>
      </c>
      <c r="H3" s="512">
        <v>-106.57</v>
      </c>
      <c r="I3" s="512">
        <v>-106.57</v>
      </c>
      <c r="J3" s="512">
        <v>24254.78</v>
      </c>
      <c r="K3">
        <v>2.3024028736722476E-5</v>
      </c>
    </row>
    <row r="4" spans="1:11">
      <c r="A4">
        <v>38</v>
      </c>
      <c r="B4" t="s">
        <v>658</v>
      </c>
      <c r="C4">
        <v>7</v>
      </c>
      <c r="D4" s="512">
        <v>94815.96</v>
      </c>
      <c r="E4" s="512">
        <v>118964.17</v>
      </c>
      <c r="F4" s="512">
        <v>1074979593.0599999</v>
      </c>
      <c r="G4">
        <v>1.1066644498930502E-4</v>
      </c>
      <c r="H4" s="512">
        <v>-379.46</v>
      </c>
      <c r="I4" s="512">
        <v>-486.03</v>
      </c>
      <c r="J4" s="512">
        <v>119450.2</v>
      </c>
      <c r="K4">
        <v>1.1111857450240256E-4</v>
      </c>
    </row>
    <row r="5" spans="1:11">
      <c r="A5">
        <v>38</v>
      </c>
      <c r="B5" t="s">
        <v>659</v>
      </c>
      <c r="C5">
        <v>38</v>
      </c>
      <c r="D5" s="512">
        <v>475812.17</v>
      </c>
      <c r="E5" s="512">
        <v>594776.34</v>
      </c>
      <c r="F5" s="512">
        <v>1107170504.99</v>
      </c>
      <c r="G5">
        <v>5.3720392416466319E-4</v>
      </c>
      <c r="H5" s="512">
        <v>-692.74</v>
      </c>
      <c r="I5" s="512">
        <v>-1178.77</v>
      </c>
      <c r="J5" s="512">
        <v>595955.11</v>
      </c>
      <c r="K5">
        <v>5.3826859306135735E-4</v>
      </c>
    </row>
    <row r="6" spans="1:11">
      <c r="A6">
        <v>38</v>
      </c>
      <c r="B6" t="s">
        <v>660</v>
      </c>
      <c r="C6">
        <v>112</v>
      </c>
      <c r="D6" s="512">
        <v>1667952.86</v>
      </c>
      <c r="E6" s="512">
        <v>2262729.2000000002</v>
      </c>
      <c r="F6" s="512">
        <v>1137282305.76</v>
      </c>
      <c r="G6">
        <v>1.9895932509808186E-3</v>
      </c>
      <c r="H6" s="512">
        <v>-1099.7</v>
      </c>
      <c r="I6" s="512">
        <v>-2278.4699999999998</v>
      </c>
      <c r="J6" s="512">
        <v>2265007.67</v>
      </c>
      <c r="K6">
        <v>1.9915966849465634E-3</v>
      </c>
    </row>
    <row r="7" spans="1:11">
      <c r="A7">
        <v>38</v>
      </c>
      <c r="B7" t="s">
        <v>661</v>
      </c>
      <c r="C7">
        <v>227</v>
      </c>
      <c r="D7" s="512">
        <v>1799199.77</v>
      </c>
      <c r="E7" s="512">
        <v>4061928.97</v>
      </c>
      <c r="F7" s="512">
        <v>1168653134.6600001</v>
      </c>
      <c r="G7">
        <v>3.4757353140388819E-3</v>
      </c>
      <c r="H7" s="512">
        <v>-2884.83</v>
      </c>
      <c r="I7" s="512">
        <v>-5163.3</v>
      </c>
      <c r="J7" s="512">
        <v>4067092.27</v>
      </c>
      <c r="K7">
        <v>3.4801534770051773E-3</v>
      </c>
    </row>
    <row r="8" spans="1:11">
      <c r="A8">
        <v>38</v>
      </c>
      <c r="B8" t="s">
        <v>662</v>
      </c>
      <c r="C8">
        <v>323</v>
      </c>
      <c r="D8" s="512">
        <v>1624372.99</v>
      </c>
      <c r="E8" s="512">
        <v>5686301.96</v>
      </c>
      <c r="F8" s="512">
        <v>1197463525.4400001</v>
      </c>
      <c r="G8">
        <v>4.7486222663112891E-3</v>
      </c>
      <c r="H8" s="512">
        <v>36361.46</v>
      </c>
      <c r="I8" s="512">
        <v>31198.16</v>
      </c>
      <c r="J8" s="512">
        <v>5655103.7999999998</v>
      </c>
      <c r="K8">
        <v>4.7225687295335932E-3</v>
      </c>
    </row>
    <row r="9" spans="1:11">
      <c r="A9">
        <v>38</v>
      </c>
      <c r="B9" t="s">
        <v>663</v>
      </c>
      <c r="C9">
        <v>421</v>
      </c>
      <c r="D9" s="512">
        <v>1702373.25</v>
      </c>
      <c r="E9" s="512">
        <v>7388675.21</v>
      </c>
      <c r="F9" s="512">
        <v>1228561846.1800001</v>
      </c>
      <c r="G9">
        <v>6.0140848692101278E-3</v>
      </c>
      <c r="H9" s="512">
        <v>27481.56</v>
      </c>
      <c r="I9" s="512">
        <v>58679.72</v>
      </c>
      <c r="J9" s="512">
        <v>7329995.4900000002</v>
      </c>
      <c r="K9">
        <v>5.96632193388664E-3</v>
      </c>
    </row>
    <row r="10" spans="1:11">
      <c r="A10">
        <v>38</v>
      </c>
      <c r="B10" t="s">
        <v>664</v>
      </c>
      <c r="C10">
        <v>570</v>
      </c>
      <c r="D10" s="512">
        <v>2535440.2799999998</v>
      </c>
      <c r="E10" s="512">
        <v>9924115.4900000002</v>
      </c>
      <c r="F10" s="512">
        <v>1260638751.6800001</v>
      </c>
      <c r="G10">
        <v>7.8722913100795523E-3</v>
      </c>
      <c r="H10" s="512">
        <v>25687.07</v>
      </c>
      <c r="I10" s="512">
        <v>84366.79</v>
      </c>
      <c r="J10" s="512">
        <v>9839748.6999999993</v>
      </c>
      <c r="K10">
        <v>7.8053674669979652E-3</v>
      </c>
    </row>
    <row r="11" spans="1:11">
      <c r="A11">
        <v>38</v>
      </c>
      <c r="B11" t="s">
        <v>665</v>
      </c>
      <c r="C11">
        <v>740</v>
      </c>
      <c r="D11" s="512">
        <v>3245825.94</v>
      </c>
      <c r="E11" s="512">
        <v>13169941.43</v>
      </c>
      <c r="F11" s="512">
        <v>1295485477.6800001</v>
      </c>
      <c r="G11">
        <v>1.0166027838139245E-2</v>
      </c>
      <c r="H11" s="512">
        <v>10937.11</v>
      </c>
      <c r="I11" s="512">
        <v>95303.9</v>
      </c>
      <c r="J11" s="512">
        <v>13074637.529999999</v>
      </c>
      <c r="K11">
        <v>1.0092461671908902E-2</v>
      </c>
    </row>
    <row r="12" spans="1:11">
      <c r="A12">
        <v>38</v>
      </c>
      <c r="B12" t="s">
        <v>666</v>
      </c>
      <c r="C12">
        <v>897</v>
      </c>
      <c r="D12" s="512">
        <v>2496894.42</v>
      </c>
      <c r="E12" s="512">
        <v>15666835.85</v>
      </c>
      <c r="F12" s="512">
        <v>1327946409.3199999</v>
      </c>
      <c r="G12">
        <v>1.1797792245262739E-2</v>
      </c>
      <c r="H12" s="512">
        <v>46365.93</v>
      </c>
      <c r="I12" s="512">
        <v>141669.82999999999</v>
      </c>
      <c r="J12" s="512">
        <v>15525166.02</v>
      </c>
      <c r="K12">
        <v>1.1691108851260006E-2</v>
      </c>
    </row>
    <row r="13" spans="1:11">
      <c r="A13">
        <v>38</v>
      </c>
      <c r="B13" t="s">
        <v>667</v>
      </c>
      <c r="C13">
        <v>1003</v>
      </c>
      <c r="D13" s="512">
        <v>1298353.1499999999</v>
      </c>
      <c r="E13" s="512">
        <v>16965189</v>
      </c>
      <c r="F13" s="512">
        <v>1356346723.3699999</v>
      </c>
      <c r="G13">
        <v>1.250800308482187E-2</v>
      </c>
      <c r="H13" s="512">
        <v>68363.63</v>
      </c>
      <c r="I13" s="512">
        <v>210033.46</v>
      </c>
      <c r="J13" s="512">
        <v>16755155.539999999</v>
      </c>
      <c r="K13">
        <v>1.2353150747745293E-2</v>
      </c>
    </row>
    <row r="14" spans="1:11">
      <c r="A14">
        <v>38</v>
      </c>
      <c r="B14" t="s">
        <v>668</v>
      </c>
      <c r="C14">
        <v>1137</v>
      </c>
      <c r="D14" s="512">
        <v>2340989.6800000002</v>
      </c>
      <c r="E14" s="512">
        <v>19306178.68</v>
      </c>
      <c r="F14" s="512">
        <v>1356346723.3699999</v>
      </c>
      <c r="G14">
        <v>1.4233955335573463E-2</v>
      </c>
      <c r="H14" s="512">
        <v>47250.13</v>
      </c>
      <c r="I14" s="512">
        <v>257283.59</v>
      </c>
      <c r="J14" s="512">
        <v>19048895.09</v>
      </c>
      <c r="K14">
        <v>1.4044266677380851E-2</v>
      </c>
    </row>
    <row r="15" spans="1:11">
      <c r="A15">
        <v>38</v>
      </c>
      <c r="B15" t="s">
        <v>669</v>
      </c>
      <c r="C15">
        <v>1284</v>
      </c>
      <c r="D15" s="512">
        <v>2624018.42</v>
      </c>
      <c r="E15" s="512">
        <v>21930197.100000001</v>
      </c>
      <c r="F15" s="512">
        <v>1356346723.3699999</v>
      </c>
      <c r="G15">
        <v>1.6168577489914886E-2</v>
      </c>
      <c r="H15" s="512">
        <v>95431.85</v>
      </c>
      <c r="I15" s="512">
        <v>352715.44</v>
      </c>
      <c r="J15" s="512">
        <v>21577481.66</v>
      </c>
      <c r="K15">
        <v>1.5908529351837303E-2</v>
      </c>
    </row>
    <row r="16" spans="1:11">
      <c r="A16">
        <v>38</v>
      </c>
      <c r="B16" t="s">
        <v>670</v>
      </c>
      <c r="C16">
        <v>1438</v>
      </c>
      <c r="D16" s="512">
        <v>2438921.5099999998</v>
      </c>
      <c r="E16" s="512">
        <v>24369118.609999999</v>
      </c>
      <c r="F16" s="512">
        <v>1356346723.3699999</v>
      </c>
      <c r="G16">
        <v>1.7966732392328197E-2</v>
      </c>
      <c r="H16" s="512">
        <v>51728.81</v>
      </c>
      <c r="I16" s="512">
        <v>404444.25</v>
      </c>
      <c r="J16" s="512">
        <v>23964674.359999999</v>
      </c>
      <c r="K16">
        <v>1.7668545916089209E-2</v>
      </c>
    </row>
    <row r="17" spans="1:11">
      <c r="A17">
        <v>38</v>
      </c>
      <c r="B17" t="s">
        <v>671</v>
      </c>
      <c r="C17">
        <v>1578</v>
      </c>
      <c r="D17" s="512">
        <v>2539805.06</v>
      </c>
      <c r="E17" s="512">
        <v>26908923.670000002</v>
      </c>
      <c r="F17" s="512">
        <v>1356346723.3699999</v>
      </c>
      <c r="G17">
        <v>1.9839266174611802E-2</v>
      </c>
      <c r="H17" s="512">
        <v>67030.320000000007</v>
      </c>
      <c r="I17" s="512">
        <v>471474.57</v>
      </c>
      <c r="J17" s="512">
        <v>26437449.100000001</v>
      </c>
      <c r="K17">
        <v>1.9491659945410637E-2</v>
      </c>
    </row>
    <row r="18" spans="1:11">
      <c r="A18">
        <v>38</v>
      </c>
      <c r="B18" t="s">
        <v>672</v>
      </c>
      <c r="C18">
        <v>1747</v>
      </c>
      <c r="D18" s="512">
        <v>2603375.7400000002</v>
      </c>
      <c r="E18" s="512">
        <v>29512299.41</v>
      </c>
      <c r="F18" s="512">
        <v>1356346723.3699999</v>
      </c>
      <c r="G18">
        <v>2.1758669005129658E-2</v>
      </c>
      <c r="H18" s="512">
        <v>73207.89</v>
      </c>
      <c r="I18" s="512">
        <v>544682.46</v>
      </c>
      <c r="J18" s="512">
        <v>28967616.949999999</v>
      </c>
      <c r="K18">
        <v>2.1357088457460642E-2</v>
      </c>
    </row>
    <row r="19" spans="1:11">
      <c r="A19">
        <v>38</v>
      </c>
      <c r="B19" t="s">
        <v>673</v>
      </c>
      <c r="C19">
        <v>1894</v>
      </c>
      <c r="D19" s="512">
        <v>2547435.2200000002</v>
      </c>
      <c r="E19" s="512">
        <v>32059734.629999999</v>
      </c>
      <c r="F19" s="512">
        <v>1356346723.3699999</v>
      </c>
      <c r="G19">
        <v>2.3636828310643076E-2</v>
      </c>
      <c r="H19" s="512">
        <v>98451.58</v>
      </c>
      <c r="I19" s="512">
        <v>643134.04</v>
      </c>
      <c r="J19" s="512">
        <v>31416600.59</v>
      </c>
      <c r="K19">
        <v>2.3162661912834365E-2</v>
      </c>
    </row>
    <row r="20" spans="1:11">
      <c r="A20">
        <v>38</v>
      </c>
      <c r="B20" t="s">
        <v>674</v>
      </c>
      <c r="C20">
        <v>2047</v>
      </c>
      <c r="D20" s="512">
        <v>2579043.2799999998</v>
      </c>
      <c r="E20" s="512">
        <v>34638777.909999996</v>
      </c>
      <c r="F20" s="512">
        <v>1356346723.3699999</v>
      </c>
      <c r="G20">
        <v>2.5538291436230955E-2</v>
      </c>
      <c r="H20" s="512">
        <v>85179.61</v>
      </c>
      <c r="I20" s="512">
        <v>728313.65</v>
      </c>
      <c r="J20" s="512">
        <v>33910464.259999998</v>
      </c>
      <c r="K20">
        <v>2.5001324274773581E-2</v>
      </c>
    </row>
    <row r="21" spans="1:11">
      <c r="A21">
        <v>38</v>
      </c>
      <c r="B21" t="s">
        <v>675</v>
      </c>
      <c r="C21">
        <v>2203</v>
      </c>
      <c r="D21" s="512">
        <v>2921086.77</v>
      </c>
      <c r="E21" s="512">
        <v>37559864.68</v>
      </c>
      <c r="F21" s="512">
        <v>1356346723.3699999</v>
      </c>
      <c r="G21">
        <v>2.7691934542134013E-2</v>
      </c>
      <c r="H21" s="512">
        <v>126049.62</v>
      </c>
      <c r="I21" s="512">
        <v>854363.27</v>
      </c>
      <c r="J21" s="512">
        <v>36705501.409999996</v>
      </c>
      <c r="K21">
        <v>2.7062034196389646E-2</v>
      </c>
    </row>
    <row r="22" spans="1:11">
      <c r="A22">
        <v>38</v>
      </c>
      <c r="B22" t="s">
        <v>676</v>
      </c>
      <c r="C22">
        <v>2351</v>
      </c>
      <c r="D22" s="512">
        <v>2188612.4500000002</v>
      </c>
      <c r="E22" s="512">
        <v>39748477.130000003</v>
      </c>
      <c r="F22" s="512">
        <v>1356346723.3699999</v>
      </c>
      <c r="G22">
        <v>2.93055429302327E-2</v>
      </c>
      <c r="H22" s="512">
        <v>124758.21</v>
      </c>
      <c r="I22" s="512">
        <v>979121.48</v>
      </c>
      <c r="J22" s="512">
        <v>38769355.649999999</v>
      </c>
      <c r="K22">
        <v>2.8583661524004021E-2</v>
      </c>
    </row>
    <row r="23" spans="1:11">
      <c r="A23">
        <v>38</v>
      </c>
      <c r="B23" t="s">
        <v>677</v>
      </c>
      <c r="C23">
        <v>2514</v>
      </c>
      <c r="D23" s="512">
        <v>2795134.13</v>
      </c>
      <c r="E23" s="512">
        <v>42543611.259999998</v>
      </c>
      <c r="F23" s="512">
        <v>1356346723.3699999</v>
      </c>
      <c r="G23">
        <v>3.1366324352740338E-2</v>
      </c>
      <c r="H23" s="512">
        <v>174170.57</v>
      </c>
      <c r="I23" s="512">
        <v>1153292.05</v>
      </c>
      <c r="J23" s="512">
        <v>41390319.210000001</v>
      </c>
      <c r="K23">
        <v>3.0516031407633714E-2</v>
      </c>
    </row>
    <row r="24" spans="1:11">
      <c r="A24">
        <v>38</v>
      </c>
      <c r="B24" t="s">
        <v>678</v>
      </c>
      <c r="C24">
        <v>2648</v>
      </c>
      <c r="D24" s="512">
        <v>2156780.79</v>
      </c>
      <c r="E24" s="512">
        <v>44700392.049999997</v>
      </c>
      <c r="F24" s="512">
        <v>1356346723.3699999</v>
      </c>
      <c r="G24">
        <v>3.2956464066162011E-2</v>
      </c>
      <c r="H24" s="512">
        <v>140516.25</v>
      </c>
      <c r="I24" s="512">
        <v>1293808.3</v>
      </c>
      <c r="J24" s="512">
        <v>43406583.75</v>
      </c>
      <c r="K24">
        <v>3.2002572057793104E-2</v>
      </c>
    </row>
    <row r="25" spans="1:11">
      <c r="A25">
        <v>38</v>
      </c>
      <c r="B25" t="s">
        <v>679</v>
      </c>
      <c r="C25">
        <v>2767</v>
      </c>
      <c r="D25" s="512">
        <v>2165273.4500000002</v>
      </c>
      <c r="E25" s="512">
        <v>46865665.5</v>
      </c>
      <c r="F25" s="512">
        <v>1356346723.3699999</v>
      </c>
      <c r="G25">
        <v>3.4552865202163677E-2</v>
      </c>
      <c r="H25" s="512">
        <v>168408.8</v>
      </c>
      <c r="I25" s="512">
        <v>1462217.1</v>
      </c>
      <c r="J25" s="512">
        <v>45403448.399999999</v>
      </c>
      <c r="K25">
        <v>3.3474809661640119E-2</v>
      </c>
    </row>
    <row r="26" spans="1:11">
      <c r="A26">
        <v>38</v>
      </c>
      <c r="B26" t="s">
        <v>680</v>
      </c>
      <c r="C26">
        <v>2914</v>
      </c>
      <c r="D26" s="512">
        <v>1775933.09</v>
      </c>
      <c r="E26" s="512">
        <v>48641598.590000004</v>
      </c>
      <c r="F26" s="512">
        <v>1356346723.3699999</v>
      </c>
      <c r="G26">
        <v>3.5862215576518912E-2</v>
      </c>
      <c r="H26" s="512">
        <v>161828.49</v>
      </c>
      <c r="I26" s="512">
        <v>1624045.59</v>
      </c>
      <c r="J26" s="512">
        <v>47017553</v>
      </c>
      <c r="K26">
        <v>3.4664847999322373E-2</v>
      </c>
    </row>
    <row r="27" spans="1:11">
      <c r="A27">
        <v>38</v>
      </c>
      <c r="B27" t="s">
        <v>681</v>
      </c>
      <c r="C27">
        <v>3058</v>
      </c>
      <c r="D27" s="512">
        <v>2114906.71</v>
      </c>
      <c r="E27" s="512">
        <v>50756505.299999997</v>
      </c>
      <c r="F27" s="512">
        <v>1356346723.3699999</v>
      </c>
      <c r="G27">
        <v>3.7421482593985707E-2</v>
      </c>
      <c r="H27" s="512">
        <v>126522.33</v>
      </c>
      <c r="I27" s="512">
        <v>1750567.92</v>
      </c>
      <c r="J27" s="512">
        <v>49005937.380000003</v>
      </c>
      <c r="K27">
        <v>3.6130833315421801E-2</v>
      </c>
    </row>
    <row r="28" spans="1:11">
      <c r="A28">
        <v>38</v>
      </c>
      <c r="B28" t="s">
        <v>682</v>
      </c>
      <c r="C28">
        <v>3178</v>
      </c>
      <c r="D28" s="512">
        <v>1838786.74</v>
      </c>
      <c r="E28" s="512">
        <v>52595292.039999999</v>
      </c>
      <c r="F28" s="512">
        <v>1356346723.3699999</v>
      </c>
      <c r="G28">
        <v>3.8777173368562373E-2</v>
      </c>
      <c r="H28" s="512">
        <v>250063.51</v>
      </c>
      <c r="I28" s="512">
        <v>2000631.43</v>
      </c>
      <c r="J28" s="512">
        <v>50594660.609999999</v>
      </c>
      <c r="K28">
        <v>3.7302158613464059E-2</v>
      </c>
    </row>
    <row r="29" spans="1:11">
      <c r="A29">
        <v>38</v>
      </c>
      <c r="B29" t="s">
        <v>683</v>
      </c>
      <c r="C29">
        <v>3325</v>
      </c>
      <c r="D29" s="512">
        <v>2047574.29</v>
      </c>
      <c r="E29" s="512">
        <v>54642866.329999998</v>
      </c>
      <c r="F29" s="512">
        <v>1356346723.3699999</v>
      </c>
      <c r="G29">
        <v>4.0286797902407648E-2</v>
      </c>
      <c r="H29" s="512">
        <v>98171.26</v>
      </c>
      <c r="I29" s="512">
        <v>2098802.69</v>
      </c>
      <c r="J29" s="512">
        <v>52544063.640000001</v>
      </c>
      <c r="K29">
        <v>3.8739403969988005E-2</v>
      </c>
    </row>
    <row r="30" spans="1:11">
      <c r="A30">
        <v>38</v>
      </c>
      <c r="B30" t="s">
        <v>684</v>
      </c>
      <c r="C30">
        <v>3453</v>
      </c>
      <c r="D30" s="512">
        <v>2027648.77</v>
      </c>
      <c r="E30" s="512">
        <v>56670515.100000001</v>
      </c>
      <c r="F30" s="512">
        <v>1356346723.3699999</v>
      </c>
      <c r="G30">
        <v>4.178173185628787E-2</v>
      </c>
      <c r="H30" s="512">
        <v>170484.58</v>
      </c>
      <c r="I30" s="512">
        <v>2269287.27</v>
      </c>
      <c r="J30" s="512">
        <v>54401227.829999998</v>
      </c>
      <c r="K30">
        <v>4.0108643971825925E-2</v>
      </c>
    </row>
    <row r="31" spans="1:11">
      <c r="A31">
        <v>38</v>
      </c>
      <c r="B31" t="s">
        <v>685</v>
      </c>
      <c r="C31">
        <v>3583</v>
      </c>
      <c r="D31" s="512">
        <v>1812247.89</v>
      </c>
      <c r="E31" s="512">
        <v>58482762.990000002</v>
      </c>
      <c r="F31" s="512">
        <v>1356346723.3699999</v>
      </c>
      <c r="G31">
        <v>4.3117856210610241E-2</v>
      </c>
      <c r="H31" s="512">
        <v>177051.68</v>
      </c>
      <c r="I31" s="512">
        <v>2446338.9500000002</v>
      </c>
      <c r="J31" s="512">
        <v>56036424.039999999</v>
      </c>
      <c r="K31">
        <v>4.1314232618021911E-2</v>
      </c>
    </row>
    <row r="32" spans="1:11">
      <c r="A32">
        <v>38</v>
      </c>
      <c r="B32" t="s">
        <v>686</v>
      </c>
      <c r="C32">
        <v>3716</v>
      </c>
      <c r="D32" s="512">
        <v>2137065.71</v>
      </c>
      <c r="E32" s="512">
        <v>60619828.700000003</v>
      </c>
      <c r="F32" s="512">
        <v>1356346723.3699999</v>
      </c>
      <c r="G32">
        <v>4.4693460496135561E-2</v>
      </c>
      <c r="H32" s="512">
        <v>179364.09</v>
      </c>
      <c r="I32" s="512">
        <v>2625703.04</v>
      </c>
      <c r="J32" s="512">
        <v>57994125.659999996</v>
      </c>
      <c r="K32">
        <v>4.2757596314242502E-2</v>
      </c>
    </row>
    <row r="33" spans="1:11">
      <c r="A33">
        <v>38</v>
      </c>
      <c r="B33" t="s">
        <v>687</v>
      </c>
      <c r="C33">
        <v>3815</v>
      </c>
      <c r="D33" s="512">
        <v>1652722.26</v>
      </c>
      <c r="E33" s="512">
        <v>62272550.960000001</v>
      </c>
      <c r="F33" s="512">
        <v>1356346723.3699999</v>
      </c>
      <c r="G33">
        <v>4.5911970653990788E-2</v>
      </c>
      <c r="H33" s="512">
        <v>121340.66</v>
      </c>
      <c r="I33" s="512">
        <v>2747043.7</v>
      </c>
      <c r="J33" s="512">
        <v>59525507.259999998</v>
      </c>
      <c r="K33">
        <v>4.3886645084453037E-2</v>
      </c>
    </row>
    <row r="34" spans="1:11">
      <c r="A34">
        <v>38</v>
      </c>
      <c r="B34" t="s">
        <v>688</v>
      </c>
      <c r="C34">
        <v>3928</v>
      </c>
      <c r="D34" s="512">
        <v>1573027.58</v>
      </c>
      <c r="E34" s="512">
        <v>63845578.539999999</v>
      </c>
      <c r="F34" s="512">
        <v>1356346723.3699999</v>
      </c>
      <c r="G34">
        <v>4.7071723947817917E-2</v>
      </c>
      <c r="H34" s="512">
        <v>154016.49</v>
      </c>
      <c r="I34" s="512">
        <v>2901060.19</v>
      </c>
      <c r="J34" s="512">
        <v>60944518.350000001</v>
      </c>
      <c r="K34">
        <v>4.4932845930851888E-2</v>
      </c>
    </row>
    <row r="35" spans="1:11">
      <c r="A35">
        <v>38</v>
      </c>
      <c r="B35" t="s">
        <v>689</v>
      </c>
    </row>
    <row r="36" spans="1:11">
      <c r="A36">
        <v>38</v>
      </c>
      <c r="B36" t="s">
        <v>690</v>
      </c>
    </row>
    <row r="37" spans="1:11">
      <c r="A37">
        <v>38</v>
      </c>
      <c r="B37" t="s">
        <v>691</v>
      </c>
    </row>
    <row r="38" spans="1:11">
      <c r="A38">
        <v>38</v>
      </c>
      <c r="B38" t="s">
        <v>692</v>
      </c>
    </row>
    <row r="39" spans="1:11">
      <c r="A39">
        <v>38</v>
      </c>
      <c r="B39" t="s">
        <v>693</v>
      </c>
    </row>
    <row r="40" spans="1:11">
      <c r="A40">
        <v>38</v>
      </c>
      <c r="B40" t="s">
        <v>694</v>
      </c>
    </row>
    <row r="41" spans="1:11">
      <c r="A41">
        <v>38</v>
      </c>
      <c r="B41" t="s">
        <v>695</v>
      </c>
    </row>
    <row r="42" spans="1:11">
      <c r="A42">
        <v>38</v>
      </c>
      <c r="B42" t="s">
        <v>696</v>
      </c>
    </row>
    <row r="43" spans="1:11">
      <c r="A43">
        <v>38</v>
      </c>
      <c r="B43" t="s">
        <v>697</v>
      </c>
    </row>
    <row r="44" spans="1:11">
      <c r="A44">
        <v>38</v>
      </c>
      <c r="B44" t="s">
        <v>698</v>
      </c>
    </row>
    <row r="45" spans="1:11">
      <c r="A45">
        <v>38</v>
      </c>
      <c r="B45" t="s">
        <v>699</v>
      </c>
    </row>
    <row r="46" spans="1:11">
      <c r="A46">
        <v>38</v>
      </c>
      <c r="B46" t="s">
        <v>700</v>
      </c>
    </row>
    <row r="47" spans="1:11">
      <c r="A47">
        <v>38</v>
      </c>
      <c r="B47" t="s">
        <v>701</v>
      </c>
    </row>
    <row r="48" spans="1:11">
      <c r="A48">
        <v>38</v>
      </c>
      <c r="B48" t="s">
        <v>702</v>
      </c>
    </row>
    <row r="49" spans="1:2">
      <c r="A49">
        <v>38</v>
      </c>
      <c r="B49" t="s">
        <v>703</v>
      </c>
    </row>
    <row r="50" spans="1:2">
      <c r="A50">
        <v>38</v>
      </c>
      <c r="B50" t="s">
        <v>704</v>
      </c>
    </row>
    <row r="51" spans="1:2">
      <c r="A51">
        <v>38</v>
      </c>
      <c r="B51" t="s">
        <v>705</v>
      </c>
    </row>
    <row r="52" spans="1:2">
      <c r="A52">
        <v>38</v>
      </c>
      <c r="B52" t="s">
        <v>706</v>
      </c>
    </row>
    <row r="53" spans="1:2">
      <c r="A53">
        <v>38</v>
      </c>
      <c r="B53" t="s">
        <v>707</v>
      </c>
    </row>
    <row r="54" spans="1:2">
      <c r="A54">
        <v>38</v>
      </c>
      <c r="B54" t="s">
        <v>708</v>
      </c>
    </row>
    <row r="55" spans="1:2">
      <c r="A55">
        <v>38</v>
      </c>
      <c r="B55" t="s">
        <v>709</v>
      </c>
    </row>
    <row r="56" spans="1:2">
      <c r="A56">
        <v>38</v>
      </c>
      <c r="B56" t="s">
        <v>710</v>
      </c>
    </row>
    <row r="57" spans="1:2">
      <c r="A57">
        <v>38</v>
      </c>
      <c r="B57" t="s">
        <v>711</v>
      </c>
    </row>
    <row r="58" spans="1:2">
      <c r="A58">
        <v>38</v>
      </c>
      <c r="B58" t="s">
        <v>712</v>
      </c>
    </row>
    <row r="59" spans="1:2">
      <c r="A59">
        <v>38</v>
      </c>
      <c r="B59" t="s">
        <v>713</v>
      </c>
    </row>
    <row r="60" spans="1:2">
      <c r="A60">
        <v>38</v>
      </c>
      <c r="B60" t="s">
        <v>714</v>
      </c>
    </row>
    <row r="61" spans="1:2">
      <c r="A61">
        <v>38</v>
      </c>
      <c r="B61" t="s">
        <v>715</v>
      </c>
    </row>
    <row r="62" spans="1:2">
      <c r="A62">
        <v>38</v>
      </c>
      <c r="B62" t="s">
        <v>716</v>
      </c>
    </row>
    <row r="63" spans="1:2">
      <c r="A63">
        <v>38</v>
      </c>
      <c r="B63" t="s">
        <v>717</v>
      </c>
    </row>
    <row r="64" spans="1:2">
      <c r="A64">
        <v>38</v>
      </c>
      <c r="B64" t="s">
        <v>718</v>
      </c>
    </row>
    <row r="65" spans="1:2">
      <c r="A65">
        <v>38</v>
      </c>
      <c r="B65" t="s">
        <v>719</v>
      </c>
    </row>
    <row r="66" spans="1:2">
      <c r="A66">
        <v>38</v>
      </c>
      <c r="B66" t="s">
        <v>720</v>
      </c>
    </row>
    <row r="67" spans="1:2">
      <c r="A67">
        <v>38</v>
      </c>
      <c r="B67" t="s">
        <v>721</v>
      </c>
    </row>
    <row r="68" spans="1:2">
      <c r="A68">
        <v>38</v>
      </c>
      <c r="B68" t="s">
        <v>722</v>
      </c>
    </row>
    <row r="69" spans="1:2">
      <c r="A69">
        <v>38</v>
      </c>
      <c r="B69" t="s">
        <v>723</v>
      </c>
    </row>
    <row r="70" spans="1:2">
      <c r="A70">
        <v>38</v>
      </c>
      <c r="B70" t="s">
        <v>724</v>
      </c>
    </row>
    <row r="71" spans="1:2">
      <c r="A71">
        <v>38</v>
      </c>
      <c r="B71" t="s">
        <v>725</v>
      </c>
    </row>
    <row r="72" spans="1:2">
      <c r="A72">
        <v>38</v>
      </c>
      <c r="B72" t="s">
        <v>726</v>
      </c>
    </row>
    <row r="73" spans="1:2">
      <c r="A73">
        <v>38</v>
      </c>
      <c r="B73" t="s">
        <v>727</v>
      </c>
    </row>
    <row r="74" spans="1:2">
      <c r="A74">
        <v>38</v>
      </c>
      <c r="B74" t="s">
        <v>728</v>
      </c>
    </row>
    <row r="75" spans="1:2">
      <c r="A75">
        <v>38</v>
      </c>
      <c r="B75" t="s">
        <v>729</v>
      </c>
    </row>
    <row r="76" spans="1:2">
      <c r="A76">
        <v>38</v>
      </c>
      <c r="B76" t="s">
        <v>730</v>
      </c>
    </row>
    <row r="77" spans="1:2">
      <c r="A77">
        <v>38</v>
      </c>
      <c r="B77" t="s">
        <v>731</v>
      </c>
    </row>
    <row r="78" spans="1:2">
      <c r="A78">
        <v>38</v>
      </c>
      <c r="B78" t="s">
        <v>732</v>
      </c>
    </row>
    <row r="79" spans="1:2">
      <c r="A79">
        <v>38</v>
      </c>
      <c r="B79" t="s">
        <v>733</v>
      </c>
    </row>
    <row r="80" spans="1:2">
      <c r="A80">
        <v>38</v>
      </c>
      <c r="B80" t="s">
        <v>734</v>
      </c>
    </row>
    <row r="81" spans="1:2">
      <c r="A81">
        <v>38</v>
      </c>
      <c r="B81" t="s">
        <v>735</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5"/>
  <sheetViews>
    <sheetView workbookViewId="0"/>
  </sheetViews>
  <sheetFormatPr baseColWidth="10" defaultColWidth="8.7265625" defaultRowHeight="12.5"/>
  <cols>
    <col min="1" max="1" width="13" customWidth="1"/>
    <col min="2" max="2" width="41" customWidth="1"/>
    <col min="3" max="7" width="13" customWidth="1"/>
  </cols>
  <sheetData>
    <row r="1" spans="1:7">
      <c r="A1" t="s">
        <v>637</v>
      </c>
      <c r="B1" t="s">
        <v>634</v>
      </c>
      <c r="C1" t="s">
        <v>1031</v>
      </c>
      <c r="D1" t="s">
        <v>1032</v>
      </c>
      <c r="E1" t="s">
        <v>1033</v>
      </c>
      <c r="F1" t="s">
        <v>1034</v>
      </c>
      <c r="G1" t="s">
        <v>1035</v>
      </c>
    </row>
    <row r="2" spans="1:7">
      <c r="A2">
        <v>38</v>
      </c>
      <c r="B2" t="s">
        <v>736</v>
      </c>
      <c r="C2">
        <v>999999987.09000027</v>
      </c>
      <c r="D2">
        <v>12874153.58</v>
      </c>
      <c r="E2">
        <v>12869301.560000001</v>
      </c>
      <c r="F2">
        <v>25743455.140000001</v>
      </c>
      <c r="G2">
        <v>0.1439563772824759</v>
      </c>
    </row>
    <row r="3" spans="1:7">
      <c r="A3">
        <v>38</v>
      </c>
      <c r="B3" t="s">
        <v>737</v>
      </c>
      <c r="C3">
        <v>999999994.49000025</v>
      </c>
      <c r="D3">
        <v>12749018.209999988</v>
      </c>
      <c r="E3">
        <v>14938459.260000011</v>
      </c>
      <c r="F3">
        <v>27687477.469999999</v>
      </c>
      <c r="G3">
        <v>0.1652424397028962</v>
      </c>
    </row>
    <row r="4" spans="1:7">
      <c r="A4">
        <v>38</v>
      </c>
      <c r="B4" t="s">
        <v>738</v>
      </c>
      <c r="C4">
        <v>999999997.6700002</v>
      </c>
      <c r="D4">
        <v>12267567.370000005</v>
      </c>
      <c r="E4">
        <v>9162134.9099999964</v>
      </c>
      <c r="F4">
        <v>21429702.280000001</v>
      </c>
      <c r="G4">
        <v>0.1045710351748308</v>
      </c>
    </row>
    <row r="5" spans="1:7">
      <c r="A5">
        <v>38</v>
      </c>
      <c r="B5" t="s">
        <v>739</v>
      </c>
      <c r="C5">
        <v>999999994.00000024</v>
      </c>
      <c r="D5">
        <v>12703121.130000014</v>
      </c>
      <c r="E5">
        <v>19011983.489999983</v>
      </c>
      <c r="F5">
        <v>31715104.619999997</v>
      </c>
      <c r="G5">
        <v>0.20573682844045915</v>
      </c>
    </row>
    <row r="6" spans="1:7">
      <c r="A6">
        <v>38</v>
      </c>
      <c r="B6" t="s">
        <v>740</v>
      </c>
      <c r="C6">
        <v>999999989.14000022</v>
      </c>
      <c r="D6">
        <v>12573513.080000028</v>
      </c>
      <c r="E6">
        <v>15870326.31999997</v>
      </c>
      <c r="F6">
        <v>28443839.399999999</v>
      </c>
      <c r="G6">
        <v>0.17466944742711243</v>
      </c>
    </row>
    <row r="7" spans="1:7">
      <c r="A7">
        <v>38</v>
      </c>
      <c r="B7" t="s">
        <v>741</v>
      </c>
      <c r="C7">
        <v>999999997.6500001</v>
      </c>
      <c r="D7">
        <v>12878781.510000009</v>
      </c>
      <c r="E7">
        <v>16692848.519999992</v>
      </c>
      <c r="F7">
        <v>29571630.030000001</v>
      </c>
      <c r="G7">
        <v>0.18290910187146314</v>
      </c>
    </row>
    <row r="8" spans="1:7">
      <c r="A8">
        <v>38</v>
      </c>
      <c r="B8" t="s">
        <v>742</v>
      </c>
      <c r="C8">
        <v>999999996.75000012</v>
      </c>
      <c r="D8">
        <v>13682490.239999989</v>
      </c>
      <c r="E8">
        <v>13503526.900000012</v>
      </c>
      <c r="F8">
        <v>27186017.140000001</v>
      </c>
      <c r="G8">
        <v>0.15053313575833305</v>
      </c>
    </row>
    <row r="9" spans="1:7">
      <c r="A9">
        <v>38</v>
      </c>
      <c r="B9" t="s">
        <v>743</v>
      </c>
      <c r="C9">
        <v>999999997.4000001</v>
      </c>
      <c r="D9">
        <v>13211478.119999997</v>
      </c>
      <c r="E9">
        <v>16184488.810000002</v>
      </c>
      <c r="F9">
        <v>29395966.93</v>
      </c>
      <c r="G9">
        <v>0.17782553189681738</v>
      </c>
    </row>
    <row r="10" spans="1:7">
      <c r="A10">
        <v>38</v>
      </c>
      <c r="B10" t="s">
        <v>744</v>
      </c>
      <c r="C10">
        <v>999999977.96000004</v>
      </c>
      <c r="D10">
        <v>13262543.270000014</v>
      </c>
      <c r="E10">
        <v>16278904.209999986</v>
      </c>
      <c r="F10">
        <v>29541447.48</v>
      </c>
      <c r="G10">
        <v>0.17877187068324063</v>
      </c>
    </row>
    <row r="11" spans="1:7">
      <c r="A11">
        <v>38</v>
      </c>
      <c r="B11" t="s">
        <v>745</v>
      </c>
      <c r="C11">
        <v>999999995.70000005</v>
      </c>
      <c r="D11">
        <v>13446052.159999993</v>
      </c>
      <c r="E11">
        <v>18154861.640000008</v>
      </c>
      <c r="F11">
        <v>31600913.800000001</v>
      </c>
      <c r="G11">
        <v>0.19736900258936274</v>
      </c>
    </row>
    <row r="12" spans="1:7">
      <c r="A12">
        <v>38</v>
      </c>
      <c r="B12" t="s">
        <v>746</v>
      </c>
      <c r="C12">
        <v>999999981.95999992</v>
      </c>
      <c r="D12">
        <v>13599419.18999999</v>
      </c>
      <c r="E12">
        <v>16834208.940000009</v>
      </c>
      <c r="F12">
        <v>30433628.129999999</v>
      </c>
      <c r="G12">
        <v>0.18431757219282974</v>
      </c>
    </row>
    <row r="13" spans="1:7">
      <c r="A13">
        <v>38</v>
      </c>
      <c r="B13" t="s">
        <v>747</v>
      </c>
      <c r="C13">
        <v>999530391.04999995</v>
      </c>
      <c r="D13">
        <v>15340390.180000013</v>
      </c>
      <c r="E13">
        <v>11711911.979999987</v>
      </c>
      <c r="F13">
        <v>27052302.16</v>
      </c>
      <c r="G13">
        <v>0.13189209194135831</v>
      </c>
    </row>
    <row r="14" spans="1:7">
      <c r="A14">
        <v>38</v>
      </c>
      <c r="B14" t="s">
        <v>748</v>
      </c>
      <c r="C14">
        <v>999580049.78999984</v>
      </c>
      <c r="D14">
        <v>13793697.789999992</v>
      </c>
      <c r="E14">
        <v>11179253.250000007</v>
      </c>
      <c r="F14">
        <v>24972951.039999999</v>
      </c>
      <c r="G14">
        <v>0.12625222050776919</v>
      </c>
    </row>
    <row r="15" spans="1:7">
      <c r="A15">
        <v>38</v>
      </c>
      <c r="B15" t="s">
        <v>749</v>
      </c>
      <c r="C15">
        <v>972266109.06999993</v>
      </c>
      <c r="D15">
        <v>13666245.620000003</v>
      </c>
      <c r="E15">
        <v>11190638.689999996</v>
      </c>
      <c r="F15">
        <v>24856884.309999999</v>
      </c>
      <c r="G15">
        <v>0.12970168240960411</v>
      </c>
    </row>
    <row r="16" spans="1:7">
      <c r="A16">
        <v>38</v>
      </c>
      <c r="B16" t="s">
        <v>750</v>
      </c>
      <c r="C16">
        <v>944785206.33999991</v>
      </c>
      <c r="D16">
        <v>13428232.839999998</v>
      </c>
      <c r="E16">
        <v>6947345.4199999999</v>
      </c>
      <c r="F16">
        <v>20375578.259999998</v>
      </c>
      <c r="G16">
        <v>8.4757614431644979E-2</v>
      </c>
    </row>
    <row r="17" spans="1:7">
      <c r="A17">
        <v>38</v>
      </c>
      <c r="B17" t="s">
        <v>751</v>
      </c>
      <c r="C17">
        <v>921970706.56999993</v>
      </c>
      <c r="D17">
        <v>13481764.400000008</v>
      </c>
      <c r="E17">
        <v>15831286.419999992</v>
      </c>
      <c r="F17">
        <v>29313050.82</v>
      </c>
      <c r="G17">
        <v>0.18766564983211276</v>
      </c>
    </row>
    <row r="18" spans="1:7">
      <c r="A18">
        <v>38</v>
      </c>
      <c r="B18" t="s">
        <v>752</v>
      </c>
      <c r="C18">
        <v>890117850.68999994</v>
      </c>
      <c r="D18">
        <v>12996695.209999992</v>
      </c>
      <c r="E18">
        <v>12787144.970000008</v>
      </c>
      <c r="F18">
        <v>25783840.18</v>
      </c>
      <c r="G18">
        <v>0.15939914586898651</v>
      </c>
    </row>
    <row r="19" spans="1:7">
      <c r="A19">
        <v>38</v>
      </c>
      <c r="B19" t="s">
        <v>753</v>
      </c>
      <c r="C19">
        <v>861730634.76999998</v>
      </c>
      <c r="D19">
        <v>13076882.809999999</v>
      </c>
      <c r="E19">
        <v>11073015.120000001</v>
      </c>
      <c r="F19">
        <v>24149897.93</v>
      </c>
      <c r="G19">
        <v>0.14375279322232148</v>
      </c>
    </row>
    <row r="20" spans="1:7">
      <c r="A20">
        <v>38</v>
      </c>
      <c r="B20" t="s">
        <v>754</v>
      </c>
      <c r="C20">
        <v>835033301.61999989</v>
      </c>
      <c r="D20">
        <v>12399426.809999995</v>
      </c>
      <c r="E20">
        <v>11845408.980000004</v>
      </c>
      <c r="F20">
        <v>24244835.789999999</v>
      </c>
      <c r="G20">
        <v>0.15755386541545702</v>
      </c>
    </row>
    <row r="21" spans="1:7">
      <c r="A21">
        <v>38</v>
      </c>
      <c r="B21" t="s">
        <v>755</v>
      </c>
      <c r="C21">
        <v>808209422.54999983</v>
      </c>
      <c r="D21">
        <v>12178434.680000002</v>
      </c>
      <c r="E21">
        <v>10913314.139999999</v>
      </c>
      <c r="F21">
        <v>23091748.82</v>
      </c>
      <c r="G21">
        <v>0.15052848737645041</v>
      </c>
    </row>
    <row r="22" spans="1:7">
      <c r="A22">
        <v>38</v>
      </c>
      <c r="B22" t="s">
        <v>756</v>
      </c>
      <c r="C22">
        <v>782196586.9599998</v>
      </c>
      <c r="D22">
        <v>12151252.310000004</v>
      </c>
      <c r="E22">
        <v>10400103.579999996</v>
      </c>
      <c r="F22">
        <v>22551355.890000001</v>
      </c>
      <c r="G22">
        <v>0.14838648388545306</v>
      </c>
    </row>
    <row r="23" spans="1:7">
      <c r="A23">
        <v>38</v>
      </c>
      <c r="B23" t="s">
        <v>757</v>
      </c>
      <c r="C23">
        <v>757456618.61999977</v>
      </c>
      <c r="D23">
        <v>11862521.130000001</v>
      </c>
      <c r="E23">
        <v>11399724.4</v>
      </c>
      <c r="F23">
        <v>23262245.530000001</v>
      </c>
      <c r="G23">
        <v>0.16637602122129302</v>
      </c>
    </row>
    <row r="24" spans="1:7">
      <c r="A24">
        <v>38</v>
      </c>
      <c r="B24" t="s">
        <v>758</v>
      </c>
      <c r="C24">
        <v>731399238.9599998</v>
      </c>
      <c r="D24">
        <v>11731053.269999994</v>
      </c>
      <c r="E24">
        <v>9605072.5200000051</v>
      </c>
      <c r="F24">
        <v>21336125.789999999</v>
      </c>
      <c r="G24">
        <v>0.14669092618638835</v>
      </c>
    </row>
    <row r="25" spans="1:7">
      <c r="A25">
        <v>38</v>
      </c>
      <c r="B25" t="s">
        <v>759</v>
      </c>
      <c r="C25">
        <v>707906332.37999988</v>
      </c>
      <c r="D25">
        <v>11354152.690000005</v>
      </c>
      <c r="E25">
        <v>8141008.599999995</v>
      </c>
      <c r="F25">
        <v>19495161.289999999</v>
      </c>
      <c r="G25">
        <v>0.12959887243422585</v>
      </c>
    </row>
    <row r="26" spans="1:7">
      <c r="A26">
        <v>38</v>
      </c>
      <c r="B26" t="s">
        <v>760</v>
      </c>
      <c r="C26">
        <v>686245897.63999987</v>
      </c>
      <c r="D26">
        <v>11574922.919999996</v>
      </c>
      <c r="E26">
        <v>9370823.7400000039</v>
      </c>
      <c r="F26">
        <v>20945746.66</v>
      </c>
      <c r="G26">
        <v>0.15209905080930552</v>
      </c>
    </row>
    <row r="27" spans="1:7">
      <c r="A27">
        <v>38</v>
      </c>
      <c r="B27" t="s">
        <v>1041</v>
      </c>
      <c r="C27">
        <v>663524217.88999987</v>
      </c>
      <c r="D27">
        <v>11095809.889999997</v>
      </c>
      <c r="E27">
        <v>6434692.9600000037</v>
      </c>
      <c r="F27">
        <v>17530502.850000001</v>
      </c>
      <c r="G27">
        <v>0.11036229382667007</v>
      </c>
    </row>
    <row r="28" spans="1:7">
      <c r="A28">
        <v>38</v>
      </c>
      <c r="B28" t="s">
        <v>1042</v>
      </c>
      <c r="C28">
        <v>643878808.3299998</v>
      </c>
      <c r="D28">
        <v>10824002.309999999</v>
      </c>
      <c r="E28">
        <v>4234187.7800000021</v>
      </c>
      <c r="F28">
        <v>15058190.09</v>
      </c>
      <c r="G28">
        <v>7.6120262481757184E-2</v>
      </c>
    </row>
    <row r="29" spans="1:7">
      <c r="A29">
        <v>38</v>
      </c>
      <c r="B29" t="s">
        <v>1627</v>
      </c>
      <c r="C29">
        <v>626981831.49999988</v>
      </c>
      <c r="D29">
        <v>11233842.549999997</v>
      </c>
      <c r="E29">
        <v>8106944.2200000025</v>
      </c>
      <c r="F29">
        <v>19340786.77</v>
      </c>
      <c r="G29">
        <v>0.14458896385233955</v>
      </c>
    </row>
    <row r="30" spans="1:7">
      <c r="A30">
        <v>38</v>
      </c>
      <c r="B30" t="s">
        <v>1628</v>
      </c>
      <c r="C30">
        <v>605593470.43999994</v>
      </c>
      <c r="D30">
        <v>10657546.860000003</v>
      </c>
      <c r="E30">
        <v>6148915.4999999972</v>
      </c>
      <c r="F30">
        <v>16806462.359999999</v>
      </c>
      <c r="G30">
        <v>0.1152633288123287</v>
      </c>
    </row>
    <row r="31" spans="1:7">
      <c r="A31">
        <v>38</v>
      </c>
      <c r="B31" t="s">
        <v>1629</v>
      </c>
      <c r="C31">
        <v>586759359.30999994</v>
      </c>
      <c r="D31">
        <v>10440973.470000003</v>
      </c>
      <c r="E31">
        <v>6038610.5999999987</v>
      </c>
      <c r="F31">
        <v>16479584.07</v>
      </c>
      <c r="G31">
        <v>0.11674152843620667</v>
      </c>
    </row>
    <row r="32" spans="1:7">
      <c r="A32">
        <v>38</v>
      </c>
      <c r="B32" t="s">
        <v>1630</v>
      </c>
      <c r="C32">
        <v>568467527.35000002</v>
      </c>
      <c r="D32">
        <v>10352758.200000003</v>
      </c>
      <c r="E32">
        <v>6905244.0199999949</v>
      </c>
      <c r="F32">
        <v>17258002.219999999</v>
      </c>
      <c r="G32">
        <v>0.13641073113290836</v>
      </c>
    </row>
    <row r="33" spans="1:7">
      <c r="A33">
        <v>38</v>
      </c>
      <c r="B33" t="s">
        <v>1631</v>
      </c>
      <c r="C33">
        <v>549072459.42000008</v>
      </c>
      <c r="D33">
        <v>10245999.360000001</v>
      </c>
      <c r="E33">
        <v>6762647.2699999977</v>
      </c>
      <c r="F33">
        <v>17008646.629999999</v>
      </c>
      <c r="G33">
        <v>0.13818585349579282</v>
      </c>
    </row>
    <row r="34" spans="1:7">
      <c r="A34">
        <v>38</v>
      </c>
      <c r="B34" t="s">
        <v>1632</v>
      </c>
      <c r="C34">
        <v>530411090.53000003</v>
      </c>
      <c r="D34">
        <v>9884900.6100000031</v>
      </c>
      <c r="E34">
        <v>6033684.4699999979</v>
      </c>
      <c r="F34">
        <v>15918585.08</v>
      </c>
      <c r="G34">
        <v>0.12828103343464037</v>
      </c>
    </row>
    <row r="35" spans="1:7">
      <c r="A35">
        <v>38</v>
      </c>
      <c r="B35" t="s">
        <v>761</v>
      </c>
      <c r="C35">
        <v>735367523.19000006</v>
      </c>
      <c r="D35">
        <v>14468427.459999997</v>
      </c>
      <c r="E35">
        <v>8616340.5100000016</v>
      </c>
      <c r="F35">
        <v>23084767.969999999</v>
      </c>
      <c r="G35">
        <v>0.1318882843772492</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8"/>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649</v>
      </c>
      <c r="B1" t="s">
        <v>650</v>
      </c>
      <c r="C1" t="s">
        <v>424</v>
      </c>
      <c r="D1" t="s">
        <v>267</v>
      </c>
      <c r="E1" t="s">
        <v>651</v>
      </c>
      <c r="F1" t="s">
        <v>420</v>
      </c>
      <c r="G1" t="s">
        <v>243</v>
      </c>
      <c r="H1" t="s">
        <v>652</v>
      </c>
      <c r="I1" t="s">
        <v>418</v>
      </c>
      <c r="J1" t="s">
        <v>653</v>
      </c>
      <c r="K1" t="s">
        <v>419</v>
      </c>
      <c r="L1" t="s">
        <v>421</v>
      </c>
      <c r="M1" t="s">
        <v>609</v>
      </c>
      <c r="N1" t="s">
        <v>1036</v>
      </c>
      <c r="O1" t="s">
        <v>1037</v>
      </c>
      <c r="P1" t="s">
        <v>1038</v>
      </c>
      <c r="Q1" t="s">
        <v>1039</v>
      </c>
      <c r="R1" t="s">
        <v>654</v>
      </c>
      <c r="S1" t="s">
        <v>655</v>
      </c>
    </row>
    <row r="2" spans="1:19">
      <c r="A2">
        <v>38</v>
      </c>
      <c r="B2" t="s">
        <v>103</v>
      </c>
      <c r="C2" t="s">
        <v>1633</v>
      </c>
      <c r="D2" t="s">
        <v>1634</v>
      </c>
      <c r="E2" t="s">
        <v>1635</v>
      </c>
      <c r="F2" t="s">
        <v>1636</v>
      </c>
      <c r="G2" t="s">
        <v>1637</v>
      </c>
      <c r="H2" t="s">
        <v>400</v>
      </c>
      <c r="I2" t="s">
        <v>400</v>
      </c>
      <c r="J2" t="s">
        <v>401</v>
      </c>
      <c r="K2" t="s">
        <v>401</v>
      </c>
      <c r="L2" t="s">
        <v>1638</v>
      </c>
      <c r="M2" t="s">
        <v>1639</v>
      </c>
      <c r="N2" t="s">
        <v>1640</v>
      </c>
      <c r="O2" t="s">
        <v>1640</v>
      </c>
      <c r="P2" t="s">
        <v>1641</v>
      </c>
      <c r="Q2" t="s">
        <v>1638</v>
      </c>
      <c r="R2" t="s">
        <v>1392</v>
      </c>
      <c r="S2" t="s">
        <v>1392</v>
      </c>
    </row>
    <row r="3" spans="1:19">
      <c r="A3">
        <v>38</v>
      </c>
      <c r="B3" t="s">
        <v>463</v>
      </c>
      <c r="C3" t="s">
        <v>1642</v>
      </c>
      <c r="D3" t="s">
        <v>1643</v>
      </c>
      <c r="E3" t="s">
        <v>1644</v>
      </c>
      <c r="F3" t="s">
        <v>1636</v>
      </c>
      <c r="G3" t="s">
        <v>1638</v>
      </c>
      <c r="H3" t="s">
        <v>1645</v>
      </c>
      <c r="I3" t="s">
        <v>1645</v>
      </c>
      <c r="J3" t="s">
        <v>1646</v>
      </c>
      <c r="K3" t="s">
        <v>1646</v>
      </c>
      <c r="L3" t="s">
        <v>1638</v>
      </c>
      <c r="M3" t="s">
        <v>1647</v>
      </c>
      <c r="N3" t="s">
        <v>1648</v>
      </c>
      <c r="O3" t="s">
        <v>1648</v>
      </c>
      <c r="P3" t="s">
        <v>1649</v>
      </c>
      <c r="Q3" t="s">
        <v>1638</v>
      </c>
      <c r="R3" t="s">
        <v>1392</v>
      </c>
      <c r="S3" t="s">
        <v>1392</v>
      </c>
    </row>
    <row r="4" spans="1:19">
      <c r="A4">
        <v>38</v>
      </c>
      <c r="B4" t="s">
        <v>466</v>
      </c>
      <c r="C4" t="s">
        <v>1642</v>
      </c>
      <c r="D4" t="s">
        <v>35</v>
      </c>
      <c r="E4" t="s">
        <v>1644</v>
      </c>
      <c r="F4" t="s">
        <v>1636</v>
      </c>
      <c r="G4" t="s">
        <v>1638</v>
      </c>
      <c r="H4" t="s">
        <v>35</v>
      </c>
      <c r="I4" t="s">
        <v>1645</v>
      </c>
      <c r="J4" t="s">
        <v>35</v>
      </c>
      <c r="K4" t="s">
        <v>1646</v>
      </c>
      <c r="L4" t="s">
        <v>1638</v>
      </c>
      <c r="M4" t="s">
        <v>35</v>
      </c>
      <c r="N4" t="s">
        <v>1648</v>
      </c>
      <c r="O4" t="s">
        <v>1648</v>
      </c>
      <c r="P4" t="s">
        <v>1649</v>
      </c>
      <c r="Q4" t="s">
        <v>1638</v>
      </c>
      <c r="R4" t="s">
        <v>1392</v>
      </c>
      <c r="S4" t="s">
        <v>1392</v>
      </c>
    </row>
    <row r="5" spans="1:19">
      <c r="A5">
        <v>38</v>
      </c>
      <c r="B5" t="s">
        <v>260</v>
      </c>
      <c r="C5" t="s">
        <v>35</v>
      </c>
      <c r="D5" t="s">
        <v>35</v>
      </c>
      <c r="E5" t="s">
        <v>35</v>
      </c>
      <c r="F5" t="s">
        <v>35</v>
      </c>
      <c r="G5" t="s">
        <v>35</v>
      </c>
      <c r="H5" t="s">
        <v>35</v>
      </c>
      <c r="I5" t="s">
        <v>35</v>
      </c>
      <c r="J5" t="s">
        <v>35</v>
      </c>
      <c r="K5" t="s">
        <v>35</v>
      </c>
      <c r="L5" t="s">
        <v>35</v>
      </c>
      <c r="M5" t="s">
        <v>35</v>
      </c>
      <c r="N5" t="s">
        <v>35</v>
      </c>
      <c r="O5" t="s">
        <v>35</v>
      </c>
      <c r="P5" t="s">
        <v>35</v>
      </c>
      <c r="Q5" t="s">
        <v>35</v>
      </c>
      <c r="R5" t="s">
        <v>1392</v>
      </c>
      <c r="S5" t="s">
        <v>1392</v>
      </c>
    </row>
    <row r="6" spans="1:19">
      <c r="A6">
        <v>38</v>
      </c>
      <c r="B6" t="s">
        <v>430</v>
      </c>
      <c r="C6" t="s">
        <v>35</v>
      </c>
      <c r="D6" t="s">
        <v>35</v>
      </c>
      <c r="E6" t="s">
        <v>35</v>
      </c>
      <c r="F6" t="s">
        <v>35</v>
      </c>
      <c r="G6" t="s">
        <v>35</v>
      </c>
      <c r="H6" t="s">
        <v>35</v>
      </c>
      <c r="I6" t="s">
        <v>35</v>
      </c>
      <c r="J6" t="s">
        <v>35</v>
      </c>
      <c r="K6" t="s">
        <v>35</v>
      </c>
      <c r="L6" t="s">
        <v>35</v>
      </c>
      <c r="M6" t="s">
        <v>35</v>
      </c>
      <c r="N6" t="s">
        <v>35</v>
      </c>
      <c r="O6" t="s">
        <v>35</v>
      </c>
      <c r="P6" t="s">
        <v>35</v>
      </c>
      <c r="Q6" t="s">
        <v>35</v>
      </c>
      <c r="R6" t="s">
        <v>1392</v>
      </c>
      <c r="S6" t="s">
        <v>1392</v>
      </c>
    </row>
    <row r="7" spans="1:19">
      <c r="A7">
        <v>38</v>
      </c>
      <c r="B7" t="s">
        <v>1650</v>
      </c>
      <c r="C7" t="s">
        <v>1651</v>
      </c>
      <c r="D7" t="s">
        <v>1652</v>
      </c>
      <c r="E7" t="s">
        <v>1653</v>
      </c>
      <c r="F7" t="s">
        <v>1654</v>
      </c>
      <c r="G7" t="s">
        <v>1655</v>
      </c>
      <c r="H7" t="s">
        <v>1656</v>
      </c>
      <c r="I7" t="s">
        <v>1657</v>
      </c>
      <c r="J7" t="s">
        <v>1658</v>
      </c>
      <c r="K7" t="s">
        <v>1659</v>
      </c>
      <c r="L7" t="s">
        <v>1660</v>
      </c>
      <c r="M7" t="s">
        <v>1661</v>
      </c>
      <c r="N7" t="s">
        <v>1662</v>
      </c>
      <c r="O7" t="s">
        <v>1663</v>
      </c>
      <c r="P7" t="s">
        <v>1664</v>
      </c>
      <c r="Q7" t="s">
        <v>1665</v>
      </c>
      <c r="R7" t="s">
        <v>1666</v>
      </c>
      <c r="S7" t="s">
        <v>1392</v>
      </c>
    </row>
    <row r="8" spans="1:19">
      <c r="A8">
        <v>38</v>
      </c>
      <c r="B8" t="s">
        <v>196</v>
      </c>
      <c r="C8" t="s">
        <v>1667</v>
      </c>
      <c r="D8" t="s">
        <v>1668</v>
      </c>
      <c r="E8" t="s">
        <v>1644</v>
      </c>
      <c r="F8" t="s">
        <v>35</v>
      </c>
      <c r="G8" t="s">
        <v>1638</v>
      </c>
      <c r="H8" t="s">
        <v>35</v>
      </c>
      <c r="I8" t="s">
        <v>400</v>
      </c>
      <c r="J8" t="s">
        <v>401</v>
      </c>
      <c r="K8" t="s">
        <v>401</v>
      </c>
      <c r="L8" t="s">
        <v>1638</v>
      </c>
      <c r="M8" t="s">
        <v>1639</v>
      </c>
      <c r="N8" t="s">
        <v>35</v>
      </c>
      <c r="O8" t="s">
        <v>35</v>
      </c>
      <c r="P8" t="s">
        <v>35</v>
      </c>
      <c r="Q8" t="s">
        <v>35</v>
      </c>
      <c r="R8" t="s">
        <v>1392</v>
      </c>
      <c r="S8" t="s">
        <v>1392</v>
      </c>
    </row>
    <row r="9" spans="1:19">
      <c r="A9">
        <v>38</v>
      </c>
      <c r="B9" t="s">
        <v>109</v>
      </c>
      <c r="C9" t="s">
        <v>1633</v>
      </c>
      <c r="D9" t="s">
        <v>1634</v>
      </c>
      <c r="E9" t="s">
        <v>1635</v>
      </c>
      <c r="F9" t="s">
        <v>1636</v>
      </c>
      <c r="G9" t="s">
        <v>1637</v>
      </c>
      <c r="H9" t="s">
        <v>1669</v>
      </c>
      <c r="I9" t="s">
        <v>400</v>
      </c>
      <c r="J9" t="s">
        <v>401</v>
      </c>
      <c r="K9" t="s">
        <v>401</v>
      </c>
      <c r="L9" t="s">
        <v>1638</v>
      </c>
      <c r="M9" t="s">
        <v>35</v>
      </c>
      <c r="N9" t="s">
        <v>35</v>
      </c>
      <c r="O9" t="s">
        <v>35</v>
      </c>
      <c r="P9" t="s">
        <v>35</v>
      </c>
      <c r="Q9" t="s">
        <v>35</v>
      </c>
      <c r="R9" t="s">
        <v>1392</v>
      </c>
      <c r="S9" t="s">
        <v>1392</v>
      </c>
    </row>
    <row r="10" spans="1:19">
      <c r="A10">
        <v>38</v>
      </c>
      <c r="B10" t="s">
        <v>256</v>
      </c>
      <c r="C10" t="s">
        <v>1667</v>
      </c>
      <c r="D10" t="s">
        <v>1668</v>
      </c>
      <c r="E10" t="s">
        <v>1644</v>
      </c>
      <c r="F10" t="s">
        <v>1636</v>
      </c>
      <c r="G10" t="s">
        <v>1670</v>
      </c>
      <c r="H10" t="s">
        <v>400</v>
      </c>
      <c r="I10" t="s">
        <v>1671</v>
      </c>
      <c r="J10" t="s">
        <v>401</v>
      </c>
      <c r="K10" t="s">
        <v>401</v>
      </c>
      <c r="L10" t="s">
        <v>1638</v>
      </c>
      <c r="M10" t="s">
        <v>1672</v>
      </c>
      <c r="N10" t="s">
        <v>1640</v>
      </c>
      <c r="O10" t="s">
        <v>1640</v>
      </c>
      <c r="P10" t="s">
        <v>1641</v>
      </c>
      <c r="Q10" t="s">
        <v>1638</v>
      </c>
      <c r="R10" t="s">
        <v>1392</v>
      </c>
      <c r="S10" t="s">
        <v>1392</v>
      </c>
    </row>
    <row r="11" spans="1:19">
      <c r="A11">
        <v>38</v>
      </c>
      <c r="B11" t="s">
        <v>594</v>
      </c>
      <c r="C11" t="s">
        <v>1667</v>
      </c>
      <c r="D11" t="s">
        <v>1634</v>
      </c>
      <c r="E11" t="s">
        <v>1644</v>
      </c>
      <c r="F11" t="s">
        <v>1636</v>
      </c>
      <c r="G11" t="s">
        <v>1637</v>
      </c>
      <c r="H11" t="s">
        <v>400</v>
      </c>
      <c r="I11" t="s">
        <v>1671</v>
      </c>
      <c r="J11" t="s">
        <v>401</v>
      </c>
      <c r="K11" t="s">
        <v>606</v>
      </c>
      <c r="L11" t="s">
        <v>1638</v>
      </c>
      <c r="M11" t="s">
        <v>1672</v>
      </c>
      <c r="N11" t="s">
        <v>35</v>
      </c>
      <c r="O11" t="s">
        <v>35</v>
      </c>
      <c r="P11" t="s">
        <v>35</v>
      </c>
      <c r="Q11" t="s">
        <v>35</v>
      </c>
      <c r="R11" t="s">
        <v>1392</v>
      </c>
      <c r="S11" t="s">
        <v>1392</v>
      </c>
    </row>
    <row r="12" spans="1:19">
      <c r="A12">
        <v>38</v>
      </c>
      <c r="B12" t="s">
        <v>574</v>
      </c>
      <c r="C12" t="s">
        <v>1392</v>
      </c>
      <c r="D12" t="s">
        <v>1392</v>
      </c>
      <c r="E12" t="s">
        <v>1392</v>
      </c>
      <c r="F12" t="s">
        <v>1392</v>
      </c>
      <c r="G12" t="s">
        <v>1392</v>
      </c>
      <c r="H12" t="s">
        <v>1392</v>
      </c>
      <c r="I12" t="s">
        <v>1392</v>
      </c>
      <c r="J12" t="s">
        <v>1392</v>
      </c>
      <c r="K12" t="s">
        <v>1392</v>
      </c>
      <c r="L12" t="s">
        <v>1392</v>
      </c>
      <c r="M12" t="s">
        <v>1392</v>
      </c>
      <c r="N12" t="s">
        <v>1392</v>
      </c>
      <c r="O12" t="s">
        <v>1392</v>
      </c>
      <c r="P12" t="s">
        <v>1392</v>
      </c>
      <c r="Q12" t="s">
        <v>1392</v>
      </c>
      <c r="R12" t="s">
        <v>1392</v>
      </c>
      <c r="S12" t="s">
        <v>1673</v>
      </c>
    </row>
    <row r="13" spans="1:19">
      <c r="A13">
        <v>38</v>
      </c>
      <c r="B13" t="s">
        <v>575</v>
      </c>
      <c r="C13" t="s">
        <v>1392</v>
      </c>
      <c r="D13" t="s">
        <v>1392</v>
      </c>
      <c r="E13" t="s">
        <v>1392</v>
      </c>
      <c r="F13" t="s">
        <v>1392</v>
      </c>
      <c r="G13" t="s">
        <v>1392</v>
      </c>
      <c r="H13" t="s">
        <v>1392</v>
      </c>
      <c r="I13" t="s">
        <v>1392</v>
      </c>
      <c r="J13" t="s">
        <v>1392</v>
      </c>
      <c r="K13" t="s">
        <v>1392</v>
      </c>
      <c r="L13" t="s">
        <v>1392</v>
      </c>
      <c r="M13" t="s">
        <v>1392</v>
      </c>
      <c r="N13" t="s">
        <v>1392</v>
      </c>
      <c r="O13" t="s">
        <v>1392</v>
      </c>
      <c r="P13" t="s">
        <v>1392</v>
      </c>
      <c r="Q13" t="s">
        <v>1392</v>
      </c>
      <c r="R13" t="s">
        <v>1392</v>
      </c>
      <c r="S13" t="s">
        <v>1674</v>
      </c>
    </row>
    <row r="14" spans="1:19">
      <c r="A14">
        <v>38</v>
      </c>
      <c r="B14" t="s">
        <v>576</v>
      </c>
      <c r="C14" t="s">
        <v>1392</v>
      </c>
      <c r="D14" t="s">
        <v>1392</v>
      </c>
      <c r="E14" t="s">
        <v>1392</v>
      </c>
      <c r="F14" t="s">
        <v>1392</v>
      </c>
      <c r="G14" t="s">
        <v>1392</v>
      </c>
      <c r="H14" t="s">
        <v>1392</v>
      </c>
      <c r="I14" t="s">
        <v>1392</v>
      </c>
      <c r="J14" t="s">
        <v>1392</v>
      </c>
      <c r="K14" t="s">
        <v>1392</v>
      </c>
      <c r="L14" t="s">
        <v>1392</v>
      </c>
      <c r="M14" t="s">
        <v>1392</v>
      </c>
      <c r="N14" t="s">
        <v>1392</v>
      </c>
      <c r="O14" t="s">
        <v>1392</v>
      </c>
      <c r="P14" t="s">
        <v>1392</v>
      </c>
      <c r="Q14" t="s">
        <v>1392</v>
      </c>
      <c r="R14" t="s">
        <v>1392</v>
      </c>
      <c r="S14" t="s">
        <v>1675</v>
      </c>
    </row>
    <row r="15" spans="1:19">
      <c r="A15">
        <v>38</v>
      </c>
      <c r="B15" t="s">
        <v>577</v>
      </c>
      <c r="C15" t="s">
        <v>1392</v>
      </c>
      <c r="D15" t="s">
        <v>1392</v>
      </c>
      <c r="E15" t="s">
        <v>1392</v>
      </c>
      <c r="F15" t="s">
        <v>1392</v>
      </c>
      <c r="G15" t="s">
        <v>1392</v>
      </c>
      <c r="H15" t="s">
        <v>1392</v>
      </c>
      <c r="I15" t="s">
        <v>1392</v>
      </c>
      <c r="J15" t="s">
        <v>1392</v>
      </c>
      <c r="K15" t="s">
        <v>1392</v>
      </c>
      <c r="L15" t="s">
        <v>1392</v>
      </c>
      <c r="M15" t="s">
        <v>1392</v>
      </c>
      <c r="N15" t="s">
        <v>1392</v>
      </c>
      <c r="O15" t="s">
        <v>1392</v>
      </c>
      <c r="P15" t="s">
        <v>1392</v>
      </c>
      <c r="Q15" t="s">
        <v>1392</v>
      </c>
      <c r="R15" t="s">
        <v>1392</v>
      </c>
      <c r="S15" t="s">
        <v>1676</v>
      </c>
    </row>
    <row r="16" spans="1:19">
      <c r="A16">
        <v>38</v>
      </c>
      <c r="B16" t="s">
        <v>578</v>
      </c>
      <c r="C16" t="s">
        <v>1392</v>
      </c>
      <c r="D16" t="s">
        <v>1392</v>
      </c>
      <c r="E16" t="s">
        <v>1392</v>
      </c>
      <c r="F16" t="s">
        <v>1392</v>
      </c>
      <c r="G16" t="s">
        <v>1392</v>
      </c>
      <c r="H16" t="s">
        <v>1392</v>
      </c>
      <c r="I16" t="s">
        <v>1392</v>
      </c>
      <c r="J16" t="s">
        <v>1392</v>
      </c>
      <c r="K16" t="s">
        <v>1392</v>
      </c>
      <c r="L16" t="s">
        <v>1392</v>
      </c>
      <c r="M16" t="s">
        <v>1392</v>
      </c>
      <c r="N16" t="s">
        <v>1392</v>
      </c>
      <c r="O16" t="s">
        <v>1392</v>
      </c>
      <c r="P16" t="s">
        <v>1392</v>
      </c>
      <c r="Q16" t="s">
        <v>1392</v>
      </c>
      <c r="R16" t="s">
        <v>1392</v>
      </c>
      <c r="S16" t="s">
        <v>1677</v>
      </c>
    </row>
    <row r="17" spans="1:19">
      <c r="A17">
        <v>38</v>
      </c>
      <c r="B17" t="s">
        <v>579</v>
      </c>
      <c r="C17" t="s">
        <v>1392</v>
      </c>
      <c r="D17" t="s">
        <v>1392</v>
      </c>
      <c r="E17" t="s">
        <v>1392</v>
      </c>
      <c r="F17" t="s">
        <v>1392</v>
      </c>
      <c r="G17" t="s">
        <v>1392</v>
      </c>
      <c r="H17" t="s">
        <v>1392</v>
      </c>
      <c r="I17" t="s">
        <v>1392</v>
      </c>
      <c r="J17" t="s">
        <v>1392</v>
      </c>
      <c r="K17" t="s">
        <v>1392</v>
      </c>
      <c r="L17" t="s">
        <v>1392</v>
      </c>
      <c r="M17" t="s">
        <v>1392</v>
      </c>
      <c r="N17" t="s">
        <v>1392</v>
      </c>
      <c r="O17" t="s">
        <v>1392</v>
      </c>
      <c r="P17" t="s">
        <v>1392</v>
      </c>
      <c r="Q17" t="s">
        <v>1392</v>
      </c>
      <c r="R17" t="s">
        <v>1392</v>
      </c>
      <c r="S17" t="s">
        <v>1678</v>
      </c>
    </row>
    <row r="18" spans="1:19">
      <c r="A18">
        <v>38</v>
      </c>
      <c r="B18" t="s">
        <v>580</v>
      </c>
      <c r="C18" t="s">
        <v>1392</v>
      </c>
      <c r="D18" t="s">
        <v>1392</v>
      </c>
      <c r="E18" t="s">
        <v>1392</v>
      </c>
      <c r="F18" t="s">
        <v>1392</v>
      </c>
      <c r="G18" t="s">
        <v>1392</v>
      </c>
      <c r="H18" t="s">
        <v>1392</v>
      </c>
      <c r="I18" t="s">
        <v>1392</v>
      </c>
      <c r="J18" t="s">
        <v>1392</v>
      </c>
      <c r="K18" t="s">
        <v>1392</v>
      </c>
      <c r="L18" t="s">
        <v>1392</v>
      </c>
      <c r="M18" t="s">
        <v>1392</v>
      </c>
      <c r="N18" t="s">
        <v>1392</v>
      </c>
      <c r="O18" t="s">
        <v>1392</v>
      </c>
      <c r="P18" t="s">
        <v>1392</v>
      </c>
      <c r="Q18" t="s">
        <v>1392</v>
      </c>
      <c r="R18" t="s">
        <v>1392</v>
      </c>
      <c r="S18" t="s">
        <v>1392</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60.81640625" style="105" customWidth="1"/>
    <col min="3" max="3" width="14.81640625" style="105" customWidth="1"/>
    <col min="4" max="4" width="20.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99"/>
      <c r="B1" s="100"/>
      <c r="C1" s="100"/>
      <c r="D1" s="100"/>
      <c r="E1" s="100"/>
      <c r="F1" s="100"/>
      <c r="G1" s="100"/>
      <c r="H1" s="100"/>
      <c r="I1" s="100"/>
      <c r="J1" s="100"/>
      <c r="K1" s="101"/>
    </row>
    <row r="2" spans="1:13" ht="18">
      <c r="A2" s="103"/>
      <c r="B2" s="104" t="str">
        <f>'Cover Sheet'!B2</f>
        <v>SC Germany Consumer 2022-1</v>
      </c>
      <c r="C2" s="104"/>
      <c r="D2" s="106" t="str">
        <f>'Cover Sheet'!D2</f>
        <v>Calculation Date</v>
      </c>
      <c r="E2" s="107"/>
      <c r="F2" s="108">
        <f>'Cover Sheet'!F2</f>
        <v>45848</v>
      </c>
      <c r="G2" s="107"/>
      <c r="H2" s="107"/>
      <c r="I2" s="107"/>
      <c r="J2" s="109"/>
      <c r="K2" s="110"/>
      <c r="L2" s="134"/>
    </row>
    <row r="3" spans="1:13" ht="18">
      <c r="A3" s="103"/>
      <c r="B3" s="104" t="str">
        <f>'Cover Sheet'!B3</f>
        <v>Monthly Investor Report</v>
      </c>
      <c r="C3" s="104"/>
      <c r="D3" s="112" t="str">
        <f>'Cover Sheet'!D3</f>
        <v>Payment Date</v>
      </c>
      <c r="E3" s="113"/>
      <c r="F3" s="114">
        <f>'Cover Sheet'!F3</f>
        <v>45852</v>
      </c>
      <c r="G3" s="113"/>
      <c r="H3" s="113"/>
      <c r="I3" s="113"/>
      <c r="J3" s="115"/>
      <c r="K3" s="110"/>
      <c r="L3" s="135"/>
    </row>
    <row r="4" spans="1:13" ht="13">
      <c r="A4" s="103"/>
      <c r="B4" s="116"/>
      <c r="C4" s="158"/>
      <c r="D4" s="112" t="str">
        <f>'Cover Sheet'!D4</f>
        <v>Period  No</v>
      </c>
      <c r="E4" s="113"/>
      <c r="F4" s="117">
        <f>'Cover Sheet'!F4</f>
        <v>33</v>
      </c>
      <c r="G4" s="113"/>
      <c r="H4" s="118"/>
      <c r="I4" s="113"/>
      <c r="J4" s="119"/>
      <c r="K4" s="110"/>
      <c r="L4" s="134"/>
    </row>
    <row r="5" spans="1:13" ht="18">
      <c r="A5" s="103"/>
      <c r="B5" s="120" t="s">
        <v>44</v>
      </c>
      <c r="C5" s="120"/>
      <c r="D5" s="112" t="str">
        <f>'Cover Sheet'!D5</f>
        <v>Monthly Period</v>
      </c>
      <c r="E5" s="113"/>
      <c r="F5" s="121">
        <f>'Cover Sheet'!F5</f>
        <v>45852</v>
      </c>
      <c r="G5" s="113"/>
      <c r="H5" s="118"/>
      <c r="I5" s="113"/>
      <c r="J5" s="119"/>
      <c r="K5" s="110"/>
      <c r="L5" s="135"/>
    </row>
    <row r="6" spans="1:13" s="102" customFormat="1" ht="15" customHeight="1">
      <c r="A6" s="103"/>
      <c r="B6" s="122"/>
      <c r="C6" s="111"/>
      <c r="D6" s="112" t="str">
        <f>'Cover Sheet'!D6</f>
        <v>Interest Period</v>
      </c>
      <c r="E6" s="123" t="str">
        <f>'Cover Sheet'!E6</f>
        <v>from</v>
      </c>
      <c r="F6" s="114">
        <f>'Cover Sheet'!F6</f>
        <v>45824</v>
      </c>
      <c r="G6" s="123" t="str">
        <f>'Cover Sheet'!G6</f>
        <v>to</v>
      </c>
      <c r="H6" s="114">
        <f>'Cover Sheet'!H6</f>
        <v>45852</v>
      </c>
      <c r="I6" s="123" t="str">
        <f>'Cover Sheet'!I6</f>
        <v>=</v>
      </c>
      <c r="J6" s="124" t="str">
        <f>'Cover Sheet'!J6</f>
        <v>28 days</v>
      </c>
      <c r="K6" s="125"/>
      <c r="M6" s="126"/>
    </row>
    <row r="7" spans="1:13" ht="13">
      <c r="A7" s="103"/>
      <c r="D7" s="127" t="str">
        <f>'Cover Sheet'!D7</f>
        <v>Collection Period</v>
      </c>
      <c r="E7" s="128" t="str">
        <f>'Cover Sheet'!E7</f>
        <v>from</v>
      </c>
      <c r="F7" s="129" t="str">
        <f>'Cover Sheet'!F7</f>
        <v>01.06.2025</v>
      </c>
      <c r="G7" s="128" t="str">
        <f>'Cover Sheet'!G7</f>
        <v>to</v>
      </c>
      <c r="H7" s="129">
        <f>'Cover Sheet'!H7</f>
        <v>45838</v>
      </c>
      <c r="I7" s="360"/>
      <c r="J7" s="166"/>
      <c r="K7" s="110"/>
      <c r="L7" s="135"/>
    </row>
    <row r="8" spans="1:13" ht="13">
      <c r="A8" s="103"/>
      <c r="D8" s="134"/>
      <c r="E8" s="133"/>
      <c r="F8" s="134"/>
      <c r="H8" s="167"/>
      <c r="J8" s="135"/>
      <c r="K8" s="110"/>
    </row>
    <row r="9" spans="1:13">
      <c r="A9" s="103"/>
      <c r="K9" s="110"/>
    </row>
    <row r="10" spans="1:13">
      <c r="A10" s="103"/>
      <c r="K10" s="110"/>
    </row>
    <row r="11" spans="1:13" ht="18" customHeight="1">
      <c r="A11" s="103"/>
      <c r="K11" s="110"/>
    </row>
    <row r="12" spans="1:13">
      <c r="A12" s="103"/>
      <c r="K12" s="110"/>
    </row>
    <row r="13" spans="1:13" ht="18">
      <c r="A13" s="103"/>
      <c r="B13" s="104"/>
      <c r="D13" s="871"/>
      <c r="F13" s="133"/>
      <c r="K13" s="110"/>
    </row>
    <row r="14" spans="1:13">
      <c r="A14" s="103"/>
      <c r="D14" s="872"/>
      <c r="K14" s="110"/>
    </row>
    <row r="15" spans="1:13">
      <c r="A15" s="103"/>
      <c r="D15" s="872"/>
      <c r="K15" s="110"/>
    </row>
    <row r="16" spans="1:13">
      <c r="A16" s="103"/>
      <c r="D16" s="872"/>
      <c r="K16" s="110"/>
    </row>
    <row r="17" spans="1:11" ht="18">
      <c r="A17" s="103"/>
      <c r="B17" s="104" t="s">
        <v>11</v>
      </c>
      <c r="D17" s="872"/>
      <c r="F17" s="133"/>
      <c r="K17" s="110"/>
    </row>
    <row r="18" spans="1:11" ht="13">
      <c r="A18" s="103"/>
      <c r="B18" s="142" t="s">
        <v>179</v>
      </c>
      <c r="C18" s="136" t="s">
        <v>8</v>
      </c>
      <c r="D18" s="871"/>
      <c r="F18" s="135" t="s">
        <v>42</v>
      </c>
      <c r="K18" s="110"/>
    </row>
    <row r="19" spans="1:11">
      <c r="A19" s="103"/>
      <c r="B19" s="105" t="s">
        <v>13</v>
      </c>
      <c r="C19" s="873">
        <f>IF(ISNUMBER('5. Outstanding Notes'!C27),D19/'5. Outstanding Notes'!C27,"")</f>
        <v>2.3286565242945055E-2</v>
      </c>
      <c r="D19" s="874">
        <f>VLOOKUP("Liquidity_Reserve_bop",calcdata_22,2,FALSE)</f>
        <v>12657910.82</v>
      </c>
      <c r="F19" s="133"/>
      <c r="K19" s="110"/>
    </row>
    <row r="20" spans="1:11">
      <c r="A20" s="103"/>
      <c r="B20" s="105" t="s">
        <v>79</v>
      </c>
      <c r="D20" s="874">
        <f>VLOOKUP("Liquidity_Reserve_cashout",calcdata_22,2,FALSE)</f>
        <v>12657910.82</v>
      </c>
      <c r="F20" s="133"/>
      <c r="K20" s="110"/>
    </row>
    <row r="21" spans="1:11">
      <c r="A21" s="103"/>
      <c r="B21" s="105" t="s">
        <v>404</v>
      </c>
      <c r="D21" s="874">
        <f>MAX(0,(D19-D25))</f>
        <v>21910.820000000298</v>
      </c>
      <c r="F21" s="133"/>
      <c r="K21" s="110"/>
    </row>
    <row r="22" spans="1:11">
      <c r="A22" s="103"/>
      <c r="D22" s="874"/>
      <c r="F22" s="133"/>
      <c r="K22" s="110"/>
    </row>
    <row r="23" spans="1:11">
      <c r="A23" s="103"/>
      <c r="B23" s="105" t="s">
        <v>80</v>
      </c>
      <c r="D23" s="874">
        <f>VLOOKUP("Liquidity_Reserve_cashin",calcdata_22,2,FALSE)</f>
        <v>12636000</v>
      </c>
      <c r="F23" s="133"/>
      <c r="K23" s="110"/>
    </row>
    <row r="24" spans="1:11">
      <c r="A24" s="103"/>
      <c r="B24" s="105" t="s">
        <v>14</v>
      </c>
      <c r="C24" s="873">
        <f>IF(ISNUMBER(D24),D24/'5. Outstanding Notes'!C33,"")</f>
        <v>2.3984536254283453E-2</v>
      </c>
      <c r="D24" s="874">
        <f>VLOOKUP("Liquidity_Reserve_eop",calcdata_22,2,FALSE)</f>
        <v>12636000</v>
      </c>
      <c r="F24" s="133"/>
      <c r="K24" s="110"/>
    </row>
    <row r="25" spans="1:11">
      <c r="A25" s="103"/>
      <c r="B25" s="105" t="s">
        <v>325</v>
      </c>
      <c r="C25" s="873">
        <f>IF(ISNUMBER(D25),D25/'5. Outstanding Notes'!C33,"")</f>
        <v>2.3984536254283453E-2</v>
      </c>
      <c r="D25" s="874">
        <f>VLOOKUP("Liquidity_Reserve_fund",calcdata_22,2,FALSE)</f>
        <v>12636000</v>
      </c>
      <c r="F25" s="133"/>
      <c r="K25" s="110"/>
    </row>
    <row r="26" spans="1:11">
      <c r="A26" s="103"/>
      <c r="D26" s="872"/>
      <c r="F26" s="133"/>
      <c r="K26" s="110"/>
    </row>
    <row r="27" spans="1:11" s="958" customFormat="1" ht="13">
      <c r="A27" s="103"/>
      <c r="B27" s="59" t="s">
        <v>10</v>
      </c>
      <c r="C27" s="570" t="s">
        <v>8</v>
      </c>
      <c r="D27" s="893"/>
      <c r="E27" s="102"/>
      <c r="F27" s="959" t="str">
        <f>VLOOKUP("Com_Reserve_Trigger",calcdata_22,4,0)</f>
        <v>no</v>
      </c>
      <c r="K27" s="110"/>
    </row>
    <row r="28" spans="1:11" s="958" customFormat="1">
      <c r="A28" s="103"/>
      <c r="B28" s="102" t="s">
        <v>13</v>
      </c>
      <c r="C28" s="804" t="str">
        <f>IF(AND(ISNUMBER('5. Outstanding Notes'!C27),ISNUMBER(D28)),D28/'5. Outstanding Notes'!C27,"")</f>
        <v/>
      </c>
      <c r="D28" s="874" t="str">
        <f>VLOOKUP("Com_Reserve_bop",calcdata_22,4,0)</f>
        <v>n/a</v>
      </c>
      <c r="E28" s="102"/>
      <c r="F28" s="82"/>
      <c r="K28" s="110"/>
    </row>
    <row r="29" spans="1:11" s="958" customFormat="1">
      <c r="A29" s="103"/>
      <c r="B29" s="102" t="s">
        <v>79</v>
      </c>
      <c r="C29" s="804"/>
      <c r="D29" s="874" t="str">
        <f>VLOOKUP("Com_Reserve_cashout",calcdata_22,4,0)</f>
        <v>n/a</v>
      </c>
      <c r="E29" s="102"/>
      <c r="F29" s="82"/>
      <c r="K29" s="110"/>
    </row>
    <row r="30" spans="1:11" s="958" customFormat="1">
      <c r="A30" s="103"/>
      <c r="B30" s="102" t="s">
        <v>327</v>
      </c>
      <c r="C30" s="804"/>
      <c r="D30" s="874"/>
      <c r="E30" s="102"/>
      <c r="F30" s="82"/>
      <c r="K30" s="110"/>
    </row>
    <row r="31" spans="1:11" s="958" customFormat="1">
      <c r="A31" s="103"/>
      <c r="B31" s="102" t="s">
        <v>366</v>
      </c>
      <c r="C31" s="804"/>
      <c r="D31" s="874"/>
      <c r="E31" s="102"/>
      <c r="F31" s="82"/>
      <c r="K31" s="110"/>
    </row>
    <row r="32" spans="1:11" s="958" customFormat="1">
      <c r="A32" s="103"/>
      <c r="B32" s="102" t="s">
        <v>80</v>
      </c>
      <c r="C32" s="804"/>
      <c r="D32" s="874" t="str">
        <f>VLOOKUP("Com_Reserve_cashin",calcdata_22,4,0)</f>
        <v>n/a</v>
      </c>
      <c r="E32" s="102"/>
      <c r="F32" s="82"/>
      <c r="K32" s="110"/>
    </row>
    <row r="33" spans="1:11" s="958" customFormat="1">
      <c r="A33" s="103"/>
      <c r="B33" s="102" t="s">
        <v>14</v>
      </c>
      <c r="C33" s="804" t="str">
        <f>IF(AND(ISNUMBER('5. Outstanding Notes'!C33),ISNUMBER(D33)),D33/'5. Outstanding Notes'!C33,"")</f>
        <v/>
      </c>
      <c r="D33" s="874" t="str">
        <f>VLOOKUP("Com_Reserve_eop",calcdata_22,4,0)</f>
        <v>n/a</v>
      </c>
      <c r="E33" s="102"/>
      <c r="F33" s="82"/>
      <c r="K33" s="110"/>
    </row>
    <row r="34" spans="1:11" s="958" customFormat="1">
      <c r="A34" s="103"/>
      <c r="B34" s="102" t="s">
        <v>326</v>
      </c>
      <c r="C34" s="804"/>
      <c r="D34" s="874">
        <f>VLOOKUP("Com_Reserve_required",calcdata_22,2,0)</f>
        <v>0</v>
      </c>
      <c r="E34" s="102"/>
      <c r="F34" s="82"/>
      <c r="K34" s="110"/>
    </row>
    <row r="35" spans="1:11" s="958" customFormat="1">
      <c r="A35" s="103"/>
      <c r="B35" s="960"/>
      <c r="C35" s="102"/>
      <c r="D35" s="961"/>
      <c r="E35" s="102"/>
      <c r="F35" s="82"/>
      <c r="K35" s="110"/>
    </row>
    <row r="36" spans="1:11" s="958" customFormat="1" ht="13">
      <c r="A36" s="103"/>
      <c r="B36" s="59" t="s">
        <v>167</v>
      </c>
      <c r="C36" s="570" t="s">
        <v>8</v>
      </c>
      <c r="D36" s="896"/>
      <c r="E36" s="102"/>
      <c r="F36" s="959" t="str">
        <f>VLOOKUP("Setoff_Reserve_Trigger",calcdata_22,4,0)</f>
        <v>no</v>
      </c>
      <c r="K36" s="110"/>
    </row>
    <row r="37" spans="1:11" s="958" customFormat="1">
      <c r="A37" s="103"/>
      <c r="B37" s="102" t="s">
        <v>13</v>
      </c>
      <c r="C37" s="804" t="str">
        <f>IF(AND(ISNUMBER('5. Outstanding Notes'!C27),ISNUMBER(D37)),D37/'5. Outstanding Notes'!C27,"")</f>
        <v/>
      </c>
      <c r="D37" s="874" t="str">
        <f>VLOOKUP("Setoff_Reserve_bop",calcdata_22,4,0)</f>
        <v>n/a</v>
      </c>
      <c r="E37" s="102"/>
      <c r="F37" s="875"/>
      <c r="K37" s="110"/>
    </row>
    <row r="38" spans="1:11" s="958" customFormat="1">
      <c r="A38" s="103"/>
      <c r="B38" s="102" t="s">
        <v>79</v>
      </c>
      <c r="C38" s="102"/>
      <c r="D38" s="874" t="str">
        <f>VLOOKUP("Setoff_Reserve_cashout",calcdata_22,4,0)</f>
        <v>n/a</v>
      </c>
      <c r="E38" s="102"/>
      <c r="F38" s="139"/>
      <c r="K38" s="110"/>
    </row>
    <row r="39" spans="1:11" s="958" customFormat="1">
      <c r="A39" s="103"/>
      <c r="B39" s="102" t="s">
        <v>364</v>
      </c>
      <c r="C39" s="102"/>
      <c r="D39" s="874"/>
      <c r="E39" s="102"/>
      <c r="F39" s="139"/>
      <c r="K39" s="110"/>
    </row>
    <row r="40" spans="1:11" s="958" customFormat="1">
      <c r="A40" s="103"/>
      <c r="B40" s="102" t="s">
        <v>365</v>
      </c>
      <c r="C40" s="102"/>
      <c r="D40" s="874"/>
      <c r="E40" s="102"/>
      <c r="F40" s="139"/>
      <c r="K40" s="110"/>
    </row>
    <row r="41" spans="1:11" s="958" customFormat="1">
      <c r="A41" s="103"/>
      <c r="B41" s="102" t="s">
        <v>80</v>
      </c>
      <c r="C41" s="102"/>
      <c r="D41" s="874" t="str">
        <f>VLOOKUP("Setoff_Reserve_cashin",calcdata_22,4,0)</f>
        <v>n/a</v>
      </c>
      <c r="E41" s="102"/>
      <c r="F41" s="139"/>
      <c r="K41" s="110"/>
    </row>
    <row r="42" spans="1:11" s="958" customFormat="1">
      <c r="A42" s="103"/>
      <c r="B42" s="102" t="s">
        <v>14</v>
      </c>
      <c r="C42" s="804" t="str">
        <f>IF(AND(ISNUMBER('5. Outstanding Notes'!C33),ISNUMBER(D42)),D42/'5. Outstanding Notes'!C33,"")</f>
        <v/>
      </c>
      <c r="D42" s="874" t="str">
        <f>VLOOKUP("Setoff_Reserve_eop",calcdata_22,4,0)</f>
        <v>n/a</v>
      </c>
      <c r="E42" s="102"/>
      <c r="F42" s="139"/>
      <c r="K42" s="110"/>
    </row>
    <row r="43" spans="1:11" s="958" customFormat="1">
      <c r="A43" s="103"/>
      <c r="B43" s="102" t="s">
        <v>423</v>
      </c>
      <c r="C43" s="804"/>
      <c r="D43" s="874">
        <f>VLOOKUP("Setoff_Reserve_required",calcdata_22,2,0)</f>
        <v>0</v>
      </c>
      <c r="E43" s="102"/>
      <c r="F43" s="139"/>
      <c r="K43" s="110"/>
    </row>
    <row r="44" spans="1:11" s="958" customFormat="1">
      <c r="A44" s="103"/>
      <c r="B44" s="102"/>
      <c r="C44" s="102"/>
      <c r="D44" s="896"/>
      <c r="E44" s="102"/>
      <c r="F44" s="139"/>
      <c r="K44" s="110"/>
    </row>
    <row r="45" spans="1:11" s="958" customFormat="1">
      <c r="A45" s="103"/>
      <c r="B45" s="102" t="s">
        <v>454</v>
      </c>
      <c r="C45" s="102"/>
      <c r="D45" s="874"/>
      <c r="E45" s="102"/>
      <c r="F45" s="139"/>
      <c r="K45" s="110"/>
    </row>
    <row r="46" spans="1:11" s="958" customFormat="1">
      <c r="A46" s="103"/>
      <c r="D46" s="872"/>
      <c r="F46" s="133"/>
      <c r="K46" s="110"/>
    </row>
    <row r="47" spans="1:11" s="958" customFormat="1">
      <c r="A47" s="103"/>
      <c r="D47" s="872"/>
      <c r="F47" s="133"/>
      <c r="K47" s="110"/>
    </row>
    <row r="48" spans="1:11">
      <c r="A48" s="146"/>
      <c r="B48" s="148"/>
      <c r="C48" s="148"/>
      <c r="D48" s="148"/>
      <c r="E48" s="148"/>
      <c r="F48" s="148"/>
      <c r="G48" s="148"/>
      <c r="H48" s="148"/>
      <c r="I48" s="148"/>
      <c r="J48" s="148"/>
      <c r="K48" s="149"/>
    </row>
  </sheetData>
  <phoneticPr fontId="3"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53"/>
      <c r="B1" s="754"/>
      <c r="C1" s="754"/>
      <c r="D1" s="754"/>
      <c r="E1" s="754"/>
      <c r="F1" s="754"/>
      <c r="G1" s="754"/>
      <c r="H1" s="754"/>
      <c r="I1" s="754"/>
      <c r="J1" s="754"/>
      <c r="K1" s="754"/>
      <c r="L1" s="754"/>
      <c r="M1" s="237"/>
    </row>
    <row r="2" spans="1:13" ht="18">
      <c r="A2" s="239"/>
      <c r="B2" s="240" t="str">
        <f>'Cover Sheet'!B2</f>
        <v>SC Germany Consumer 2022-1</v>
      </c>
      <c r="C2" s="240"/>
      <c r="D2" s="241" t="str">
        <f>'Cover Sheet'!D2</f>
        <v>Calculation Date</v>
      </c>
      <c r="E2" s="242"/>
      <c r="F2" s="243">
        <f>'Cover Sheet'!F2</f>
        <v>45848</v>
      </c>
      <c r="G2" s="242"/>
      <c r="H2" s="242"/>
      <c r="I2" s="242"/>
      <c r="J2" s="242"/>
      <c r="K2" s="242"/>
      <c r="L2" s="244"/>
      <c r="M2" s="314"/>
    </row>
    <row r="3" spans="1:13" ht="18">
      <c r="A3" s="239"/>
      <c r="B3" s="240" t="str">
        <f>'Cover Sheet'!B3</f>
        <v>Monthly Investor Report</v>
      </c>
      <c r="C3" s="240"/>
      <c r="D3" s="248" t="str">
        <f>'Cover Sheet'!D3</f>
        <v>Payment Date</v>
      </c>
      <c r="E3" s="249"/>
      <c r="F3" s="250">
        <f>'Cover Sheet'!F3</f>
        <v>45852</v>
      </c>
      <c r="G3" s="249"/>
      <c r="H3" s="249"/>
      <c r="I3" s="249"/>
      <c r="J3" s="249"/>
      <c r="K3" s="249"/>
      <c r="L3" s="251"/>
      <c r="M3" s="314"/>
    </row>
    <row r="4" spans="1:13">
      <c r="A4" s="239"/>
      <c r="B4" s="850"/>
      <c r="C4" s="328"/>
      <c r="D4" s="248" t="str">
        <f>'Cover Sheet'!D4</f>
        <v>Period  No</v>
      </c>
      <c r="E4" s="249"/>
      <c r="F4" s="254">
        <f>'Cover Sheet'!F4</f>
        <v>33</v>
      </c>
      <c r="G4" s="249"/>
      <c r="H4" s="255"/>
      <c r="I4" s="249"/>
      <c r="J4" s="260"/>
      <c r="K4" s="249"/>
      <c r="L4" s="256"/>
      <c r="M4" s="314"/>
    </row>
    <row r="5" spans="1:13" ht="18">
      <c r="A5" s="239"/>
      <c r="B5" s="329" t="s">
        <v>232</v>
      </c>
      <c r="C5" s="329"/>
      <c r="D5" s="248" t="str">
        <f>'Cover Sheet'!D5</f>
        <v>Monthly Period</v>
      </c>
      <c r="E5" s="249"/>
      <c r="F5" s="121">
        <f>'Cover Sheet'!F5</f>
        <v>45852</v>
      </c>
      <c r="G5" s="249"/>
      <c r="H5" s="255"/>
      <c r="I5" s="249"/>
      <c r="J5" s="260"/>
      <c r="K5" s="249"/>
      <c r="L5" s="256"/>
      <c r="M5" s="314"/>
    </row>
    <row r="6" spans="1:13" s="247" customFormat="1" ht="15" customHeight="1">
      <c r="A6" s="239"/>
      <c r="B6" s="258"/>
      <c r="C6" s="330"/>
      <c r="D6" s="248" t="str">
        <f>'Cover Sheet'!D6</f>
        <v>Interest Period</v>
      </c>
      <c r="E6" s="260" t="s">
        <v>34</v>
      </c>
      <c r="F6" s="250">
        <f>'Cover Sheet'!F6</f>
        <v>45824</v>
      </c>
      <c r="G6" s="260" t="str">
        <f>'Cover Sheet'!G6</f>
        <v>to</v>
      </c>
      <c r="H6" s="250">
        <f>'Cover Sheet'!H6</f>
        <v>45852</v>
      </c>
      <c r="I6" s="260" t="str">
        <f>'Cover Sheet'!I6</f>
        <v>=</v>
      </c>
      <c r="J6" s="816" t="str">
        <f>'Cover Sheet'!J6</f>
        <v>28 days</v>
      </c>
      <c r="K6" s="260"/>
      <c r="L6" s="372"/>
      <c r="M6" s="817"/>
    </row>
    <row r="7" spans="1:13">
      <c r="A7" s="239"/>
      <c r="D7" s="689" t="str">
        <f>'Cover Sheet'!D7</f>
        <v>Collection Period</v>
      </c>
      <c r="E7" s="690" t="s">
        <v>34</v>
      </c>
      <c r="F7" s="264" t="str">
        <f>'Cover Sheet'!F7</f>
        <v>01.06.2025</v>
      </c>
      <c r="G7" s="690" t="str">
        <f>'Cover Sheet'!G7</f>
        <v>to</v>
      </c>
      <c r="H7" s="264">
        <f>'Cover Sheet'!H7</f>
        <v>45838</v>
      </c>
      <c r="I7" s="265"/>
      <c r="J7" s="265"/>
      <c r="K7" s="265"/>
      <c r="L7" s="266"/>
      <c r="M7" s="314"/>
    </row>
    <row r="8" spans="1:13" ht="13">
      <c r="A8" s="239"/>
      <c r="D8" s="818"/>
      <c r="E8" s="267"/>
      <c r="F8" s="245"/>
      <c r="H8" s="268"/>
      <c r="J8" s="268"/>
      <c r="L8" s="252"/>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19"/>
      <c r="F13" s="240"/>
      <c r="H13" s="25"/>
      <c r="I13" s="25"/>
      <c r="J13" s="275"/>
      <c r="K13" s="25"/>
      <c r="L13" s="25"/>
      <c r="M13" s="314"/>
    </row>
    <row r="14" spans="1:13">
      <c r="A14" s="239"/>
      <c r="D14" s="820"/>
      <c r="H14" s="25"/>
      <c r="I14" s="25"/>
      <c r="J14" s="25"/>
      <c r="K14" s="25"/>
      <c r="L14" s="25"/>
      <c r="M14" s="314"/>
    </row>
    <row r="15" spans="1:13">
      <c r="A15" s="239"/>
      <c r="D15" s="820"/>
      <c r="H15" s="25"/>
      <c r="I15" s="25"/>
      <c r="J15" s="25"/>
      <c r="K15" s="25"/>
      <c r="L15" s="25"/>
      <c r="M15" s="314"/>
    </row>
    <row r="16" spans="1:13">
      <c r="A16" s="239"/>
      <c r="D16" s="821"/>
      <c r="H16" s="25"/>
      <c r="I16" s="25"/>
      <c r="J16" s="25"/>
      <c r="K16" s="25"/>
      <c r="L16" s="25"/>
      <c r="M16" s="314"/>
    </row>
    <row r="17" spans="1:23" ht="18">
      <c r="A17" s="239"/>
      <c r="B17" s="275" t="s">
        <v>170</v>
      </c>
      <c r="C17" s="822"/>
      <c r="D17" s="823"/>
      <c r="E17" s="823"/>
      <c r="F17" s="805"/>
      <c r="G17" s="805"/>
      <c r="H17" s="862"/>
      <c r="J17" s="823"/>
      <c r="K17" s="25"/>
      <c r="L17" s="823"/>
      <c r="M17" s="314"/>
    </row>
    <row r="18" spans="1:23" ht="18">
      <c r="A18" s="239"/>
      <c r="B18" s="240"/>
      <c r="C18" s="822"/>
      <c r="D18" s="822"/>
      <c r="E18" s="822"/>
      <c r="F18" s="819"/>
      <c r="G18" s="819"/>
      <c r="H18" s="822"/>
      <c r="J18" s="823"/>
      <c r="K18" s="25"/>
      <c r="L18" s="25"/>
      <c r="M18" s="314"/>
    </row>
    <row r="19" spans="1:23" ht="13.5" thickBot="1">
      <c r="A19" s="239"/>
      <c r="B19" s="863"/>
      <c r="K19" s="739"/>
      <c r="L19" s="800"/>
      <c r="M19" s="314"/>
    </row>
    <row r="20" spans="1:23" ht="15" thickBot="1">
      <c r="A20" s="239"/>
      <c r="B20" s="992" t="s">
        <v>110</v>
      </c>
      <c r="C20" s="992" t="s">
        <v>428</v>
      </c>
      <c r="D20" s="998" t="s">
        <v>246</v>
      </c>
      <c r="E20" s="999"/>
      <c r="F20" s="999"/>
      <c r="G20" s="1000"/>
      <c r="H20" s="992" t="s">
        <v>247</v>
      </c>
      <c r="I20" s="998" t="s">
        <v>246</v>
      </c>
      <c r="J20" s="999"/>
      <c r="K20" s="999"/>
      <c r="L20" s="1000"/>
      <c r="M20" s="827"/>
      <c r="O20" s="828"/>
      <c r="P20" s="25"/>
      <c r="Q20" s="829"/>
      <c r="R20" s="830"/>
      <c r="S20" s="830"/>
      <c r="T20" s="25"/>
      <c r="U20" s="25"/>
      <c r="V20" s="739"/>
      <c r="W20" s="831"/>
    </row>
    <row r="21" spans="1:23" ht="14.5">
      <c r="A21" s="239"/>
      <c r="B21" s="997"/>
      <c r="C21" s="997"/>
      <c r="D21" s="864" t="s">
        <v>248</v>
      </c>
      <c r="E21" s="864" t="s">
        <v>249</v>
      </c>
      <c r="F21" s="864" t="s">
        <v>250</v>
      </c>
      <c r="G21" s="865" t="s">
        <v>251</v>
      </c>
      <c r="H21" s="997"/>
      <c r="I21" s="864" t="s">
        <v>248</v>
      </c>
      <c r="J21" s="864" t="s">
        <v>249</v>
      </c>
      <c r="K21" s="864" t="s">
        <v>250</v>
      </c>
      <c r="L21" s="865" t="s">
        <v>251</v>
      </c>
      <c r="M21" s="314"/>
      <c r="N21" s="25"/>
      <c r="O21" s="25"/>
      <c r="P21" s="25"/>
      <c r="Q21" s="829"/>
      <c r="R21" s="830"/>
      <c r="S21" s="829"/>
      <c r="T21" s="25"/>
      <c r="U21" s="694"/>
      <c r="V21" s="25"/>
      <c r="W21" s="25"/>
    </row>
    <row r="22" spans="1:23" ht="13">
      <c r="A22" s="239"/>
      <c r="B22" s="866">
        <v>1</v>
      </c>
      <c r="C22" s="903">
        <f t="shared" ref="C22:C53" si="0">IF(B22&lt;=$F$4,VLOOKUP(CONCATENATE("delinquency_",$B22),delinquencies,2,FALSE),"")</f>
        <v>999999987.09000003</v>
      </c>
      <c r="D22" s="904">
        <f t="shared" ref="D22:D53" si="1">IF(B22&lt;=$F$4,VLOOKUP(CONCATENATE("delinquency_",$B22),delinquencies,3,FALSE),"")</f>
        <v>0</v>
      </c>
      <c r="E22" s="904">
        <f t="shared" ref="E22:E53" si="2">IF(B22&lt;=$F$4,VLOOKUP(CONCATENATE("delinquency_",$B22),delinquencies,4,FALSE),"")</f>
        <v>0</v>
      </c>
      <c r="F22" s="904">
        <f t="shared" ref="F22:F53" si="3">IF(B22&lt;=$F$4,VLOOKUP(CONCATENATE("delinquency_",$B22),delinquencies,5,FALSE),"")</f>
        <v>0</v>
      </c>
      <c r="G22" s="904">
        <f t="shared" ref="G22:G53" si="4">IF(B22&lt;=$F$4,VLOOKUP(CONCATENATE("delinquency_",$B22),delinquencies,6,FALSE),"")</f>
        <v>0</v>
      </c>
      <c r="H22" s="867">
        <f>IF(B22&lt;=$F$4,(C22-D22-E22-F22-G22)/C22,"")</f>
        <v>1</v>
      </c>
      <c r="I22" s="868">
        <f>IF($B22&lt;=$F$4,D22/$C22,"")</f>
        <v>0</v>
      </c>
      <c r="J22" s="868">
        <f t="shared" ref="J22:L22" si="5">IF($B22&lt;=$F$4,E22/$C22,"")</f>
        <v>0</v>
      </c>
      <c r="K22" s="868">
        <f t="shared" si="5"/>
        <v>0</v>
      </c>
      <c r="L22" s="869">
        <f t="shared" si="5"/>
        <v>0</v>
      </c>
      <c r="M22" s="314"/>
      <c r="N22" s="25"/>
      <c r="O22" s="25"/>
      <c r="P22" s="25"/>
      <c r="Q22" s="829"/>
      <c r="R22" s="830"/>
      <c r="S22" s="829"/>
      <c r="T22" s="25"/>
      <c r="U22" s="694"/>
      <c r="V22" s="25"/>
      <c r="W22" s="25"/>
    </row>
    <row r="23" spans="1:23" ht="13">
      <c r="A23" s="239"/>
      <c r="B23" s="419">
        <v>2</v>
      </c>
      <c r="C23" s="905">
        <f t="shared" si="0"/>
        <v>999999994.49000001</v>
      </c>
      <c r="D23" s="901">
        <f t="shared" si="1"/>
        <v>641380.18999999994</v>
      </c>
      <c r="E23" s="901">
        <f t="shared" si="2"/>
        <v>1894731.03</v>
      </c>
      <c r="F23" s="901">
        <f t="shared" si="3"/>
        <v>844156.63</v>
      </c>
      <c r="G23" s="901">
        <f t="shared" si="4"/>
        <v>61173.599999999999</v>
      </c>
      <c r="H23" s="510">
        <f t="shared" ref="H23:H86" si="6">IF(B23&lt;=$F$4,(C23-D23-E23-F23-G23)/C23,"")</f>
        <v>0.99655855853103759</v>
      </c>
      <c r="I23" s="224">
        <f t="shared" ref="I23:I86" si="7">IF($B23&lt;=$F$4,D23/$C23,"")</f>
        <v>6.4138019353400478E-4</v>
      </c>
      <c r="J23" s="224">
        <f t="shared" ref="J23:J86" si="8">IF($B23&lt;=$F$4,E23/$C23,"")</f>
        <v>1.894731040439968E-3</v>
      </c>
      <c r="K23" s="224">
        <f t="shared" ref="K23:K86" si="9">IF($B23&lt;=$F$4,F23/$C23,"")</f>
        <v>8.4415663465130307E-4</v>
      </c>
      <c r="L23" s="870">
        <f t="shared" ref="L23:L86" si="10">IF($B23&lt;=$F$4,G23/$C23,"")</f>
        <v>6.1173600337066536E-5</v>
      </c>
      <c r="M23" s="314"/>
      <c r="N23" s="25"/>
      <c r="O23" s="835"/>
      <c r="P23" s="25"/>
      <c r="Q23" s="829"/>
      <c r="R23" s="830"/>
      <c r="S23" s="830"/>
      <c r="T23" s="25"/>
      <c r="U23" s="25"/>
      <c r="V23" s="25"/>
      <c r="W23" s="25"/>
    </row>
    <row r="24" spans="1:23" ht="13">
      <c r="A24" s="239"/>
      <c r="B24" s="419">
        <v>3</v>
      </c>
      <c r="C24" s="905">
        <f t="shared" si="0"/>
        <v>999999997.66999996</v>
      </c>
      <c r="D24" s="901">
        <f t="shared" si="1"/>
        <v>2165080.7799999998</v>
      </c>
      <c r="E24" s="901">
        <f t="shared" si="2"/>
        <v>1060540.6299999999</v>
      </c>
      <c r="F24" s="901">
        <f t="shared" si="3"/>
        <v>2578767.3199999998</v>
      </c>
      <c r="G24" s="901">
        <f t="shared" si="4"/>
        <v>725701.01</v>
      </c>
      <c r="H24" s="510">
        <f t="shared" si="6"/>
        <v>0.99346991024478493</v>
      </c>
      <c r="I24" s="224">
        <f t="shared" si="7"/>
        <v>2.165080785044638E-3</v>
      </c>
      <c r="J24" s="224">
        <f t="shared" si="8"/>
        <v>1.0605406324710597E-3</v>
      </c>
      <c r="K24" s="224">
        <f t="shared" si="9"/>
        <v>2.5787673260085279E-3</v>
      </c>
      <c r="L24" s="870">
        <f t="shared" si="10"/>
        <v>7.2570101169088343E-4</v>
      </c>
      <c r="M24" s="836"/>
      <c r="Q24" s="829"/>
      <c r="R24" s="837"/>
      <c r="S24" s="837"/>
      <c r="U24" s="25"/>
      <c r="V24" s="739"/>
      <c r="W24" s="800"/>
    </row>
    <row r="25" spans="1:23" ht="13">
      <c r="A25" s="239"/>
      <c r="B25" s="419">
        <v>4</v>
      </c>
      <c r="C25" s="905">
        <f t="shared" si="0"/>
        <v>999999994</v>
      </c>
      <c r="D25" s="901">
        <f t="shared" si="1"/>
        <v>1781232.01</v>
      </c>
      <c r="E25" s="901">
        <f t="shared" si="2"/>
        <v>2899036.17</v>
      </c>
      <c r="F25" s="901">
        <f t="shared" si="3"/>
        <v>795324.06</v>
      </c>
      <c r="G25" s="901">
        <f t="shared" si="4"/>
        <v>2634984.34</v>
      </c>
      <c r="H25" s="510">
        <f t="shared" si="6"/>
        <v>0.99188942337133656</v>
      </c>
      <c r="I25" s="224">
        <f t="shared" si="7"/>
        <v>1.7812320206873921E-3</v>
      </c>
      <c r="J25" s="224">
        <f t="shared" si="8"/>
        <v>2.8990361873942171E-3</v>
      </c>
      <c r="K25" s="224">
        <f t="shared" si="9"/>
        <v>7.9532406477194446E-4</v>
      </c>
      <c r="L25" s="870">
        <f t="shared" si="10"/>
        <v>2.6349843558099058E-3</v>
      </c>
      <c r="M25" s="827"/>
      <c r="N25" s="838"/>
      <c r="O25" s="800"/>
      <c r="P25" s="838"/>
      <c r="Q25" s="839"/>
      <c r="R25" s="840"/>
      <c r="S25" s="837"/>
      <c r="T25" s="838"/>
      <c r="U25" s="25"/>
      <c r="V25" s="739"/>
      <c r="W25" s="831"/>
    </row>
    <row r="26" spans="1:23" ht="13">
      <c r="A26" s="239"/>
      <c r="B26" s="419">
        <v>5</v>
      </c>
      <c r="C26" s="905">
        <f t="shared" si="0"/>
        <v>999999989.13999999</v>
      </c>
      <c r="D26" s="901">
        <f t="shared" si="1"/>
        <v>860512.44</v>
      </c>
      <c r="E26" s="901">
        <f t="shared" si="2"/>
        <v>2266862.75</v>
      </c>
      <c r="F26" s="901">
        <f t="shared" si="3"/>
        <v>2762908.48</v>
      </c>
      <c r="G26" s="901">
        <f t="shared" si="4"/>
        <v>4198265.92</v>
      </c>
      <c r="H26" s="510">
        <f t="shared" si="6"/>
        <v>0.98991145030043837</v>
      </c>
      <c r="I26" s="224">
        <f t="shared" si="7"/>
        <v>8.6051244934516515E-4</v>
      </c>
      <c r="J26" s="224">
        <f t="shared" si="8"/>
        <v>2.2668627746181298E-3</v>
      </c>
      <c r="K26" s="224">
        <f t="shared" si="9"/>
        <v>2.7629085100051866E-3</v>
      </c>
      <c r="L26" s="870">
        <f t="shared" si="10"/>
        <v>4.1982659655931684E-3</v>
      </c>
      <c r="M26" s="314"/>
      <c r="Q26" s="829"/>
      <c r="R26" s="830"/>
      <c r="S26" s="829"/>
      <c r="T26" s="25"/>
      <c r="U26" s="694"/>
      <c r="V26" s="25"/>
      <c r="W26" s="25"/>
    </row>
    <row r="27" spans="1:23" ht="13">
      <c r="A27" s="239"/>
      <c r="B27" s="419">
        <v>6</v>
      </c>
      <c r="C27" s="905">
        <f t="shared" si="0"/>
        <v>999999997.64999998</v>
      </c>
      <c r="D27" s="901">
        <f t="shared" si="1"/>
        <v>2543997.92</v>
      </c>
      <c r="E27" s="901">
        <f t="shared" si="2"/>
        <v>3376601.62</v>
      </c>
      <c r="F27" s="901">
        <f t="shared" si="3"/>
        <v>2436455.5099999998</v>
      </c>
      <c r="G27" s="901">
        <f t="shared" si="4"/>
        <v>2844720.69</v>
      </c>
      <c r="H27" s="510">
        <f t="shared" si="6"/>
        <v>0.9887982242336758</v>
      </c>
      <c r="I27" s="224">
        <f t="shared" si="7"/>
        <v>2.5439979259783952E-3</v>
      </c>
      <c r="J27" s="224">
        <f t="shared" si="8"/>
        <v>3.3766016279350142E-3</v>
      </c>
      <c r="K27" s="224">
        <f t="shared" si="9"/>
        <v>2.4364555157256702E-3</v>
      </c>
      <c r="L27" s="870">
        <f t="shared" si="10"/>
        <v>2.8447206966850935E-3</v>
      </c>
      <c r="M27" s="314"/>
      <c r="Q27" s="829"/>
      <c r="R27" s="830"/>
      <c r="S27" s="829"/>
      <c r="T27" s="25"/>
      <c r="U27" s="694"/>
      <c r="V27" s="25"/>
      <c r="W27" s="25"/>
    </row>
    <row r="28" spans="1:23" ht="13">
      <c r="A28" s="239"/>
      <c r="B28" s="419">
        <v>7</v>
      </c>
      <c r="C28" s="905">
        <f t="shared" si="0"/>
        <v>999999996.75</v>
      </c>
      <c r="D28" s="901">
        <f t="shared" si="1"/>
        <v>954864.9</v>
      </c>
      <c r="E28" s="901">
        <f t="shared" si="2"/>
        <v>5145832.87</v>
      </c>
      <c r="F28" s="901">
        <f t="shared" si="3"/>
        <v>2763720.24</v>
      </c>
      <c r="G28" s="901">
        <f t="shared" si="4"/>
        <v>2757097.57</v>
      </c>
      <c r="H28" s="510">
        <f t="shared" si="6"/>
        <v>0.98837848438223008</v>
      </c>
      <c r="I28" s="224">
        <f t="shared" si="7"/>
        <v>9.5486490310331092E-4</v>
      </c>
      <c r="J28" s="224">
        <f t="shared" si="8"/>
        <v>5.1458328867239568E-3</v>
      </c>
      <c r="K28" s="224">
        <f t="shared" si="9"/>
        <v>2.7637202489820909E-3</v>
      </c>
      <c r="L28" s="870">
        <f t="shared" si="10"/>
        <v>2.757097578960567E-3</v>
      </c>
      <c r="M28" s="314"/>
      <c r="O28" s="835"/>
      <c r="Q28" s="829"/>
      <c r="R28" s="837"/>
      <c r="S28" s="837"/>
      <c r="U28" s="25"/>
      <c r="V28" s="25"/>
      <c r="W28" s="25"/>
    </row>
    <row r="29" spans="1:23" ht="13">
      <c r="A29" s="239"/>
      <c r="B29" s="419">
        <v>8</v>
      </c>
      <c r="C29" s="905">
        <f t="shared" si="0"/>
        <v>999999997.39999998</v>
      </c>
      <c r="D29" s="901">
        <f t="shared" si="1"/>
        <v>2864134.06</v>
      </c>
      <c r="E29" s="901">
        <f t="shared" si="2"/>
        <v>3671378.04</v>
      </c>
      <c r="F29" s="901">
        <f t="shared" si="3"/>
        <v>2672979.02</v>
      </c>
      <c r="G29" s="901">
        <f t="shared" si="4"/>
        <v>3346589.7</v>
      </c>
      <c r="H29" s="510">
        <f t="shared" si="6"/>
        <v>0.98744491914735688</v>
      </c>
      <c r="I29" s="224">
        <f t="shared" si="7"/>
        <v>2.8641340674467487E-3</v>
      </c>
      <c r="J29" s="224">
        <f t="shared" si="8"/>
        <v>3.6713780495455832E-3</v>
      </c>
      <c r="K29" s="224">
        <f t="shared" si="9"/>
        <v>2.6729790269497456E-3</v>
      </c>
      <c r="L29" s="870">
        <f t="shared" si="10"/>
        <v>3.3465897087011334E-3</v>
      </c>
      <c r="M29" s="314"/>
      <c r="Q29" s="829"/>
      <c r="R29" s="837"/>
      <c r="S29" s="837"/>
      <c r="U29" s="25"/>
      <c r="V29" s="25"/>
      <c r="W29" s="25"/>
    </row>
    <row r="30" spans="1:23" ht="13">
      <c r="A30" s="239"/>
      <c r="B30" s="419">
        <v>9</v>
      </c>
      <c r="C30" s="905">
        <f t="shared" si="0"/>
        <v>999999977.96000004</v>
      </c>
      <c r="D30" s="901">
        <f t="shared" si="1"/>
        <v>1065451.69</v>
      </c>
      <c r="E30" s="901">
        <f t="shared" si="2"/>
        <v>3999926.34</v>
      </c>
      <c r="F30" s="901">
        <f t="shared" si="3"/>
        <v>3994959.29</v>
      </c>
      <c r="G30" s="901">
        <f t="shared" si="4"/>
        <v>5266748.99</v>
      </c>
      <c r="H30" s="510">
        <f t="shared" si="6"/>
        <v>0.98567291337423091</v>
      </c>
      <c r="I30" s="224">
        <f t="shared" si="7"/>
        <v>1.0654517134825556E-3</v>
      </c>
      <c r="J30" s="224">
        <f t="shared" si="8"/>
        <v>3.9999264281583785E-3</v>
      </c>
      <c r="K30" s="224">
        <f t="shared" si="9"/>
        <v>3.9949593780489049E-3</v>
      </c>
      <c r="L30" s="870">
        <f t="shared" si="10"/>
        <v>5.2667491060791501E-3</v>
      </c>
      <c r="M30" s="827"/>
      <c r="N30" s="838"/>
      <c r="O30" s="800"/>
      <c r="P30" s="838"/>
      <c r="Q30" s="841"/>
      <c r="R30" s="840"/>
      <c r="S30" s="837"/>
      <c r="T30" s="838"/>
      <c r="U30" s="800"/>
      <c r="V30" s="25"/>
      <c r="W30" s="25"/>
    </row>
    <row r="31" spans="1:23" ht="13">
      <c r="A31" s="239"/>
      <c r="B31" s="419">
        <v>10</v>
      </c>
      <c r="C31" s="905">
        <f t="shared" si="0"/>
        <v>999999995.70000005</v>
      </c>
      <c r="D31" s="901">
        <f t="shared" si="1"/>
        <v>3250747.46</v>
      </c>
      <c r="E31" s="901">
        <f t="shared" si="2"/>
        <v>1215052.8799999999</v>
      </c>
      <c r="F31" s="901">
        <f t="shared" si="3"/>
        <v>4064701.73</v>
      </c>
      <c r="G31" s="901">
        <f t="shared" si="4"/>
        <v>5563315.0599999996</v>
      </c>
      <c r="H31" s="510">
        <f t="shared" si="6"/>
        <v>0.98590618280939657</v>
      </c>
      <c r="I31" s="224">
        <f t="shared" si="7"/>
        <v>3.2507474739782139E-3</v>
      </c>
      <c r="J31" s="224">
        <f t="shared" si="8"/>
        <v>1.2150528852247272E-3</v>
      </c>
      <c r="K31" s="224">
        <f t="shared" si="9"/>
        <v>4.0647017474782169E-3</v>
      </c>
      <c r="L31" s="870">
        <f t="shared" si="10"/>
        <v>5.5633150839222538E-3</v>
      </c>
      <c r="M31" s="314"/>
      <c r="Q31" s="829"/>
      <c r="R31" s="830"/>
      <c r="S31" s="829"/>
      <c r="T31" s="25"/>
      <c r="U31" s="694"/>
      <c r="V31" s="25"/>
      <c r="W31" s="25"/>
    </row>
    <row r="32" spans="1:23" ht="13">
      <c r="A32" s="239"/>
      <c r="B32" s="419">
        <v>11</v>
      </c>
      <c r="C32" s="905">
        <f t="shared" si="0"/>
        <v>999999981.96000004</v>
      </c>
      <c r="D32" s="901">
        <f t="shared" si="1"/>
        <v>1111463.21</v>
      </c>
      <c r="E32" s="901">
        <f t="shared" si="2"/>
        <v>3290646.07</v>
      </c>
      <c r="F32" s="901">
        <f t="shared" si="3"/>
        <v>3538383</v>
      </c>
      <c r="G32" s="901">
        <f t="shared" si="4"/>
        <v>6510756</v>
      </c>
      <c r="H32" s="510">
        <f t="shared" si="6"/>
        <v>0.98554875145929943</v>
      </c>
      <c r="I32" s="224">
        <f t="shared" si="7"/>
        <v>1.1114632300507966E-3</v>
      </c>
      <c r="J32" s="224">
        <f t="shared" si="8"/>
        <v>3.2906461293632557E-3</v>
      </c>
      <c r="K32" s="224">
        <f t="shared" si="9"/>
        <v>3.5383830638324302E-3</v>
      </c>
      <c r="L32" s="870">
        <f t="shared" si="10"/>
        <v>6.5107561174540399E-3</v>
      </c>
      <c r="M32" s="314"/>
      <c r="Q32" s="829"/>
      <c r="R32" s="830"/>
      <c r="S32" s="829"/>
      <c r="T32" s="25"/>
      <c r="U32" s="694"/>
      <c r="V32" s="25"/>
      <c r="W32" s="25"/>
    </row>
    <row r="33" spans="1:23" ht="13">
      <c r="A33" s="239"/>
      <c r="B33" s="419">
        <v>12</v>
      </c>
      <c r="C33" s="905">
        <f t="shared" si="0"/>
        <v>999530391.04999995</v>
      </c>
      <c r="D33" s="901">
        <f t="shared" si="1"/>
        <v>1104492.49</v>
      </c>
      <c r="E33" s="901">
        <f t="shared" si="2"/>
        <v>3745027.68</v>
      </c>
      <c r="F33" s="901">
        <f t="shared" si="3"/>
        <v>3444484.59</v>
      </c>
      <c r="G33" s="901">
        <f t="shared" si="4"/>
        <v>6265484.4199999999</v>
      </c>
      <c r="H33" s="510">
        <f t="shared" si="6"/>
        <v>0.98543367034122364</v>
      </c>
      <c r="I33" s="224">
        <f t="shared" si="7"/>
        <v>1.1050114132495142E-3</v>
      </c>
      <c r="J33" s="224">
        <f t="shared" si="8"/>
        <v>3.7467872048051222E-3</v>
      </c>
      <c r="K33" s="224">
        <f t="shared" si="9"/>
        <v>3.4461029107695183E-3</v>
      </c>
      <c r="L33" s="870">
        <f t="shared" si="10"/>
        <v>6.2684281299522577E-3</v>
      </c>
      <c r="M33" s="314"/>
      <c r="O33" s="835"/>
      <c r="Q33" s="829"/>
      <c r="R33" s="837"/>
      <c r="S33" s="837"/>
      <c r="U33" s="25"/>
      <c r="V33" s="25"/>
      <c r="W33" s="25"/>
    </row>
    <row r="34" spans="1:23" ht="13">
      <c r="A34" s="239"/>
      <c r="B34" s="419">
        <v>13</v>
      </c>
      <c r="C34" s="905">
        <f t="shared" si="0"/>
        <v>999580049.78999996</v>
      </c>
      <c r="D34" s="901">
        <f t="shared" si="1"/>
        <v>4151380.28</v>
      </c>
      <c r="E34" s="901">
        <f t="shared" si="2"/>
        <v>3804017.99</v>
      </c>
      <c r="F34" s="901">
        <f t="shared" si="3"/>
        <v>1411264.7</v>
      </c>
      <c r="G34" s="901">
        <f t="shared" si="4"/>
        <v>6179967.3399999999</v>
      </c>
      <c r="H34" s="510">
        <f t="shared" si="6"/>
        <v>0.98444683813640921</v>
      </c>
      <c r="I34" s="224">
        <f t="shared" si="7"/>
        <v>4.1531243854578291E-3</v>
      </c>
      <c r="J34" s="224">
        <f t="shared" si="8"/>
        <v>3.8056161593052799E-3</v>
      </c>
      <c r="K34" s="224">
        <f t="shared" si="9"/>
        <v>1.4118576098997675E-3</v>
      </c>
      <c r="L34" s="870">
        <f t="shared" si="10"/>
        <v>6.1825637089279028E-3</v>
      </c>
      <c r="M34" s="314"/>
      <c r="Q34" s="829"/>
      <c r="R34" s="837"/>
      <c r="S34" s="837"/>
      <c r="U34" s="25"/>
      <c r="V34" s="842"/>
      <c r="W34" s="800"/>
    </row>
    <row r="35" spans="1:23" ht="13">
      <c r="A35" s="239"/>
      <c r="B35" s="419">
        <v>14</v>
      </c>
      <c r="C35" s="905">
        <f t="shared" si="0"/>
        <v>972266109.07000005</v>
      </c>
      <c r="D35" s="901">
        <f t="shared" si="1"/>
        <v>1607009.74</v>
      </c>
      <c r="E35" s="901">
        <f t="shared" si="2"/>
        <v>4520145.3</v>
      </c>
      <c r="F35" s="901">
        <f t="shared" si="3"/>
        <v>4047145.59</v>
      </c>
      <c r="G35" s="901">
        <f t="shared" si="4"/>
        <v>6202633.3799999999</v>
      </c>
      <c r="H35" s="510">
        <f t="shared" si="6"/>
        <v>0.98315591394452184</v>
      </c>
      <c r="I35" s="224">
        <f t="shared" si="7"/>
        <v>1.6528496931124651E-3</v>
      </c>
      <c r="J35" s="224">
        <f t="shared" si="8"/>
        <v>4.6490824454671637E-3</v>
      </c>
      <c r="K35" s="224">
        <f t="shared" si="9"/>
        <v>4.162590418657304E-3</v>
      </c>
      <c r="L35" s="870">
        <f t="shared" si="10"/>
        <v>6.3795634982412308E-3</v>
      </c>
      <c r="M35" s="827"/>
      <c r="N35" s="838"/>
      <c r="O35" s="800"/>
      <c r="P35" s="838"/>
      <c r="Q35" s="841"/>
      <c r="R35" s="840"/>
      <c r="S35" s="837"/>
      <c r="U35" s="25"/>
      <c r="V35" s="25"/>
      <c r="W35" s="25"/>
    </row>
    <row r="36" spans="1:23" ht="13">
      <c r="A36" s="239"/>
      <c r="B36" s="419">
        <v>15</v>
      </c>
      <c r="C36" s="905">
        <f t="shared" si="0"/>
        <v>944785206.34000003</v>
      </c>
      <c r="D36" s="901">
        <f t="shared" si="1"/>
        <v>3552122.7</v>
      </c>
      <c r="E36" s="901">
        <f t="shared" si="2"/>
        <v>1608436.98</v>
      </c>
      <c r="F36" s="901">
        <f t="shared" si="3"/>
        <v>4962406.83</v>
      </c>
      <c r="G36" s="901">
        <f t="shared" si="4"/>
        <v>6386006.2400000002</v>
      </c>
      <c r="H36" s="510">
        <f t="shared" si="6"/>
        <v>0.98252621586449884</v>
      </c>
      <c r="I36" s="224">
        <f t="shared" si="7"/>
        <v>3.7597145638642621E-3</v>
      </c>
      <c r="J36" s="224">
        <f t="shared" si="8"/>
        <v>1.7024366694213156E-3</v>
      </c>
      <c r="K36" s="224">
        <f t="shared" si="9"/>
        <v>5.2524180064417499E-3</v>
      </c>
      <c r="L36" s="870">
        <f t="shared" si="10"/>
        <v>6.7592148957737455E-3</v>
      </c>
      <c r="M36" s="314"/>
      <c r="Q36" s="829"/>
      <c r="R36" s="830"/>
      <c r="S36" s="829"/>
      <c r="T36" s="25"/>
      <c r="U36" s="694"/>
      <c r="V36" s="25"/>
      <c r="W36" s="25"/>
    </row>
    <row r="37" spans="1:23" ht="13">
      <c r="A37" s="239"/>
      <c r="B37" s="419">
        <v>16</v>
      </c>
      <c r="C37" s="905">
        <f t="shared" si="0"/>
        <v>921970706.57000005</v>
      </c>
      <c r="D37" s="901">
        <f t="shared" si="1"/>
        <v>3147158.13</v>
      </c>
      <c r="E37" s="901">
        <f t="shared" si="2"/>
        <v>3933297.21</v>
      </c>
      <c r="F37" s="901">
        <f t="shared" si="3"/>
        <v>3839134.43</v>
      </c>
      <c r="G37" s="901">
        <f t="shared" si="4"/>
        <v>4811470.7699999996</v>
      </c>
      <c r="H37" s="510">
        <f t="shared" si="6"/>
        <v>0.98293757011161009</v>
      </c>
      <c r="I37" s="224">
        <f t="shared" si="7"/>
        <v>3.4135120645083683E-3</v>
      </c>
      <c r="J37" s="224">
        <f t="shared" si="8"/>
        <v>4.2661845782855862E-3</v>
      </c>
      <c r="K37" s="224">
        <f t="shared" si="9"/>
        <v>4.1640525047511546E-3</v>
      </c>
      <c r="L37" s="870">
        <f t="shared" si="10"/>
        <v>5.218680740844874E-3</v>
      </c>
      <c r="M37" s="314"/>
      <c r="Q37" s="829"/>
      <c r="R37" s="830"/>
      <c r="S37" s="829"/>
      <c r="T37" s="25"/>
      <c r="U37" s="694"/>
      <c r="V37" s="25"/>
      <c r="W37" s="25"/>
    </row>
    <row r="38" spans="1:23" ht="13">
      <c r="A38" s="239"/>
      <c r="B38" s="419">
        <v>17</v>
      </c>
      <c r="C38" s="905">
        <f t="shared" si="0"/>
        <v>890117850.69000006</v>
      </c>
      <c r="D38" s="901">
        <f t="shared" si="1"/>
        <v>1252628.08</v>
      </c>
      <c r="E38" s="901">
        <f t="shared" si="2"/>
        <v>4057655.83</v>
      </c>
      <c r="F38" s="901">
        <f t="shared" si="3"/>
        <v>3440436.28</v>
      </c>
      <c r="G38" s="901">
        <f t="shared" si="4"/>
        <v>7103166.5499999998</v>
      </c>
      <c r="H38" s="510">
        <f t="shared" si="6"/>
        <v>0.98218900258239916</v>
      </c>
      <c r="I38" s="224">
        <f t="shared" si="7"/>
        <v>1.4072609363231959E-3</v>
      </c>
      <c r="J38" s="224">
        <f t="shared" si="8"/>
        <v>4.5585602253168985E-3</v>
      </c>
      <c r="K38" s="224">
        <f t="shared" si="9"/>
        <v>3.865146932322555E-3</v>
      </c>
      <c r="L38" s="870">
        <f t="shared" si="10"/>
        <v>7.9800293236381888E-3</v>
      </c>
      <c r="M38" s="314"/>
      <c r="O38" s="835"/>
      <c r="Q38" s="829"/>
      <c r="R38" s="837"/>
      <c r="S38" s="837"/>
      <c r="U38" s="25"/>
      <c r="V38" s="25"/>
      <c r="W38" s="25"/>
    </row>
    <row r="39" spans="1:23" ht="13">
      <c r="A39" s="239"/>
      <c r="B39" s="419">
        <v>18</v>
      </c>
      <c r="C39" s="905">
        <f t="shared" si="0"/>
        <v>861730634.76999998</v>
      </c>
      <c r="D39" s="901">
        <f t="shared" si="1"/>
        <v>3912154.3</v>
      </c>
      <c r="E39" s="901">
        <f t="shared" si="2"/>
        <v>4270575.5199999996</v>
      </c>
      <c r="F39" s="901">
        <f t="shared" si="3"/>
        <v>1307688.81</v>
      </c>
      <c r="G39" s="901">
        <f t="shared" si="4"/>
        <v>6425133.1600000001</v>
      </c>
      <c r="H39" s="510">
        <f t="shared" si="6"/>
        <v>0.9815307113988726</v>
      </c>
      <c r="I39" s="224">
        <f t="shared" si="7"/>
        <v>4.5398807262366538E-3</v>
      </c>
      <c r="J39" s="224">
        <f t="shared" si="8"/>
        <v>4.9558125795769537E-3</v>
      </c>
      <c r="K39" s="224">
        <f t="shared" si="9"/>
        <v>1.5175145889399981E-3</v>
      </c>
      <c r="L39" s="870">
        <f t="shared" si="10"/>
        <v>7.4560807063739805E-3</v>
      </c>
      <c r="M39" s="314"/>
      <c r="Q39" s="829"/>
      <c r="R39" s="837"/>
      <c r="S39" s="837"/>
      <c r="U39" s="25"/>
      <c r="V39" s="25"/>
      <c r="W39" s="801"/>
    </row>
    <row r="40" spans="1:23" ht="13">
      <c r="A40" s="239"/>
      <c r="B40" s="419">
        <v>19</v>
      </c>
      <c r="C40" s="905">
        <f t="shared" si="0"/>
        <v>835033301.62</v>
      </c>
      <c r="D40" s="901">
        <f t="shared" si="1"/>
        <v>3897092.13</v>
      </c>
      <c r="E40" s="901">
        <f t="shared" si="2"/>
        <v>4002286.96</v>
      </c>
      <c r="F40" s="901">
        <f t="shared" si="3"/>
        <v>3502789.87</v>
      </c>
      <c r="G40" s="901">
        <f t="shared" si="4"/>
        <v>5126557.96</v>
      </c>
      <c r="H40" s="510">
        <f t="shared" si="6"/>
        <v>0.98020590689265485</v>
      </c>
      <c r="I40" s="224">
        <f t="shared" si="7"/>
        <v>4.6669900738563076E-3</v>
      </c>
      <c r="J40" s="224">
        <f t="shared" si="8"/>
        <v>4.7929668819619454E-3</v>
      </c>
      <c r="K40" s="224">
        <f t="shared" si="9"/>
        <v>4.1947906307502215E-3</v>
      </c>
      <c r="L40" s="870">
        <f t="shared" si="10"/>
        <v>6.1393455207765487E-3</v>
      </c>
      <c r="M40" s="827"/>
      <c r="O40" s="828"/>
      <c r="P40" s="25"/>
      <c r="Q40" s="829"/>
      <c r="R40" s="830"/>
      <c r="S40" s="830"/>
      <c r="T40" s="25"/>
      <c r="U40" s="25"/>
      <c r="V40" s="25"/>
      <c r="W40" s="25"/>
    </row>
    <row r="41" spans="1:23" ht="13">
      <c r="A41" s="239"/>
      <c r="B41" s="419">
        <v>20</v>
      </c>
      <c r="C41" s="905">
        <f t="shared" si="0"/>
        <v>808209422.54999995</v>
      </c>
      <c r="D41" s="901">
        <f t="shared" si="1"/>
        <v>3499175.3</v>
      </c>
      <c r="E41" s="901">
        <f t="shared" si="2"/>
        <v>1293454.3999999999</v>
      </c>
      <c r="F41" s="901">
        <f t="shared" si="3"/>
        <v>5482911.96</v>
      </c>
      <c r="G41" s="901">
        <f t="shared" si="4"/>
        <v>4674976.26</v>
      </c>
      <c r="H41" s="510">
        <f t="shared" si="6"/>
        <v>0.98150167827438928</v>
      </c>
      <c r="I41" s="224">
        <f t="shared" si="7"/>
        <v>4.3295403423529409E-3</v>
      </c>
      <c r="J41" s="224">
        <f t="shared" si="8"/>
        <v>1.6003951004666494E-3</v>
      </c>
      <c r="K41" s="224">
        <f t="shared" si="9"/>
        <v>6.7840238025198216E-3</v>
      </c>
      <c r="L41" s="870">
        <f t="shared" si="10"/>
        <v>5.7843624802713578E-3</v>
      </c>
      <c r="M41" s="314"/>
      <c r="N41" s="25"/>
      <c r="O41" s="25"/>
      <c r="P41" s="25"/>
      <c r="Q41" s="829"/>
      <c r="R41" s="830"/>
      <c r="S41" s="829"/>
      <c r="T41" s="25"/>
      <c r="U41" s="694"/>
      <c r="V41" s="25"/>
      <c r="W41" s="25"/>
    </row>
    <row r="42" spans="1:23" ht="13">
      <c r="A42" s="239"/>
      <c r="B42" s="419">
        <v>21</v>
      </c>
      <c r="C42" s="905">
        <f t="shared" si="0"/>
        <v>782196586.96000004</v>
      </c>
      <c r="D42" s="901">
        <f t="shared" si="1"/>
        <v>801151.12</v>
      </c>
      <c r="E42" s="901">
        <f t="shared" si="2"/>
        <v>3187482.48</v>
      </c>
      <c r="F42" s="901">
        <f t="shared" si="3"/>
        <v>3171427.94</v>
      </c>
      <c r="G42" s="901">
        <f t="shared" si="4"/>
        <v>5867506.4900000002</v>
      </c>
      <c r="H42" s="510">
        <f t="shared" si="6"/>
        <v>0.98334489277097004</v>
      </c>
      <c r="I42" s="224">
        <f t="shared" si="7"/>
        <v>1.0242324415063822E-3</v>
      </c>
      <c r="J42" s="224">
        <f t="shared" si="8"/>
        <v>4.0750401281960608E-3</v>
      </c>
      <c r="K42" s="224">
        <f t="shared" si="9"/>
        <v>4.0545151856590505E-3</v>
      </c>
      <c r="L42" s="870">
        <f t="shared" si="10"/>
        <v>7.5013194736683921E-3</v>
      </c>
      <c r="M42" s="314"/>
      <c r="N42" s="25"/>
      <c r="O42" s="25"/>
      <c r="P42" s="25"/>
      <c r="Q42" s="829"/>
      <c r="R42" s="830"/>
      <c r="S42" s="829"/>
      <c r="T42" s="25"/>
      <c r="U42" s="694"/>
      <c r="V42" s="25"/>
      <c r="W42" s="25"/>
    </row>
    <row r="43" spans="1:23" ht="13">
      <c r="A43" s="239"/>
      <c r="B43" s="419">
        <v>22</v>
      </c>
      <c r="C43" s="905">
        <f t="shared" si="0"/>
        <v>757456618.62</v>
      </c>
      <c r="D43" s="901">
        <f t="shared" si="1"/>
        <v>3983534.98</v>
      </c>
      <c r="E43" s="901">
        <f t="shared" si="2"/>
        <v>3944100.01</v>
      </c>
      <c r="F43" s="901">
        <f t="shared" si="3"/>
        <v>2703830.75</v>
      </c>
      <c r="G43" s="901">
        <f t="shared" si="4"/>
        <v>4044073.38</v>
      </c>
      <c r="H43" s="510">
        <f t="shared" si="6"/>
        <v>0.98062524142077312</v>
      </c>
      <c r="I43" s="224">
        <f t="shared" si="7"/>
        <v>5.2590932365969003E-3</v>
      </c>
      <c r="J43" s="224">
        <f t="shared" si="8"/>
        <v>5.2070308886939323E-3</v>
      </c>
      <c r="K43" s="224">
        <f t="shared" si="9"/>
        <v>3.5696179603342468E-3</v>
      </c>
      <c r="L43" s="870">
        <f t="shared" si="10"/>
        <v>5.3390164936017621E-3</v>
      </c>
      <c r="M43" s="314"/>
      <c r="N43" s="25"/>
      <c r="O43" s="835"/>
      <c r="P43" s="25"/>
      <c r="Q43" s="829"/>
      <c r="R43" s="830"/>
      <c r="S43" s="830"/>
      <c r="T43" s="25"/>
      <c r="U43" s="25"/>
      <c r="V43" s="25"/>
      <c r="W43" s="800"/>
    </row>
    <row r="44" spans="1:23" ht="13">
      <c r="A44" s="239"/>
      <c r="B44" s="419">
        <v>23</v>
      </c>
      <c r="C44" s="905">
        <f t="shared" si="0"/>
        <v>731399238.96000004</v>
      </c>
      <c r="D44" s="901">
        <f t="shared" si="1"/>
        <v>1386139.24</v>
      </c>
      <c r="E44" s="901">
        <f t="shared" si="2"/>
        <v>3071441.39</v>
      </c>
      <c r="F44" s="901">
        <f t="shared" si="3"/>
        <v>3509600.48</v>
      </c>
      <c r="G44" s="901">
        <f t="shared" si="4"/>
        <v>4911018.4400000004</v>
      </c>
      <c r="H44" s="510">
        <f t="shared" si="6"/>
        <v>0.98239238043464194</v>
      </c>
      <c r="I44" s="224">
        <f t="shared" si="7"/>
        <v>1.8951882448920725E-3</v>
      </c>
      <c r="J44" s="224">
        <f t="shared" si="8"/>
        <v>4.199404684051054E-3</v>
      </c>
      <c r="K44" s="224">
        <f t="shared" si="9"/>
        <v>4.7984743393914564E-3</v>
      </c>
      <c r="L44" s="870">
        <f t="shared" si="10"/>
        <v>6.7145522970233525E-3</v>
      </c>
      <c r="M44" s="314"/>
      <c r="O44" s="25"/>
      <c r="P44" s="25"/>
      <c r="Q44" s="829"/>
      <c r="R44" s="830"/>
      <c r="S44" s="830"/>
      <c r="T44" s="25"/>
      <c r="U44" s="25"/>
      <c r="V44" s="25"/>
      <c r="W44" s="805"/>
    </row>
    <row r="45" spans="1:23" ht="13">
      <c r="A45" s="239"/>
      <c r="B45" s="419">
        <v>24</v>
      </c>
      <c r="C45" s="905">
        <f t="shared" si="0"/>
        <v>707906332.38</v>
      </c>
      <c r="D45" s="901">
        <f t="shared" si="1"/>
        <v>3944594.97</v>
      </c>
      <c r="E45" s="901">
        <f t="shared" si="2"/>
        <v>1505322.97</v>
      </c>
      <c r="F45" s="901">
        <f t="shared" si="3"/>
        <v>3326455.77</v>
      </c>
      <c r="G45" s="901">
        <f t="shared" si="4"/>
        <v>5508688.6100000003</v>
      </c>
      <c r="H45" s="510">
        <f t="shared" si="6"/>
        <v>0.97982068860441851</v>
      </c>
      <c r="I45" s="224">
        <f t="shared" si="7"/>
        <v>5.5721990178250937E-3</v>
      </c>
      <c r="J45" s="224">
        <f t="shared" si="8"/>
        <v>2.1264437131662092E-3</v>
      </c>
      <c r="K45" s="224">
        <f t="shared" si="9"/>
        <v>4.6990055291868445E-3</v>
      </c>
      <c r="L45" s="870">
        <f t="shared" si="10"/>
        <v>7.7816631354032982E-3</v>
      </c>
      <c r="M45" s="827"/>
      <c r="O45" s="828"/>
      <c r="P45" s="25"/>
      <c r="Q45" s="829"/>
      <c r="R45" s="830"/>
      <c r="S45" s="830"/>
      <c r="T45" s="25"/>
      <c r="U45" s="25"/>
      <c r="V45" s="25"/>
      <c r="W45" s="694"/>
    </row>
    <row r="46" spans="1:23" ht="13">
      <c r="A46" s="239"/>
      <c r="B46" s="419">
        <v>25</v>
      </c>
      <c r="C46" s="905">
        <f t="shared" si="0"/>
        <v>686245897.63999999</v>
      </c>
      <c r="D46" s="901">
        <f t="shared" si="1"/>
        <v>3390577.89</v>
      </c>
      <c r="E46" s="901">
        <f t="shared" si="2"/>
        <v>1391601.05</v>
      </c>
      <c r="F46" s="901">
        <f t="shared" si="3"/>
        <v>3918207.71</v>
      </c>
      <c r="G46" s="901">
        <f t="shared" si="4"/>
        <v>5636807.7000000002</v>
      </c>
      <c r="H46" s="510">
        <f t="shared" si="6"/>
        <v>0.97910778862313697</v>
      </c>
      <c r="I46" s="224">
        <f t="shared" si="7"/>
        <v>4.9407623443144784E-3</v>
      </c>
      <c r="J46" s="224">
        <f t="shared" si="8"/>
        <v>2.0278460749794162E-3</v>
      </c>
      <c r="K46" s="224">
        <f t="shared" si="9"/>
        <v>5.7096264232321366E-3</v>
      </c>
      <c r="L46" s="870">
        <f t="shared" si="10"/>
        <v>8.2139765343370134E-3</v>
      </c>
      <c r="M46" s="314"/>
      <c r="N46" s="25"/>
      <c r="O46" s="25"/>
      <c r="P46" s="25"/>
      <c r="Q46" s="829"/>
      <c r="R46" s="830"/>
      <c r="S46" s="829"/>
      <c r="T46" s="25"/>
      <c r="U46" s="694"/>
      <c r="V46" s="25"/>
      <c r="W46" s="25"/>
    </row>
    <row r="47" spans="1:23" ht="13">
      <c r="A47" s="239"/>
      <c r="B47" s="419">
        <v>26</v>
      </c>
      <c r="C47" s="905">
        <f t="shared" si="0"/>
        <v>663524217.88999999</v>
      </c>
      <c r="D47" s="901">
        <f t="shared" si="1"/>
        <v>1466150.53</v>
      </c>
      <c r="E47" s="901">
        <f t="shared" si="2"/>
        <v>3395973.02</v>
      </c>
      <c r="F47" s="901">
        <f t="shared" si="3"/>
        <v>3296654.39</v>
      </c>
      <c r="G47" s="901">
        <f t="shared" si="4"/>
        <v>5973633.9500000002</v>
      </c>
      <c r="H47" s="510">
        <f t="shared" si="6"/>
        <v>0.97870098557225105</v>
      </c>
      <c r="I47" s="224">
        <f t="shared" si="7"/>
        <v>2.2096413220038047E-3</v>
      </c>
      <c r="J47" s="224">
        <f t="shared" si="8"/>
        <v>5.1180845075996751E-3</v>
      </c>
      <c r="K47" s="224">
        <f t="shared" si="9"/>
        <v>4.9684010034830774E-3</v>
      </c>
      <c r="L47" s="870">
        <f t="shared" si="10"/>
        <v>9.0028875946624731E-3</v>
      </c>
      <c r="M47" s="314"/>
      <c r="N47" s="25"/>
      <c r="O47" s="25"/>
      <c r="P47" s="25"/>
      <c r="Q47" s="829"/>
      <c r="R47" s="830"/>
      <c r="S47" s="829"/>
      <c r="T47" s="25"/>
      <c r="U47" s="694"/>
      <c r="V47" s="25"/>
      <c r="W47" s="25"/>
    </row>
    <row r="48" spans="1:23" ht="13">
      <c r="A48" s="239"/>
      <c r="B48" s="419">
        <v>27</v>
      </c>
      <c r="C48" s="905">
        <f t="shared" si="0"/>
        <v>643878808.33000004</v>
      </c>
      <c r="D48" s="901">
        <f t="shared" si="1"/>
        <v>3107631.11</v>
      </c>
      <c r="E48" s="901">
        <f t="shared" si="2"/>
        <v>3639798.12</v>
      </c>
      <c r="F48" s="901">
        <f t="shared" si="3"/>
        <v>3069164.05</v>
      </c>
      <c r="G48" s="901">
        <f t="shared" si="4"/>
        <v>3968949.41</v>
      </c>
      <c r="H48" s="510">
        <f t="shared" si="6"/>
        <v>0.97858984872362098</v>
      </c>
      <c r="I48" s="224">
        <f t="shared" si="7"/>
        <v>4.8264224102360581E-3</v>
      </c>
      <c r="J48" s="224">
        <f t="shared" si="8"/>
        <v>5.6529242349820201E-3</v>
      </c>
      <c r="K48" s="224">
        <f t="shared" si="9"/>
        <v>4.7666797078791193E-3</v>
      </c>
      <c r="L48" s="870">
        <f t="shared" si="10"/>
        <v>6.1641249232818962E-3</v>
      </c>
      <c r="M48" s="314"/>
      <c r="N48" s="25"/>
      <c r="O48" s="835"/>
      <c r="P48" s="25"/>
      <c r="Q48" s="829"/>
      <c r="R48" s="830"/>
      <c r="S48" s="830"/>
      <c r="T48" s="25"/>
      <c r="U48" s="25"/>
      <c r="V48" s="25"/>
      <c r="W48" s="25"/>
    </row>
    <row r="49" spans="1:23" ht="12.75" customHeight="1">
      <c r="A49" s="239"/>
      <c r="B49" s="419">
        <v>28</v>
      </c>
      <c r="C49" s="905">
        <f t="shared" si="0"/>
        <v>626981831.5</v>
      </c>
      <c r="D49" s="901">
        <f t="shared" si="1"/>
        <v>3293761.44</v>
      </c>
      <c r="E49" s="901">
        <f t="shared" si="2"/>
        <v>2798122.24</v>
      </c>
      <c r="F49" s="901">
        <f t="shared" si="3"/>
        <v>1103998</v>
      </c>
      <c r="G49" s="901">
        <f t="shared" si="4"/>
        <v>5832416.3399999999</v>
      </c>
      <c r="H49" s="510">
        <f t="shared" si="6"/>
        <v>0.97922061315743225</v>
      </c>
      <c r="I49" s="224">
        <f t="shared" si="7"/>
        <v>5.2533602642359824E-3</v>
      </c>
      <c r="J49" s="224">
        <f t="shared" si="8"/>
        <v>4.4628442156062703E-3</v>
      </c>
      <c r="K49" s="224">
        <f t="shared" si="9"/>
        <v>1.7608133833141224E-3</v>
      </c>
      <c r="L49" s="870">
        <f t="shared" si="10"/>
        <v>9.3023689794111686E-3</v>
      </c>
      <c r="M49" s="314"/>
      <c r="Q49" s="843"/>
      <c r="S49" s="844"/>
      <c r="U49" s="25"/>
      <c r="V49" s="25"/>
      <c r="W49" s="25"/>
    </row>
    <row r="50" spans="1:23" ht="12.75" customHeight="1">
      <c r="A50" s="239"/>
      <c r="B50" s="419">
        <v>29</v>
      </c>
      <c r="C50" s="905">
        <f t="shared" si="0"/>
        <v>605593470.44000006</v>
      </c>
      <c r="D50" s="901">
        <f t="shared" si="1"/>
        <v>1160188.31</v>
      </c>
      <c r="E50" s="901">
        <f t="shared" si="2"/>
        <v>3542024.69</v>
      </c>
      <c r="F50" s="901">
        <f t="shared" si="3"/>
        <v>2795788.79</v>
      </c>
      <c r="G50" s="901">
        <f t="shared" si="4"/>
        <v>5065881.92</v>
      </c>
      <c r="H50" s="510">
        <f t="shared" si="6"/>
        <v>0.97925360109832182</v>
      </c>
      <c r="I50" s="224">
        <f t="shared" si="7"/>
        <v>1.9157873501460534E-3</v>
      </c>
      <c r="J50" s="224">
        <f t="shared" si="8"/>
        <v>5.8488488778231148E-3</v>
      </c>
      <c r="K50" s="224">
        <f t="shared" si="9"/>
        <v>4.6166098653089693E-3</v>
      </c>
      <c r="L50" s="870">
        <f t="shared" si="10"/>
        <v>8.3651528084002173E-3</v>
      </c>
      <c r="M50" s="314"/>
      <c r="Q50" s="843"/>
      <c r="S50" s="844"/>
      <c r="U50" s="25"/>
      <c r="V50" s="25"/>
      <c r="W50" s="25"/>
    </row>
    <row r="51" spans="1:23" ht="12.75" customHeight="1">
      <c r="A51" s="239"/>
      <c r="B51" s="419">
        <v>30</v>
      </c>
      <c r="C51" s="905">
        <f t="shared" si="0"/>
        <v>586759359.30999994</v>
      </c>
      <c r="D51" s="901">
        <f t="shared" si="1"/>
        <v>3561389.21</v>
      </c>
      <c r="E51" s="901">
        <f t="shared" si="2"/>
        <v>4094315.86</v>
      </c>
      <c r="F51" s="901">
        <f t="shared" si="3"/>
        <v>2538333.86</v>
      </c>
      <c r="G51" s="901">
        <f t="shared" si="4"/>
        <v>3334621.15</v>
      </c>
      <c r="H51" s="510">
        <f t="shared" si="6"/>
        <v>0.9769434268659829</v>
      </c>
      <c r="I51" s="224">
        <f t="shared" si="7"/>
        <v>6.0695908015647474E-3</v>
      </c>
      <c r="J51" s="224">
        <f t="shared" si="8"/>
        <v>6.9778449973336822E-3</v>
      </c>
      <c r="K51" s="224">
        <f t="shared" si="9"/>
        <v>4.3260219368037953E-3</v>
      </c>
      <c r="L51" s="870">
        <f t="shared" si="10"/>
        <v>5.683115398314822E-3</v>
      </c>
      <c r="M51" s="314"/>
      <c r="Q51" s="843"/>
      <c r="S51" s="844"/>
      <c r="U51" s="25"/>
      <c r="V51" s="25"/>
      <c r="W51" s="25"/>
    </row>
    <row r="52" spans="1:23" ht="12.75" customHeight="1">
      <c r="A52" s="239"/>
      <c r="B52" s="419">
        <v>31</v>
      </c>
      <c r="C52" s="905">
        <f t="shared" si="0"/>
        <v>568467527.35000002</v>
      </c>
      <c r="D52" s="901">
        <f t="shared" si="1"/>
        <v>1353226.82</v>
      </c>
      <c r="E52" s="901">
        <f t="shared" si="2"/>
        <v>4782020.9400000004</v>
      </c>
      <c r="F52" s="901">
        <f t="shared" si="3"/>
        <v>3235669.96</v>
      </c>
      <c r="G52" s="901">
        <f t="shared" si="4"/>
        <v>3131024.25</v>
      </c>
      <c r="H52" s="510">
        <f t="shared" si="6"/>
        <v>0.9780076409495545</v>
      </c>
      <c r="I52" s="224">
        <f t="shared" si="7"/>
        <v>2.3804821821719136E-3</v>
      </c>
      <c r="J52" s="224">
        <f t="shared" si="8"/>
        <v>8.4121268321026826E-3</v>
      </c>
      <c r="K52" s="224">
        <f t="shared" si="9"/>
        <v>5.6919169597665145E-3</v>
      </c>
      <c r="L52" s="870">
        <f t="shared" si="10"/>
        <v>5.5078330764041306E-3</v>
      </c>
      <c r="M52" s="314"/>
      <c r="Q52" s="843"/>
      <c r="S52" s="844"/>
      <c r="U52" s="25"/>
      <c r="V52" s="25"/>
      <c r="W52" s="25"/>
    </row>
    <row r="53" spans="1:23" ht="12.75" customHeight="1">
      <c r="A53" s="239"/>
      <c r="B53" s="419">
        <v>32</v>
      </c>
      <c r="C53" s="905">
        <f t="shared" si="0"/>
        <v>549072459.41999996</v>
      </c>
      <c r="D53" s="901">
        <f t="shared" si="1"/>
        <v>3369880.96</v>
      </c>
      <c r="E53" s="901">
        <f t="shared" si="2"/>
        <v>1400342.46</v>
      </c>
      <c r="F53" s="901">
        <f t="shared" si="3"/>
        <v>4162366.24</v>
      </c>
      <c r="G53" s="901">
        <f t="shared" si="4"/>
        <v>3799518.95</v>
      </c>
      <c r="H53" s="510">
        <f t="shared" si="6"/>
        <v>0.97681160584260707</v>
      </c>
      <c r="I53" s="224">
        <f t="shared" si="7"/>
        <v>6.1374066431226513E-3</v>
      </c>
      <c r="J53" s="224">
        <f t="shared" si="8"/>
        <v>2.5503782533169111E-3</v>
      </c>
      <c r="K53" s="224">
        <f t="shared" si="9"/>
        <v>7.5807230331618163E-3</v>
      </c>
      <c r="L53" s="870">
        <f t="shared" si="10"/>
        <v>6.9198862277913822E-3</v>
      </c>
      <c r="M53" s="314"/>
      <c r="Q53" s="843"/>
      <c r="S53" s="844"/>
      <c r="U53" s="25"/>
      <c r="V53" s="25"/>
      <c r="W53" s="25"/>
    </row>
    <row r="54" spans="1:23" ht="12.75" customHeight="1">
      <c r="A54" s="239"/>
      <c r="B54" s="419">
        <v>33</v>
      </c>
      <c r="C54" s="905">
        <f t="shared" ref="C54:C85" si="11">IF(B54&lt;=$F$4,VLOOKUP(CONCATENATE("delinquency_",$B54),delinquencies,2,FALSE),"")</f>
        <v>530411090.52999997</v>
      </c>
      <c r="D54" s="901">
        <f t="shared" ref="D54:D85" si="12">IF(B54&lt;=$F$4,VLOOKUP(CONCATENATE("delinquency_",$B54),delinquencies,3,FALSE),"")</f>
        <v>2998541.33</v>
      </c>
      <c r="E54" s="901">
        <f t="shared" ref="E54:E85" si="13">IF(B54&lt;=$F$4,VLOOKUP(CONCATENATE("delinquency_",$B54),delinquencies,4,FALSE),"")</f>
        <v>3013054</v>
      </c>
      <c r="F54" s="901">
        <f t="shared" ref="F54:F85" si="14">IF(B54&lt;=$F$4,VLOOKUP(CONCATENATE("delinquency_",$B54),delinquencies,5,FALSE),"")</f>
        <v>1073391.29</v>
      </c>
      <c r="G54" s="901">
        <f t="shared" ref="G54:G85" si="15">IF(B54&lt;=$F$4,VLOOKUP(CONCATENATE("delinquency_",$B54),delinquencies,6,FALSE),"")</f>
        <v>5156200.43</v>
      </c>
      <c r="H54" s="510">
        <f t="shared" si="6"/>
        <v>0.97692132146451105</v>
      </c>
      <c r="I54" s="224">
        <f t="shared" si="7"/>
        <v>5.6532402574836493E-3</v>
      </c>
      <c r="J54" s="224">
        <f t="shared" si="8"/>
        <v>5.6806014312206056E-3</v>
      </c>
      <c r="K54" s="224">
        <f t="shared" si="9"/>
        <v>2.0236969195486479E-3</v>
      </c>
      <c r="L54" s="870">
        <f t="shared" si="10"/>
        <v>9.7211399272360537E-3</v>
      </c>
      <c r="M54" s="314"/>
      <c r="Q54" s="843"/>
      <c r="S54" s="844"/>
      <c r="U54" s="25"/>
      <c r="V54" s="25"/>
      <c r="W54" s="25"/>
    </row>
    <row r="55" spans="1:23" ht="12.75" customHeight="1">
      <c r="A55" s="239"/>
      <c r="B55" s="419">
        <v>34</v>
      </c>
      <c r="C55" s="905" t="str">
        <f t="shared" si="11"/>
        <v/>
      </c>
      <c r="D55" s="901" t="str">
        <f t="shared" si="12"/>
        <v/>
      </c>
      <c r="E55" s="901" t="str">
        <f t="shared" si="13"/>
        <v/>
      </c>
      <c r="F55" s="901" t="str">
        <f t="shared" si="14"/>
        <v/>
      </c>
      <c r="G55" s="901" t="str">
        <f t="shared" si="15"/>
        <v/>
      </c>
      <c r="H55" s="510" t="str">
        <f t="shared" si="6"/>
        <v/>
      </c>
      <c r="I55" s="224" t="str">
        <f t="shared" si="7"/>
        <v/>
      </c>
      <c r="J55" s="224" t="str">
        <f t="shared" si="8"/>
        <v/>
      </c>
      <c r="K55" s="224" t="str">
        <f t="shared" si="9"/>
        <v/>
      </c>
      <c r="L55" s="870" t="str">
        <f t="shared" si="10"/>
        <v/>
      </c>
      <c r="M55" s="314"/>
      <c r="Q55" s="843"/>
      <c r="S55" s="844"/>
      <c r="U55" s="25"/>
      <c r="V55" s="25"/>
      <c r="W55" s="25"/>
    </row>
    <row r="56" spans="1:23" ht="12.75" customHeight="1">
      <c r="A56" s="239"/>
      <c r="B56" s="419">
        <v>35</v>
      </c>
      <c r="C56" s="905" t="str">
        <f t="shared" si="11"/>
        <v/>
      </c>
      <c r="D56" s="901" t="str">
        <f t="shared" si="12"/>
        <v/>
      </c>
      <c r="E56" s="901" t="str">
        <f t="shared" si="13"/>
        <v/>
      </c>
      <c r="F56" s="901" t="str">
        <f t="shared" si="14"/>
        <v/>
      </c>
      <c r="G56" s="901" t="str">
        <f t="shared" si="15"/>
        <v/>
      </c>
      <c r="H56" s="510" t="str">
        <f t="shared" si="6"/>
        <v/>
      </c>
      <c r="I56" s="224" t="str">
        <f t="shared" si="7"/>
        <v/>
      </c>
      <c r="J56" s="224" t="str">
        <f t="shared" si="8"/>
        <v/>
      </c>
      <c r="K56" s="224" t="str">
        <f t="shared" si="9"/>
        <v/>
      </c>
      <c r="L56" s="870" t="str">
        <f t="shared" si="10"/>
        <v/>
      </c>
      <c r="M56" s="314"/>
      <c r="Q56" s="843"/>
      <c r="S56" s="844"/>
      <c r="U56" s="25"/>
      <c r="V56" s="25"/>
      <c r="W56" s="25"/>
    </row>
    <row r="57" spans="1:23" ht="12.75" customHeight="1">
      <c r="A57" s="239"/>
      <c r="B57" s="419">
        <v>36</v>
      </c>
      <c r="C57" s="905" t="str">
        <f t="shared" si="11"/>
        <v/>
      </c>
      <c r="D57" s="901" t="str">
        <f t="shared" si="12"/>
        <v/>
      </c>
      <c r="E57" s="901" t="str">
        <f t="shared" si="13"/>
        <v/>
      </c>
      <c r="F57" s="901" t="str">
        <f t="shared" si="14"/>
        <v/>
      </c>
      <c r="G57" s="901" t="str">
        <f t="shared" si="15"/>
        <v/>
      </c>
      <c r="H57" s="510" t="str">
        <f t="shared" si="6"/>
        <v/>
      </c>
      <c r="I57" s="224" t="str">
        <f t="shared" si="7"/>
        <v/>
      </c>
      <c r="J57" s="224" t="str">
        <f t="shared" si="8"/>
        <v/>
      </c>
      <c r="K57" s="224" t="str">
        <f t="shared" si="9"/>
        <v/>
      </c>
      <c r="L57" s="870" t="str">
        <f t="shared" si="10"/>
        <v/>
      </c>
      <c r="M57" s="314"/>
      <c r="Q57" s="843"/>
      <c r="S57" s="844"/>
      <c r="U57" s="25"/>
      <c r="V57" s="25"/>
      <c r="W57" s="25"/>
    </row>
    <row r="58" spans="1:23" ht="12.75" customHeight="1">
      <c r="A58" s="239"/>
      <c r="B58" s="419">
        <v>37</v>
      </c>
      <c r="C58" s="905" t="str">
        <f t="shared" si="11"/>
        <v/>
      </c>
      <c r="D58" s="901" t="str">
        <f t="shared" si="12"/>
        <v/>
      </c>
      <c r="E58" s="901" t="str">
        <f t="shared" si="13"/>
        <v/>
      </c>
      <c r="F58" s="901" t="str">
        <f t="shared" si="14"/>
        <v/>
      </c>
      <c r="G58" s="901" t="str">
        <f t="shared" si="15"/>
        <v/>
      </c>
      <c r="H58" s="510" t="str">
        <f t="shared" si="6"/>
        <v/>
      </c>
      <c r="I58" s="224" t="str">
        <f t="shared" si="7"/>
        <v/>
      </c>
      <c r="J58" s="224" t="str">
        <f t="shared" si="8"/>
        <v/>
      </c>
      <c r="K58" s="224" t="str">
        <f t="shared" si="9"/>
        <v/>
      </c>
      <c r="L58" s="870" t="str">
        <f t="shared" si="10"/>
        <v/>
      </c>
      <c r="M58" s="314"/>
      <c r="Q58" s="843"/>
      <c r="S58" s="844"/>
      <c r="U58" s="25"/>
      <c r="V58" s="25"/>
      <c r="W58" s="25"/>
    </row>
    <row r="59" spans="1:23" ht="12.75" customHeight="1">
      <c r="A59" s="239"/>
      <c r="B59" s="419">
        <v>38</v>
      </c>
      <c r="C59" s="905" t="str">
        <f t="shared" si="11"/>
        <v/>
      </c>
      <c r="D59" s="901" t="str">
        <f t="shared" si="12"/>
        <v/>
      </c>
      <c r="E59" s="901" t="str">
        <f t="shared" si="13"/>
        <v/>
      </c>
      <c r="F59" s="901" t="str">
        <f t="shared" si="14"/>
        <v/>
      </c>
      <c r="G59" s="901" t="str">
        <f t="shared" si="15"/>
        <v/>
      </c>
      <c r="H59" s="510" t="str">
        <f t="shared" si="6"/>
        <v/>
      </c>
      <c r="I59" s="224" t="str">
        <f t="shared" si="7"/>
        <v/>
      </c>
      <c r="J59" s="224" t="str">
        <f t="shared" si="8"/>
        <v/>
      </c>
      <c r="K59" s="224" t="str">
        <f t="shared" si="9"/>
        <v/>
      </c>
      <c r="L59" s="870" t="str">
        <f t="shared" si="10"/>
        <v/>
      </c>
      <c r="M59" s="314"/>
      <c r="Q59" s="843"/>
      <c r="S59" s="844"/>
      <c r="U59" s="25"/>
      <c r="V59" s="25"/>
      <c r="W59" s="25"/>
    </row>
    <row r="60" spans="1:23" ht="12.75" customHeight="1">
      <c r="A60" s="239"/>
      <c r="B60" s="419">
        <v>39</v>
      </c>
      <c r="C60" s="905" t="str">
        <f t="shared" si="11"/>
        <v/>
      </c>
      <c r="D60" s="901" t="str">
        <f t="shared" si="12"/>
        <v/>
      </c>
      <c r="E60" s="901" t="str">
        <f t="shared" si="13"/>
        <v/>
      </c>
      <c r="F60" s="901" t="str">
        <f t="shared" si="14"/>
        <v/>
      </c>
      <c r="G60" s="901" t="str">
        <f t="shared" si="15"/>
        <v/>
      </c>
      <c r="H60" s="510" t="str">
        <f t="shared" si="6"/>
        <v/>
      </c>
      <c r="I60" s="224" t="str">
        <f t="shared" si="7"/>
        <v/>
      </c>
      <c r="J60" s="224" t="str">
        <f t="shared" si="8"/>
        <v/>
      </c>
      <c r="K60" s="224" t="str">
        <f t="shared" si="9"/>
        <v/>
      </c>
      <c r="L60" s="870" t="str">
        <f t="shared" si="10"/>
        <v/>
      </c>
      <c r="M60" s="314"/>
      <c r="Q60" s="843"/>
      <c r="S60" s="844"/>
      <c r="U60" s="25"/>
      <c r="V60" s="25"/>
      <c r="W60" s="25"/>
    </row>
    <row r="61" spans="1:23" ht="12.75" customHeight="1">
      <c r="A61" s="239"/>
      <c r="B61" s="419">
        <v>40</v>
      </c>
      <c r="C61" s="905" t="str">
        <f t="shared" si="11"/>
        <v/>
      </c>
      <c r="D61" s="901" t="str">
        <f t="shared" si="12"/>
        <v/>
      </c>
      <c r="E61" s="901" t="str">
        <f t="shared" si="13"/>
        <v/>
      </c>
      <c r="F61" s="901" t="str">
        <f t="shared" si="14"/>
        <v/>
      </c>
      <c r="G61" s="901" t="str">
        <f t="shared" si="15"/>
        <v/>
      </c>
      <c r="H61" s="510" t="str">
        <f t="shared" si="6"/>
        <v/>
      </c>
      <c r="I61" s="224" t="str">
        <f t="shared" si="7"/>
        <v/>
      </c>
      <c r="J61" s="224" t="str">
        <f t="shared" si="8"/>
        <v/>
      </c>
      <c r="K61" s="224" t="str">
        <f t="shared" si="9"/>
        <v/>
      </c>
      <c r="L61" s="870" t="str">
        <f t="shared" si="10"/>
        <v/>
      </c>
      <c r="M61" s="314"/>
      <c r="Q61" s="843"/>
      <c r="S61" s="844"/>
      <c r="U61" s="25"/>
      <c r="V61" s="25"/>
      <c r="W61" s="25"/>
    </row>
    <row r="62" spans="1:23" ht="12.75" customHeight="1">
      <c r="A62" s="239"/>
      <c r="B62" s="419">
        <v>41</v>
      </c>
      <c r="C62" s="905" t="str">
        <f t="shared" si="11"/>
        <v/>
      </c>
      <c r="D62" s="901" t="str">
        <f t="shared" si="12"/>
        <v/>
      </c>
      <c r="E62" s="901" t="str">
        <f t="shared" si="13"/>
        <v/>
      </c>
      <c r="F62" s="901" t="str">
        <f t="shared" si="14"/>
        <v/>
      </c>
      <c r="G62" s="901" t="str">
        <f t="shared" si="15"/>
        <v/>
      </c>
      <c r="H62" s="510" t="str">
        <f t="shared" si="6"/>
        <v/>
      </c>
      <c r="I62" s="224" t="str">
        <f t="shared" si="7"/>
        <v/>
      </c>
      <c r="J62" s="224" t="str">
        <f t="shared" si="8"/>
        <v/>
      </c>
      <c r="K62" s="224" t="str">
        <f t="shared" si="9"/>
        <v/>
      </c>
      <c r="L62" s="870" t="str">
        <f t="shared" si="10"/>
        <v/>
      </c>
      <c r="M62" s="314"/>
      <c r="Q62" s="843"/>
      <c r="S62" s="844"/>
      <c r="U62" s="25"/>
      <c r="V62" s="25"/>
      <c r="W62" s="25"/>
    </row>
    <row r="63" spans="1:23" ht="12.75" customHeight="1">
      <c r="A63" s="239"/>
      <c r="B63" s="419">
        <v>42</v>
      </c>
      <c r="C63" s="905" t="str">
        <f t="shared" si="11"/>
        <v/>
      </c>
      <c r="D63" s="901" t="str">
        <f t="shared" si="12"/>
        <v/>
      </c>
      <c r="E63" s="901" t="str">
        <f t="shared" si="13"/>
        <v/>
      </c>
      <c r="F63" s="901" t="str">
        <f t="shared" si="14"/>
        <v/>
      </c>
      <c r="G63" s="901" t="str">
        <f t="shared" si="15"/>
        <v/>
      </c>
      <c r="H63" s="510" t="str">
        <f t="shared" si="6"/>
        <v/>
      </c>
      <c r="I63" s="224" t="str">
        <f t="shared" si="7"/>
        <v/>
      </c>
      <c r="J63" s="224" t="str">
        <f t="shared" si="8"/>
        <v/>
      </c>
      <c r="K63" s="224" t="str">
        <f t="shared" si="9"/>
        <v/>
      </c>
      <c r="L63" s="870" t="str">
        <f t="shared" si="10"/>
        <v/>
      </c>
      <c r="M63" s="314"/>
      <c r="Q63" s="843"/>
      <c r="S63" s="844"/>
      <c r="U63" s="25"/>
      <c r="V63" s="25"/>
      <c r="W63" s="25"/>
    </row>
    <row r="64" spans="1:23" ht="12.75" customHeight="1">
      <c r="A64" s="239"/>
      <c r="B64" s="419">
        <v>43</v>
      </c>
      <c r="C64" s="905" t="str">
        <f t="shared" si="11"/>
        <v/>
      </c>
      <c r="D64" s="901" t="str">
        <f t="shared" si="12"/>
        <v/>
      </c>
      <c r="E64" s="901" t="str">
        <f t="shared" si="13"/>
        <v/>
      </c>
      <c r="F64" s="901" t="str">
        <f t="shared" si="14"/>
        <v/>
      </c>
      <c r="G64" s="901" t="str">
        <f t="shared" si="15"/>
        <v/>
      </c>
      <c r="H64" s="510" t="str">
        <f t="shared" si="6"/>
        <v/>
      </c>
      <c r="I64" s="224" t="str">
        <f t="shared" si="7"/>
        <v/>
      </c>
      <c r="J64" s="224" t="str">
        <f t="shared" si="8"/>
        <v/>
      </c>
      <c r="K64" s="224" t="str">
        <f t="shared" si="9"/>
        <v/>
      </c>
      <c r="L64" s="870" t="str">
        <f t="shared" si="10"/>
        <v/>
      </c>
      <c r="M64" s="314"/>
      <c r="Q64" s="843"/>
      <c r="S64" s="844"/>
      <c r="U64" s="25"/>
      <c r="V64" s="25"/>
      <c r="W64" s="25"/>
    </row>
    <row r="65" spans="1:23" ht="12.75" customHeight="1">
      <c r="A65" s="239"/>
      <c r="B65" s="419">
        <v>44</v>
      </c>
      <c r="C65" s="905" t="str">
        <f t="shared" si="11"/>
        <v/>
      </c>
      <c r="D65" s="901" t="str">
        <f t="shared" si="12"/>
        <v/>
      </c>
      <c r="E65" s="901" t="str">
        <f t="shared" si="13"/>
        <v/>
      </c>
      <c r="F65" s="901" t="str">
        <f t="shared" si="14"/>
        <v/>
      </c>
      <c r="G65" s="901" t="str">
        <f t="shared" si="15"/>
        <v/>
      </c>
      <c r="H65" s="510" t="str">
        <f t="shared" si="6"/>
        <v/>
      </c>
      <c r="I65" s="224" t="str">
        <f t="shared" si="7"/>
        <v/>
      </c>
      <c r="J65" s="224" t="str">
        <f t="shared" si="8"/>
        <v/>
      </c>
      <c r="K65" s="224" t="str">
        <f t="shared" si="9"/>
        <v/>
      </c>
      <c r="L65" s="870" t="str">
        <f t="shared" si="10"/>
        <v/>
      </c>
      <c r="M65" s="314"/>
      <c r="Q65" s="843"/>
      <c r="S65" s="844"/>
      <c r="U65" s="25"/>
      <c r="V65" s="25"/>
      <c r="W65" s="25"/>
    </row>
    <row r="66" spans="1:23" ht="12.75" customHeight="1">
      <c r="A66" s="239"/>
      <c r="B66" s="419">
        <v>45</v>
      </c>
      <c r="C66" s="905" t="str">
        <f t="shared" si="11"/>
        <v/>
      </c>
      <c r="D66" s="901" t="str">
        <f t="shared" si="12"/>
        <v/>
      </c>
      <c r="E66" s="901" t="str">
        <f t="shared" si="13"/>
        <v/>
      </c>
      <c r="F66" s="901" t="str">
        <f t="shared" si="14"/>
        <v/>
      </c>
      <c r="G66" s="901" t="str">
        <f t="shared" si="15"/>
        <v/>
      </c>
      <c r="H66" s="510" t="str">
        <f t="shared" si="6"/>
        <v/>
      </c>
      <c r="I66" s="224" t="str">
        <f t="shared" si="7"/>
        <v/>
      </c>
      <c r="J66" s="224" t="str">
        <f t="shared" si="8"/>
        <v/>
      </c>
      <c r="K66" s="224" t="str">
        <f t="shared" si="9"/>
        <v/>
      </c>
      <c r="L66" s="870" t="str">
        <f t="shared" si="10"/>
        <v/>
      </c>
      <c r="M66" s="314"/>
      <c r="Q66" s="843"/>
      <c r="S66" s="844"/>
      <c r="U66" s="25"/>
      <c r="V66" s="25"/>
      <c r="W66" s="25"/>
    </row>
    <row r="67" spans="1:23" ht="12.75" customHeight="1">
      <c r="A67" s="239"/>
      <c r="B67" s="419">
        <v>46</v>
      </c>
      <c r="C67" s="905" t="str">
        <f t="shared" si="11"/>
        <v/>
      </c>
      <c r="D67" s="901" t="str">
        <f t="shared" si="12"/>
        <v/>
      </c>
      <c r="E67" s="901" t="str">
        <f t="shared" si="13"/>
        <v/>
      </c>
      <c r="F67" s="901" t="str">
        <f t="shared" si="14"/>
        <v/>
      </c>
      <c r="G67" s="901" t="str">
        <f t="shared" si="15"/>
        <v/>
      </c>
      <c r="H67" s="510" t="str">
        <f t="shared" si="6"/>
        <v/>
      </c>
      <c r="I67" s="224" t="str">
        <f t="shared" si="7"/>
        <v/>
      </c>
      <c r="J67" s="224" t="str">
        <f t="shared" si="8"/>
        <v/>
      </c>
      <c r="K67" s="224" t="str">
        <f t="shared" si="9"/>
        <v/>
      </c>
      <c r="L67" s="870" t="str">
        <f t="shared" si="10"/>
        <v/>
      </c>
      <c r="M67" s="314"/>
      <c r="Q67" s="843"/>
      <c r="S67" s="844"/>
      <c r="U67" s="25"/>
      <c r="V67" s="25"/>
      <c r="W67" s="25"/>
    </row>
    <row r="68" spans="1:23" ht="12.75" customHeight="1">
      <c r="A68" s="239"/>
      <c r="B68" s="419">
        <v>47</v>
      </c>
      <c r="C68" s="905" t="str">
        <f t="shared" si="11"/>
        <v/>
      </c>
      <c r="D68" s="901" t="str">
        <f t="shared" si="12"/>
        <v/>
      </c>
      <c r="E68" s="901" t="str">
        <f t="shared" si="13"/>
        <v/>
      </c>
      <c r="F68" s="901" t="str">
        <f t="shared" si="14"/>
        <v/>
      </c>
      <c r="G68" s="901" t="str">
        <f t="shared" si="15"/>
        <v/>
      </c>
      <c r="H68" s="510" t="str">
        <f t="shared" si="6"/>
        <v/>
      </c>
      <c r="I68" s="224" t="str">
        <f t="shared" si="7"/>
        <v/>
      </c>
      <c r="J68" s="224" t="str">
        <f t="shared" si="8"/>
        <v/>
      </c>
      <c r="K68" s="224" t="str">
        <f t="shared" si="9"/>
        <v/>
      </c>
      <c r="L68" s="870" t="str">
        <f t="shared" si="10"/>
        <v/>
      </c>
      <c r="M68" s="314"/>
      <c r="Q68" s="843"/>
      <c r="S68" s="844"/>
      <c r="U68" s="25"/>
      <c r="V68" s="25"/>
      <c r="W68" s="25"/>
    </row>
    <row r="69" spans="1:23" ht="12.75" customHeight="1">
      <c r="A69" s="239"/>
      <c r="B69" s="419">
        <v>48</v>
      </c>
      <c r="C69" s="905" t="str">
        <f t="shared" si="11"/>
        <v/>
      </c>
      <c r="D69" s="901" t="str">
        <f t="shared" si="12"/>
        <v/>
      </c>
      <c r="E69" s="901" t="str">
        <f t="shared" si="13"/>
        <v/>
      </c>
      <c r="F69" s="901" t="str">
        <f t="shared" si="14"/>
        <v/>
      </c>
      <c r="G69" s="901" t="str">
        <f t="shared" si="15"/>
        <v/>
      </c>
      <c r="H69" s="510" t="str">
        <f t="shared" si="6"/>
        <v/>
      </c>
      <c r="I69" s="224" t="str">
        <f t="shared" si="7"/>
        <v/>
      </c>
      <c r="J69" s="224" t="str">
        <f t="shared" si="8"/>
        <v/>
      </c>
      <c r="K69" s="224" t="str">
        <f t="shared" si="9"/>
        <v/>
      </c>
      <c r="L69" s="870" t="str">
        <f t="shared" si="10"/>
        <v/>
      </c>
      <c r="M69" s="314"/>
      <c r="Q69" s="843"/>
      <c r="S69" s="844"/>
      <c r="U69" s="25"/>
      <c r="V69" s="25"/>
      <c r="W69" s="25"/>
    </row>
    <row r="70" spans="1:23" ht="12.75" customHeight="1">
      <c r="A70" s="239"/>
      <c r="B70" s="419">
        <v>49</v>
      </c>
      <c r="C70" s="905" t="str">
        <f t="shared" si="11"/>
        <v/>
      </c>
      <c r="D70" s="901" t="str">
        <f t="shared" si="12"/>
        <v/>
      </c>
      <c r="E70" s="901" t="str">
        <f t="shared" si="13"/>
        <v/>
      </c>
      <c r="F70" s="901" t="str">
        <f t="shared" si="14"/>
        <v/>
      </c>
      <c r="G70" s="901" t="str">
        <f t="shared" si="15"/>
        <v/>
      </c>
      <c r="H70" s="510" t="str">
        <f t="shared" si="6"/>
        <v/>
      </c>
      <c r="I70" s="224" t="str">
        <f t="shared" si="7"/>
        <v/>
      </c>
      <c r="J70" s="224" t="str">
        <f t="shared" si="8"/>
        <v/>
      </c>
      <c r="K70" s="224" t="str">
        <f t="shared" si="9"/>
        <v/>
      </c>
      <c r="L70" s="870" t="str">
        <f t="shared" si="10"/>
        <v/>
      </c>
      <c r="M70" s="314"/>
      <c r="Q70" s="843"/>
      <c r="S70" s="844"/>
      <c r="U70" s="25"/>
      <c r="V70" s="25"/>
      <c r="W70" s="25"/>
    </row>
    <row r="71" spans="1:23" ht="12.75" customHeight="1">
      <c r="A71" s="239"/>
      <c r="B71" s="419">
        <v>50</v>
      </c>
      <c r="C71" s="905" t="str">
        <f t="shared" si="11"/>
        <v/>
      </c>
      <c r="D71" s="901" t="str">
        <f t="shared" si="12"/>
        <v/>
      </c>
      <c r="E71" s="901" t="str">
        <f t="shared" si="13"/>
        <v/>
      </c>
      <c r="F71" s="901" t="str">
        <f t="shared" si="14"/>
        <v/>
      </c>
      <c r="G71" s="901" t="str">
        <f t="shared" si="15"/>
        <v/>
      </c>
      <c r="H71" s="510" t="str">
        <f t="shared" si="6"/>
        <v/>
      </c>
      <c r="I71" s="224" t="str">
        <f t="shared" si="7"/>
        <v/>
      </c>
      <c r="J71" s="224" t="str">
        <f t="shared" si="8"/>
        <v/>
      </c>
      <c r="K71" s="224" t="str">
        <f t="shared" si="9"/>
        <v/>
      </c>
      <c r="L71" s="870" t="str">
        <f t="shared" si="10"/>
        <v/>
      </c>
      <c r="M71" s="314"/>
      <c r="Q71" s="843"/>
      <c r="S71" s="844"/>
      <c r="U71" s="25"/>
      <c r="V71" s="25"/>
      <c r="W71" s="25"/>
    </row>
    <row r="72" spans="1:23" ht="12.75" customHeight="1">
      <c r="A72" s="239"/>
      <c r="B72" s="419">
        <v>51</v>
      </c>
      <c r="C72" s="905" t="str">
        <f t="shared" si="11"/>
        <v/>
      </c>
      <c r="D72" s="901" t="str">
        <f t="shared" si="12"/>
        <v/>
      </c>
      <c r="E72" s="901" t="str">
        <f t="shared" si="13"/>
        <v/>
      </c>
      <c r="F72" s="901" t="str">
        <f t="shared" si="14"/>
        <v/>
      </c>
      <c r="G72" s="901" t="str">
        <f t="shared" si="15"/>
        <v/>
      </c>
      <c r="H72" s="510" t="str">
        <f t="shared" si="6"/>
        <v/>
      </c>
      <c r="I72" s="224" t="str">
        <f t="shared" si="7"/>
        <v/>
      </c>
      <c r="J72" s="224" t="str">
        <f t="shared" si="8"/>
        <v/>
      </c>
      <c r="K72" s="224" t="str">
        <f t="shared" si="9"/>
        <v/>
      </c>
      <c r="L72" s="870" t="str">
        <f t="shared" si="10"/>
        <v/>
      </c>
      <c r="M72" s="314"/>
      <c r="Q72" s="843"/>
      <c r="S72" s="844"/>
      <c r="U72" s="25"/>
      <c r="V72" s="25"/>
      <c r="W72" s="25"/>
    </row>
    <row r="73" spans="1:23" ht="12.75" customHeight="1">
      <c r="A73" s="239"/>
      <c r="B73" s="419">
        <v>52</v>
      </c>
      <c r="C73" s="905" t="str">
        <f t="shared" si="11"/>
        <v/>
      </c>
      <c r="D73" s="901" t="str">
        <f t="shared" si="12"/>
        <v/>
      </c>
      <c r="E73" s="901" t="str">
        <f t="shared" si="13"/>
        <v/>
      </c>
      <c r="F73" s="901" t="str">
        <f t="shared" si="14"/>
        <v/>
      </c>
      <c r="G73" s="901" t="str">
        <f t="shared" si="15"/>
        <v/>
      </c>
      <c r="H73" s="510" t="str">
        <f t="shared" si="6"/>
        <v/>
      </c>
      <c r="I73" s="224" t="str">
        <f t="shared" si="7"/>
        <v/>
      </c>
      <c r="J73" s="224" t="str">
        <f t="shared" si="8"/>
        <v/>
      </c>
      <c r="K73" s="224" t="str">
        <f t="shared" si="9"/>
        <v/>
      </c>
      <c r="L73" s="870" t="str">
        <f t="shared" si="10"/>
        <v/>
      </c>
      <c r="M73" s="314"/>
      <c r="Q73" s="843"/>
      <c r="S73" s="844"/>
      <c r="U73" s="25"/>
      <c r="V73" s="25"/>
      <c r="W73" s="25"/>
    </row>
    <row r="74" spans="1:23" ht="12.75" customHeight="1">
      <c r="A74" s="239"/>
      <c r="B74" s="419">
        <v>53</v>
      </c>
      <c r="C74" s="905" t="str">
        <f t="shared" si="11"/>
        <v/>
      </c>
      <c r="D74" s="901" t="str">
        <f t="shared" si="12"/>
        <v/>
      </c>
      <c r="E74" s="901" t="str">
        <f t="shared" si="13"/>
        <v/>
      </c>
      <c r="F74" s="901" t="str">
        <f t="shared" si="14"/>
        <v/>
      </c>
      <c r="G74" s="901" t="str">
        <f t="shared" si="15"/>
        <v/>
      </c>
      <c r="H74" s="510" t="str">
        <f t="shared" si="6"/>
        <v/>
      </c>
      <c r="I74" s="224" t="str">
        <f t="shared" si="7"/>
        <v/>
      </c>
      <c r="J74" s="224" t="str">
        <f t="shared" si="8"/>
        <v/>
      </c>
      <c r="K74" s="224" t="str">
        <f t="shared" si="9"/>
        <v/>
      </c>
      <c r="L74" s="870" t="str">
        <f t="shared" si="10"/>
        <v/>
      </c>
      <c r="M74" s="314"/>
      <c r="Q74" s="843"/>
      <c r="S74" s="844"/>
      <c r="U74" s="25"/>
      <c r="V74" s="25"/>
      <c r="W74" s="25"/>
    </row>
    <row r="75" spans="1:23" ht="12.75" customHeight="1">
      <c r="A75" s="239"/>
      <c r="B75" s="419">
        <v>54</v>
      </c>
      <c r="C75" s="905" t="str">
        <f t="shared" si="11"/>
        <v/>
      </c>
      <c r="D75" s="901" t="str">
        <f t="shared" si="12"/>
        <v/>
      </c>
      <c r="E75" s="901" t="str">
        <f t="shared" si="13"/>
        <v/>
      </c>
      <c r="F75" s="901" t="str">
        <f t="shared" si="14"/>
        <v/>
      </c>
      <c r="G75" s="901" t="str">
        <f t="shared" si="15"/>
        <v/>
      </c>
      <c r="H75" s="510" t="str">
        <f t="shared" si="6"/>
        <v/>
      </c>
      <c r="I75" s="224" t="str">
        <f t="shared" si="7"/>
        <v/>
      </c>
      <c r="J75" s="224" t="str">
        <f t="shared" si="8"/>
        <v/>
      </c>
      <c r="K75" s="224" t="str">
        <f t="shared" si="9"/>
        <v/>
      </c>
      <c r="L75" s="870" t="str">
        <f t="shared" si="10"/>
        <v/>
      </c>
      <c r="M75" s="314"/>
      <c r="Q75" s="843"/>
      <c r="S75" s="844"/>
      <c r="U75" s="25"/>
      <c r="V75" s="25"/>
      <c r="W75" s="25"/>
    </row>
    <row r="76" spans="1:23" ht="12.75" customHeight="1">
      <c r="A76" s="239"/>
      <c r="B76" s="419">
        <v>55</v>
      </c>
      <c r="C76" s="905" t="str">
        <f t="shared" si="11"/>
        <v/>
      </c>
      <c r="D76" s="901" t="str">
        <f t="shared" si="12"/>
        <v/>
      </c>
      <c r="E76" s="901" t="str">
        <f t="shared" si="13"/>
        <v/>
      </c>
      <c r="F76" s="901" t="str">
        <f t="shared" si="14"/>
        <v/>
      </c>
      <c r="G76" s="901" t="str">
        <f t="shared" si="15"/>
        <v/>
      </c>
      <c r="H76" s="510" t="str">
        <f t="shared" si="6"/>
        <v/>
      </c>
      <c r="I76" s="224" t="str">
        <f t="shared" si="7"/>
        <v/>
      </c>
      <c r="J76" s="224" t="str">
        <f t="shared" si="8"/>
        <v/>
      </c>
      <c r="K76" s="224" t="str">
        <f t="shared" si="9"/>
        <v/>
      </c>
      <c r="L76" s="870" t="str">
        <f t="shared" si="10"/>
        <v/>
      </c>
      <c r="M76" s="314"/>
      <c r="Q76" s="843"/>
      <c r="S76" s="844"/>
      <c r="U76" s="25"/>
      <c r="V76" s="25"/>
      <c r="W76" s="25"/>
    </row>
    <row r="77" spans="1:23" ht="12.75" customHeight="1">
      <c r="A77" s="239"/>
      <c r="B77" s="419">
        <v>56</v>
      </c>
      <c r="C77" s="905" t="str">
        <f t="shared" si="11"/>
        <v/>
      </c>
      <c r="D77" s="901" t="str">
        <f t="shared" si="12"/>
        <v/>
      </c>
      <c r="E77" s="901" t="str">
        <f t="shared" si="13"/>
        <v/>
      </c>
      <c r="F77" s="901" t="str">
        <f t="shared" si="14"/>
        <v/>
      </c>
      <c r="G77" s="901" t="str">
        <f t="shared" si="15"/>
        <v/>
      </c>
      <c r="H77" s="510" t="str">
        <f t="shared" si="6"/>
        <v/>
      </c>
      <c r="I77" s="224" t="str">
        <f t="shared" si="7"/>
        <v/>
      </c>
      <c r="J77" s="224" t="str">
        <f t="shared" si="8"/>
        <v/>
      </c>
      <c r="K77" s="224" t="str">
        <f t="shared" si="9"/>
        <v/>
      </c>
      <c r="L77" s="870" t="str">
        <f t="shared" si="10"/>
        <v/>
      </c>
      <c r="M77" s="314"/>
      <c r="Q77" s="843"/>
      <c r="S77" s="844"/>
      <c r="U77" s="25"/>
      <c r="V77" s="25"/>
      <c r="W77" s="25"/>
    </row>
    <row r="78" spans="1:23" ht="12.75" customHeight="1">
      <c r="A78" s="239"/>
      <c r="B78" s="419">
        <v>57</v>
      </c>
      <c r="C78" s="905" t="str">
        <f t="shared" si="11"/>
        <v/>
      </c>
      <c r="D78" s="901" t="str">
        <f t="shared" si="12"/>
        <v/>
      </c>
      <c r="E78" s="901" t="str">
        <f t="shared" si="13"/>
        <v/>
      </c>
      <c r="F78" s="901" t="str">
        <f t="shared" si="14"/>
        <v/>
      </c>
      <c r="G78" s="901" t="str">
        <f t="shared" si="15"/>
        <v/>
      </c>
      <c r="H78" s="510" t="str">
        <f t="shared" si="6"/>
        <v/>
      </c>
      <c r="I78" s="224" t="str">
        <f t="shared" si="7"/>
        <v/>
      </c>
      <c r="J78" s="224" t="str">
        <f t="shared" si="8"/>
        <v/>
      </c>
      <c r="K78" s="224" t="str">
        <f t="shared" si="9"/>
        <v/>
      </c>
      <c r="L78" s="870" t="str">
        <f t="shared" si="10"/>
        <v/>
      </c>
      <c r="M78" s="314"/>
      <c r="Q78" s="843"/>
      <c r="S78" s="844"/>
      <c r="U78" s="25"/>
      <c r="V78" s="25"/>
      <c r="W78" s="25"/>
    </row>
    <row r="79" spans="1:23" ht="12.75" customHeight="1">
      <c r="A79" s="239"/>
      <c r="B79" s="419">
        <v>58</v>
      </c>
      <c r="C79" s="905" t="str">
        <f t="shared" si="11"/>
        <v/>
      </c>
      <c r="D79" s="901" t="str">
        <f t="shared" si="12"/>
        <v/>
      </c>
      <c r="E79" s="901" t="str">
        <f t="shared" si="13"/>
        <v/>
      </c>
      <c r="F79" s="901" t="str">
        <f t="shared" si="14"/>
        <v/>
      </c>
      <c r="G79" s="901" t="str">
        <f t="shared" si="15"/>
        <v/>
      </c>
      <c r="H79" s="510" t="str">
        <f t="shared" si="6"/>
        <v/>
      </c>
      <c r="I79" s="224" t="str">
        <f t="shared" si="7"/>
        <v/>
      </c>
      <c r="J79" s="224" t="str">
        <f t="shared" si="8"/>
        <v/>
      </c>
      <c r="K79" s="224" t="str">
        <f t="shared" si="9"/>
        <v/>
      </c>
      <c r="L79" s="870" t="str">
        <f t="shared" si="10"/>
        <v/>
      </c>
      <c r="M79" s="314"/>
      <c r="Q79" s="843"/>
      <c r="S79" s="844"/>
      <c r="U79" s="25"/>
      <c r="V79" s="25"/>
      <c r="W79" s="25"/>
    </row>
    <row r="80" spans="1:23" ht="12.75" customHeight="1">
      <c r="A80" s="239"/>
      <c r="B80" s="419">
        <v>59</v>
      </c>
      <c r="C80" s="905" t="str">
        <f t="shared" si="11"/>
        <v/>
      </c>
      <c r="D80" s="901" t="str">
        <f t="shared" si="12"/>
        <v/>
      </c>
      <c r="E80" s="901" t="str">
        <f t="shared" si="13"/>
        <v/>
      </c>
      <c r="F80" s="901" t="str">
        <f t="shared" si="14"/>
        <v/>
      </c>
      <c r="G80" s="901" t="str">
        <f t="shared" si="15"/>
        <v/>
      </c>
      <c r="H80" s="510" t="str">
        <f t="shared" si="6"/>
        <v/>
      </c>
      <c r="I80" s="224" t="str">
        <f t="shared" si="7"/>
        <v/>
      </c>
      <c r="J80" s="224" t="str">
        <f t="shared" si="8"/>
        <v/>
      </c>
      <c r="K80" s="224" t="str">
        <f t="shared" si="9"/>
        <v/>
      </c>
      <c r="L80" s="870" t="str">
        <f t="shared" si="10"/>
        <v/>
      </c>
      <c r="M80" s="314"/>
      <c r="Q80" s="843"/>
      <c r="S80" s="844"/>
      <c r="U80" s="25"/>
      <c r="V80" s="25"/>
      <c r="W80" s="25"/>
    </row>
    <row r="81" spans="1:23" ht="12.75" customHeight="1">
      <c r="A81" s="239"/>
      <c r="B81" s="419">
        <v>60</v>
      </c>
      <c r="C81" s="905" t="str">
        <f t="shared" si="11"/>
        <v/>
      </c>
      <c r="D81" s="901" t="str">
        <f t="shared" si="12"/>
        <v/>
      </c>
      <c r="E81" s="901" t="str">
        <f t="shared" si="13"/>
        <v/>
      </c>
      <c r="F81" s="901" t="str">
        <f t="shared" si="14"/>
        <v/>
      </c>
      <c r="G81" s="901" t="str">
        <f t="shared" si="15"/>
        <v/>
      </c>
      <c r="H81" s="510" t="str">
        <f t="shared" si="6"/>
        <v/>
      </c>
      <c r="I81" s="224" t="str">
        <f t="shared" si="7"/>
        <v/>
      </c>
      <c r="J81" s="224" t="str">
        <f t="shared" si="8"/>
        <v/>
      </c>
      <c r="K81" s="224" t="str">
        <f t="shared" si="9"/>
        <v/>
      </c>
      <c r="L81" s="870" t="str">
        <f t="shared" si="10"/>
        <v/>
      </c>
      <c r="M81" s="314"/>
      <c r="Q81" s="843"/>
      <c r="S81" s="844"/>
      <c r="U81" s="25"/>
      <c r="V81" s="25"/>
      <c r="W81" s="25"/>
    </row>
    <row r="82" spans="1:23" ht="12.75" customHeight="1">
      <c r="A82" s="239"/>
      <c r="B82" s="419">
        <v>61</v>
      </c>
      <c r="C82" s="905" t="str">
        <f t="shared" si="11"/>
        <v/>
      </c>
      <c r="D82" s="901" t="str">
        <f t="shared" si="12"/>
        <v/>
      </c>
      <c r="E82" s="901" t="str">
        <f t="shared" si="13"/>
        <v/>
      </c>
      <c r="F82" s="901" t="str">
        <f t="shared" si="14"/>
        <v/>
      </c>
      <c r="G82" s="901" t="str">
        <f t="shared" si="15"/>
        <v/>
      </c>
      <c r="H82" s="510" t="str">
        <f t="shared" si="6"/>
        <v/>
      </c>
      <c r="I82" s="224" t="str">
        <f t="shared" si="7"/>
        <v/>
      </c>
      <c r="J82" s="224" t="str">
        <f t="shared" si="8"/>
        <v/>
      </c>
      <c r="K82" s="224" t="str">
        <f t="shared" si="9"/>
        <v/>
      </c>
      <c r="L82" s="870" t="str">
        <f t="shared" si="10"/>
        <v/>
      </c>
      <c r="M82" s="314"/>
      <c r="Q82" s="843"/>
      <c r="S82" s="844"/>
      <c r="U82" s="25"/>
      <c r="V82" s="25"/>
      <c r="W82" s="25"/>
    </row>
    <row r="83" spans="1:23" ht="12.75" customHeight="1">
      <c r="A83" s="239"/>
      <c r="B83" s="419">
        <v>62</v>
      </c>
      <c r="C83" s="905" t="str">
        <f t="shared" si="11"/>
        <v/>
      </c>
      <c r="D83" s="901" t="str">
        <f t="shared" si="12"/>
        <v/>
      </c>
      <c r="E83" s="901" t="str">
        <f t="shared" si="13"/>
        <v/>
      </c>
      <c r="F83" s="901" t="str">
        <f t="shared" si="14"/>
        <v/>
      </c>
      <c r="G83" s="901" t="str">
        <f t="shared" si="15"/>
        <v/>
      </c>
      <c r="H83" s="510" t="str">
        <f t="shared" si="6"/>
        <v/>
      </c>
      <c r="I83" s="224" t="str">
        <f t="shared" si="7"/>
        <v/>
      </c>
      <c r="J83" s="224" t="str">
        <f t="shared" si="8"/>
        <v/>
      </c>
      <c r="K83" s="224" t="str">
        <f t="shared" si="9"/>
        <v/>
      </c>
      <c r="L83" s="870" t="str">
        <f t="shared" si="10"/>
        <v/>
      </c>
      <c r="M83" s="314"/>
      <c r="Q83" s="843"/>
      <c r="S83" s="844"/>
      <c r="U83" s="25"/>
      <c r="V83" s="25"/>
      <c r="W83" s="25"/>
    </row>
    <row r="84" spans="1:23" ht="12.75" customHeight="1">
      <c r="A84" s="239"/>
      <c r="B84" s="419">
        <v>63</v>
      </c>
      <c r="C84" s="905" t="str">
        <f t="shared" si="11"/>
        <v/>
      </c>
      <c r="D84" s="901" t="str">
        <f t="shared" si="12"/>
        <v/>
      </c>
      <c r="E84" s="901" t="str">
        <f t="shared" si="13"/>
        <v/>
      </c>
      <c r="F84" s="901" t="str">
        <f t="shared" si="14"/>
        <v/>
      </c>
      <c r="G84" s="901" t="str">
        <f t="shared" si="15"/>
        <v/>
      </c>
      <c r="H84" s="510" t="str">
        <f t="shared" si="6"/>
        <v/>
      </c>
      <c r="I84" s="224" t="str">
        <f t="shared" si="7"/>
        <v/>
      </c>
      <c r="J84" s="224" t="str">
        <f t="shared" si="8"/>
        <v/>
      </c>
      <c r="K84" s="224" t="str">
        <f t="shared" si="9"/>
        <v/>
      </c>
      <c r="L84" s="870" t="str">
        <f t="shared" si="10"/>
        <v/>
      </c>
      <c r="M84" s="314"/>
      <c r="Q84" s="843"/>
      <c r="S84" s="844"/>
      <c r="U84" s="25"/>
      <c r="V84" s="25"/>
      <c r="W84" s="25"/>
    </row>
    <row r="85" spans="1:23" ht="12.75" customHeight="1">
      <c r="A85" s="239"/>
      <c r="B85" s="419">
        <v>64</v>
      </c>
      <c r="C85" s="905" t="str">
        <f t="shared" si="11"/>
        <v/>
      </c>
      <c r="D85" s="901" t="str">
        <f t="shared" si="12"/>
        <v/>
      </c>
      <c r="E85" s="901" t="str">
        <f t="shared" si="13"/>
        <v/>
      </c>
      <c r="F85" s="901" t="str">
        <f t="shared" si="14"/>
        <v/>
      </c>
      <c r="G85" s="901" t="str">
        <f t="shared" si="15"/>
        <v/>
      </c>
      <c r="H85" s="510" t="str">
        <f t="shared" si="6"/>
        <v/>
      </c>
      <c r="I85" s="224" t="str">
        <f t="shared" si="7"/>
        <v/>
      </c>
      <c r="J85" s="224" t="str">
        <f t="shared" si="8"/>
        <v/>
      </c>
      <c r="K85" s="224" t="str">
        <f t="shared" si="9"/>
        <v/>
      </c>
      <c r="L85" s="870" t="str">
        <f t="shared" si="10"/>
        <v/>
      </c>
      <c r="M85" s="314"/>
      <c r="Q85" s="843"/>
      <c r="S85" s="844"/>
      <c r="U85" s="25"/>
      <c r="V85" s="25"/>
      <c r="W85" s="25"/>
    </row>
    <row r="86" spans="1:23" ht="12.75" customHeight="1">
      <c r="A86" s="239"/>
      <c r="B86" s="419">
        <v>65</v>
      </c>
      <c r="C86" s="905" t="str">
        <f t="shared" ref="C86:C101" si="16">IF(B86&lt;=$F$4,VLOOKUP(CONCATENATE("delinquency_",$B86),delinquencies,2,FALSE),"")</f>
        <v/>
      </c>
      <c r="D86" s="901" t="str">
        <f t="shared" ref="D86:D101" si="17">IF(B86&lt;=$F$4,VLOOKUP(CONCATENATE("delinquency_",$B86),delinquencies,3,FALSE),"")</f>
        <v/>
      </c>
      <c r="E86" s="901" t="str">
        <f t="shared" ref="E86:E101" si="18">IF(B86&lt;=$F$4,VLOOKUP(CONCATENATE("delinquency_",$B86),delinquencies,4,FALSE),"")</f>
        <v/>
      </c>
      <c r="F86" s="901" t="str">
        <f t="shared" ref="F86:F101" si="19">IF(B86&lt;=$F$4,VLOOKUP(CONCATENATE("delinquency_",$B86),delinquencies,5,FALSE),"")</f>
        <v/>
      </c>
      <c r="G86" s="901" t="str">
        <f t="shared" ref="G86:G101" si="20">IF(B86&lt;=$F$4,VLOOKUP(CONCATENATE("delinquency_",$B86),delinquencies,6,FALSE),"")</f>
        <v/>
      </c>
      <c r="H86" s="510" t="str">
        <f t="shared" si="6"/>
        <v/>
      </c>
      <c r="I86" s="224" t="str">
        <f t="shared" si="7"/>
        <v/>
      </c>
      <c r="J86" s="224" t="str">
        <f t="shared" si="8"/>
        <v/>
      </c>
      <c r="K86" s="224" t="str">
        <f t="shared" si="9"/>
        <v/>
      </c>
      <c r="L86" s="870" t="str">
        <f t="shared" si="10"/>
        <v/>
      </c>
      <c r="M86" s="314"/>
      <c r="Q86" s="843"/>
      <c r="S86" s="844"/>
      <c r="U86" s="25"/>
      <c r="V86" s="25"/>
      <c r="W86" s="25"/>
    </row>
    <row r="87" spans="1:23" ht="12.75" customHeight="1">
      <c r="A87" s="239"/>
      <c r="B87" s="419">
        <v>66</v>
      </c>
      <c r="C87" s="905" t="str">
        <f t="shared" si="16"/>
        <v/>
      </c>
      <c r="D87" s="901" t="str">
        <f t="shared" si="17"/>
        <v/>
      </c>
      <c r="E87" s="901" t="str">
        <f t="shared" si="18"/>
        <v/>
      </c>
      <c r="F87" s="901" t="str">
        <f t="shared" si="19"/>
        <v/>
      </c>
      <c r="G87" s="901" t="str">
        <f t="shared" si="20"/>
        <v/>
      </c>
      <c r="H87" s="510" t="str">
        <f t="shared" ref="H87:H101" si="21">IF(B87&lt;=$F$4,(C87-D87-E87-F87-G87)/C87,"")</f>
        <v/>
      </c>
      <c r="I87" s="224" t="str">
        <f t="shared" ref="I87:I101" si="22">IF($B87&lt;=$F$4,D87/$C87,"")</f>
        <v/>
      </c>
      <c r="J87" s="224" t="str">
        <f t="shared" ref="J87:J101" si="23">IF($B87&lt;=$F$4,E87/$C87,"")</f>
        <v/>
      </c>
      <c r="K87" s="224" t="str">
        <f t="shared" ref="K87:K101" si="24">IF($B87&lt;=$F$4,F87/$C87,"")</f>
        <v/>
      </c>
      <c r="L87" s="870" t="str">
        <f t="shared" ref="L87:L101" si="25">IF($B87&lt;=$F$4,G87/$C87,"")</f>
        <v/>
      </c>
      <c r="M87" s="314"/>
      <c r="Q87" s="843"/>
      <c r="S87" s="844"/>
      <c r="U87" s="25"/>
      <c r="V87" s="25"/>
      <c r="W87" s="25"/>
    </row>
    <row r="88" spans="1:23" ht="12.75" customHeight="1">
      <c r="A88" s="239"/>
      <c r="B88" s="419">
        <v>67</v>
      </c>
      <c r="C88" s="905" t="str">
        <f t="shared" si="16"/>
        <v/>
      </c>
      <c r="D88" s="901" t="str">
        <f t="shared" si="17"/>
        <v/>
      </c>
      <c r="E88" s="901" t="str">
        <f t="shared" si="18"/>
        <v/>
      </c>
      <c r="F88" s="901" t="str">
        <f t="shared" si="19"/>
        <v/>
      </c>
      <c r="G88" s="901" t="str">
        <f t="shared" si="20"/>
        <v/>
      </c>
      <c r="H88" s="510" t="str">
        <f t="shared" si="21"/>
        <v/>
      </c>
      <c r="I88" s="224" t="str">
        <f t="shared" si="22"/>
        <v/>
      </c>
      <c r="J88" s="224" t="str">
        <f t="shared" si="23"/>
        <v/>
      </c>
      <c r="K88" s="224" t="str">
        <f t="shared" si="24"/>
        <v/>
      </c>
      <c r="L88" s="870" t="str">
        <f t="shared" si="25"/>
        <v/>
      </c>
      <c r="M88" s="314"/>
      <c r="Q88" s="843"/>
      <c r="S88" s="844"/>
      <c r="U88" s="25"/>
      <c r="V88" s="25"/>
      <c r="W88" s="25"/>
    </row>
    <row r="89" spans="1:23" ht="12.75" customHeight="1">
      <c r="A89" s="239"/>
      <c r="B89" s="419">
        <v>68</v>
      </c>
      <c r="C89" s="905" t="str">
        <f t="shared" si="16"/>
        <v/>
      </c>
      <c r="D89" s="901" t="str">
        <f t="shared" si="17"/>
        <v/>
      </c>
      <c r="E89" s="901" t="str">
        <f t="shared" si="18"/>
        <v/>
      </c>
      <c r="F89" s="901" t="str">
        <f t="shared" si="19"/>
        <v/>
      </c>
      <c r="G89" s="901" t="str">
        <f t="shared" si="20"/>
        <v/>
      </c>
      <c r="H89" s="510" t="str">
        <f t="shared" si="21"/>
        <v/>
      </c>
      <c r="I89" s="224" t="str">
        <f t="shared" si="22"/>
        <v/>
      </c>
      <c r="J89" s="224" t="str">
        <f t="shared" si="23"/>
        <v/>
      </c>
      <c r="K89" s="224" t="str">
        <f t="shared" si="24"/>
        <v/>
      </c>
      <c r="L89" s="870" t="str">
        <f t="shared" si="25"/>
        <v/>
      </c>
      <c r="M89" s="314"/>
      <c r="Q89" s="843"/>
      <c r="S89" s="844"/>
      <c r="U89" s="25"/>
      <c r="V89" s="25"/>
      <c r="W89" s="25"/>
    </row>
    <row r="90" spans="1:23" ht="12.75" customHeight="1">
      <c r="A90" s="239"/>
      <c r="B90" s="419">
        <v>69</v>
      </c>
      <c r="C90" s="905" t="str">
        <f t="shared" si="16"/>
        <v/>
      </c>
      <c r="D90" s="901" t="str">
        <f t="shared" si="17"/>
        <v/>
      </c>
      <c r="E90" s="901" t="str">
        <f t="shared" si="18"/>
        <v/>
      </c>
      <c r="F90" s="901" t="str">
        <f t="shared" si="19"/>
        <v/>
      </c>
      <c r="G90" s="901" t="str">
        <f t="shared" si="20"/>
        <v/>
      </c>
      <c r="H90" s="510" t="str">
        <f t="shared" si="21"/>
        <v/>
      </c>
      <c r="I90" s="224" t="str">
        <f t="shared" si="22"/>
        <v/>
      </c>
      <c r="J90" s="224" t="str">
        <f t="shared" si="23"/>
        <v/>
      </c>
      <c r="K90" s="224" t="str">
        <f t="shared" si="24"/>
        <v/>
      </c>
      <c r="L90" s="870" t="str">
        <f t="shared" si="25"/>
        <v/>
      </c>
      <c r="M90" s="314"/>
      <c r="Q90" s="843"/>
      <c r="S90" s="844"/>
      <c r="U90" s="25"/>
      <c r="V90" s="25"/>
      <c r="W90" s="25"/>
    </row>
    <row r="91" spans="1:23" ht="12.75" customHeight="1">
      <c r="A91" s="239"/>
      <c r="B91" s="419">
        <v>70</v>
      </c>
      <c r="C91" s="905" t="str">
        <f t="shared" si="16"/>
        <v/>
      </c>
      <c r="D91" s="901" t="str">
        <f t="shared" si="17"/>
        <v/>
      </c>
      <c r="E91" s="901" t="str">
        <f t="shared" si="18"/>
        <v/>
      </c>
      <c r="F91" s="901" t="str">
        <f t="shared" si="19"/>
        <v/>
      </c>
      <c r="G91" s="901" t="str">
        <f t="shared" si="20"/>
        <v/>
      </c>
      <c r="H91" s="510" t="str">
        <f t="shared" si="21"/>
        <v/>
      </c>
      <c r="I91" s="224" t="str">
        <f t="shared" si="22"/>
        <v/>
      </c>
      <c r="J91" s="224" t="str">
        <f t="shared" si="23"/>
        <v/>
      </c>
      <c r="K91" s="224" t="str">
        <f t="shared" si="24"/>
        <v/>
      </c>
      <c r="L91" s="870" t="str">
        <f t="shared" si="25"/>
        <v/>
      </c>
      <c r="M91" s="314"/>
      <c r="Q91" s="843"/>
      <c r="S91" s="844"/>
      <c r="U91" s="25"/>
      <c r="V91" s="25"/>
      <c r="W91" s="25"/>
    </row>
    <row r="92" spans="1:23" ht="12.75" customHeight="1">
      <c r="A92" s="239"/>
      <c r="B92" s="419">
        <v>71</v>
      </c>
      <c r="C92" s="905" t="str">
        <f t="shared" si="16"/>
        <v/>
      </c>
      <c r="D92" s="901" t="str">
        <f t="shared" si="17"/>
        <v/>
      </c>
      <c r="E92" s="901" t="str">
        <f t="shared" si="18"/>
        <v/>
      </c>
      <c r="F92" s="901" t="str">
        <f t="shared" si="19"/>
        <v/>
      </c>
      <c r="G92" s="901" t="str">
        <f t="shared" si="20"/>
        <v/>
      </c>
      <c r="H92" s="510" t="str">
        <f t="shared" si="21"/>
        <v/>
      </c>
      <c r="I92" s="224" t="str">
        <f t="shared" si="22"/>
        <v/>
      </c>
      <c r="J92" s="224" t="str">
        <f t="shared" si="23"/>
        <v/>
      </c>
      <c r="K92" s="224" t="str">
        <f t="shared" si="24"/>
        <v/>
      </c>
      <c r="L92" s="870" t="str">
        <f t="shared" si="25"/>
        <v/>
      </c>
      <c r="M92" s="314"/>
      <c r="Q92" s="843"/>
      <c r="S92" s="844"/>
      <c r="U92" s="25"/>
      <c r="V92" s="25"/>
      <c r="W92" s="25"/>
    </row>
    <row r="93" spans="1:23" ht="12.75" customHeight="1">
      <c r="A93" s="239"/>
      <c r="B93" s="419">
        <v>72</v>
      </c>
      <c r="C93" s="905" t="str">
        <f t="shared" si="16"/>
        <v/>
      </c>
      <c r="D93" s="901" t="str">
        <f t="shared" si="17"/>
        <v/>
      </c>
      <c r="E93" s="901" t="str">
        <f t="shared" si="18"/>
        <v/>
      </c>
      <c r="F93" s="901" t="str">
        <f t="shared" si="19"/>
        <v/>
      </c>
      <c r="G93" s="901" t="str">
        <f t="shared" si="20"/>
        <v/>
      </c>
      <c r="H93" s="510" t="str">
        <f t="shared" si="21"/>
        <v/>
      </c>
      <c r="I93" s="224" t="str">
        <f t="shared" si="22"/>
        <v/>
      </c>
      <c r="J93" s="224" t="str">
        <f t="shared" si="23"/>
        <v/>
      </c>
      <c r="K93" s="224" t="str">
        <f t="shared" si="24"/>
        <v/>
      </c>
      <c r="L93" s="870" t="str">
        <f t="shared" si="25"/>
        <v/>
      </c>
      <c r="M93" s="314"/>
      <c r="Q93" s="843"/>
      <c r="S93" s="844"/>
      <c r="U93" s="25"/>
      <c r="V93" s="25"/>
      <c r="W93" s="25"/>
    </row>
    <row r="94" spans="1:23" ht="12.75" customHeight="1">
      <c r="A94" s="239"/>
      <c r="B94" s="419">
        <v>73</v>
      </c>
      <c r="C94" s="905" t="str">
        <f t="shared" si="16"/>
        <v/>
      </c>
      <c r="D94" s="901" t="str">
        <f t="shared" si="17"/>
        <v/>
      </c>
      <c r="E94" s="901" t="str">
        <f t="shared" si="18"/>
        <v/>
      </c>
      <c r="F94" s="901" t="str">
        <f t="shared" si="19"/>
        <v/>
      </c>
      <c r="G94" s="901" t="str">
        <f t="shared" si="20"/>
        <v/>
      </c>
      <c r="H94" s="510" t="str">
        <f t="shared" si="21"/>
        <v/>
      </c>
      <c r="I94" s="224" t="str">
        <f t="shared" si="22"/>
        <v/>
      </c>
      <c r="J94" s="224" t="str">
        <f t="shared" si="23"/>
        <v/>
      </c>
      <c r="K94" s="224" t="str">
        <f t="shared" si="24"/>
        <v/>
      </c>
      <c r="L94" s="870" t="str">
        <f t="shared" si="25"/>
        <v/>
      </c>
      <c r="M94" s="314"/>
      <c r="Q94" s="843"/>
      <c r="S94" s="844"/>
      <c r="U94" s="25"/>
      <c r="V94" s="25"/>
      <c r="W94" s="25"/>
    </row>
    <row r="95" spans="1:23" ht="12.75" customHeight="1">
      <c r="A95" s="239"/>
      <c r="B95" s="419">
        <v>74</v>
      </c>
      <c r="C95" s="905" t="str">
        <f t="shared" si="16"/>
        <v/>
      </c>
      <c r="D95" s="901" t="str">
        <f t="shared" si="17"/>
        <v/>
      </c>
      <c r="E95" s="901" t="str">
        <f t="shared" si="18"/>
        <v/>
      </c>
      <c r="F95" s="901" t="str">
        <f t="shared" si="19"/>
        <v/>
      </c>
      <c r="G95" s="901" t="str">
        <f t="shared" si="20"/>
        <v/>
      </c>
      <c r="H95" s="510" t="str">
        <f t="shared" si="21"/>
        <v/>
      </c>
      <c r="I95" s="224" t="str">
        <f t="shared" si="22"/>
        <v/>
      </c>
      <c r="J95" s="224" t="str">
        <f t="shared" si="23"/>
        <v/>
      </c>
      <c r="K95" s="224" t="str">
        <f t="shared" si="24"/>
        <v/>
      </c>
      <c r="L95" s="870" t="str">
        <f t="shared" si="25"/>
        <v/>
      </c>
      <c r="M95" s="314"/>
      <c r="Q95" s="843"/>
      <c r="S95" s="844"/>
      <c r="U95" s="25"/>
      <c r="V95" s="25"/>
      <c r="W95" s="25"/>
    </row>
    <row r="96" spans="1:23" ht="12.75" customHeight="1">
      <c r="A96" s="239"/>
      <c r="B96" s="419">
        <v>75</v>
      </c>
      <c r="C96" s="905" t="str">
        <f t="shared" si="16"/>
        <v/>
      </c>
      <c r="D96" s="901" t="str">
        <f t="shared" si="17"/>
        <v/>
      </c>
      <c r="E96" s="901" t="str">
        <f t="shared" si="18"/>
        <v/>
      </c>
      <c r="F96" s="901" t="str">
        <f t="shared" si="19"/>
        <v/>
      </c>
      <c r="G96" s="901" t="str">
        <f t="shared" si="20"/>
        <v/>
      </c>
      <c r="H96" s="510" t="str">
        <f t="shared" si="21"/>
        <v/>
      </c>
      <c r="I96" s="224" t="str">
        <f t="shared" si="22"/>
        <v/>
      </c>
      <c r="J96" s="224" t="str">
        <f t="shared" si="23"/>
        <v/>
      </c>
      <c r="K96" s="224" t="str">
        <f t="shared" si="24"/>
        <v/>
      </c>
      <c r="L96" s="870" t="str">
        <f t="shared" si="25"/>
        <v/>
      </c>
      <c r="M96" s="314"/>
      <c r="Q96" s="843"/>
      <c r="S96" s="844"/>
      <c r="U96" s="25"/>
      <c r="V96" s="25"/>
      <c r="W96" s="25"/>
    </row>
    <row r="97" spans="1:23" ht="12.75" customHeight="1">
      <c r="A97" s="239"/>
      <c r="B97" s="419">
        <v>76</v>
      </c>
      <c r="C97" s="905" t="str">
        <f t="shared" si="16"/>
        <v/>
      </c>
      <c r="D97" s="901" t="str">
        <f t="shared" si="17"/>
        <v/>
      </c>
      <c r="E97" s="901" t="str">
        <f t="shared" si="18"/>
        <v/>
      </c>
      <c r="F97" s="901" t="str">
        <f t="shared" si="19"/>
        <v/>
      </c>
      <c r="G97" s="901" t="str">
        <f t="shared" si="20"/>
        <v/>
      </c>
      <c r="H97" s="510" t="str">
        <f t="shared" si="21"/>
        <v/>
      </c>
      <c r="I97" s="224" t="str">
        <f t="shared" si="22"/>
        <v/>
      </c>
      <c r="J97" s="224" t="str">
        <f t="shared" si="23"/>
        <v/>
      </c>
      <c r="K97" s="224" t="str">
        <f t="shared" si="24"/>
        <v/>
      </c>
      <c r="L97" s="870" t="str">
        <f t="shared" si="25"/>
        <v/>
      </c>
      <c r="M97" s="314"/>
      <c r="Q97" s="843"/>
      <c r="S97" s="844"/>
      <c r="U97" s="25"/>
      <c r="V97" s="25"/>
      <c r="W97" s="25"/>
    </row>
    <row r="98" spans="1:23" ht="12.75" customHeight="1">
      <c r="A98" s="239"/>
      <c r="B98" s="419">
        <v>77</v>
      </c>
      <c r="C98" s="905" t="str">
        <f t="shared" si="16"/>
        <v/>
      </c>
      <c r="D98" s="901" t="str">
        <f t="shared" si="17"/>
        <v/>
      </c>
      <c r="E98" s="901" t="str">
        <f t="shared" si="18"/>
        <v/>
      </c>
      <c r="F98" s="901" t="str">
        <f t="shared" si="19"/>
        <v/>
      </c>
      <c r="G98" s="901" t="str">
        <f t="shared" si="20"/>
        <v/>
      </c>
      <c r="H98" s="510" t="str">
        <f t="shared" si="21"/>
        <v/>
      </c>
      <c r="I98" s="224" t="str">
        <f t="shared" si="22"/>
        <v/>
      </c>
      <c r="J98" s="224" t="str">
        <f t="shared" si="23"/>
        <v/>
      </c>
      <c r="K98" s="224" t="str">
        <f t="shared" si="24"/>
        <v/>
      </c>
      <c r="L98" s="870" t="str">
        <f t="shared" si="25"/>
        <v/>
      </c>
      <c r="M98" s="314"/>
      <c r="Q98" s="843"/>
      <c r="S98" s="844"/>
      <c r="U98" s="25"/>
      <c r="V98" s="25"/>
      <c r="W98" s="25"/>
    </row>
    <row r="99" spans="1:23" ht="12.75" customHeight="1">
      <c r="A99" s="239"/>
      <c r="B99" s="419">
        <v>78</v>
      </c>
      <c r="C99" s="905" t="str">
        <f t="shared" si="16"/>
        <v/>
      </c>
      <c r="D99" s="901" t="str">
        <f t="shared" si="17"/>
        <v/>
      </c>
      <c r="E99" s="901" t="str">
        <f t="shared" si="18"/>
        <v/>
      </c>
      <c r="F99" s="901" t="str">
        <f t="shared" si="19"/>
        <v/>
      </c>
      <c r="G99" s="901" t="str">
        <f t="shared" si="20"/>
        <v/>
      </c>
      <c r="H99" s="510" t="str">
        <f t="shared" si="21"/>
        <v/>
      </c>
      <c r="I99" s="224" t="str">
        <f t="shared" si="22"/>
        <v/>
      </c>
      <c r="J99" s="224" t="str">
        <f t="shared" si="23"/>
        <v/>
      </c>
      <c r="K99" s="224" t="str">
        <f t="shared" si="24"/>
        <v/>
      </c>
      <c r="L99" s="870" t="str">
        <f t="shared" si="25"/>
        <v/>
      </c>
      <c r="M99" s="314"/>
      <c r="Q99" s="843"/>
      <c r="S99" s="844"/>
      <c r="U99" s="25"/>
      <c r="V99" s="25"/>
      <c r="W99" s="25"/>
    </row>
    <row r="100" spans="1:23" ht="12.75" customHeight="1">
      <c r="A100" s="239"/>
      <c r="B100" s="419">
        <v>79</v>
      </c>
      <c r="C100" s="905" t="str">
        <f t="shared" si="16"/>
        <v/>
      </c>
      <c r="D100" s="901" t="str">
        <f t="shared" si="17"/>
        <v/>
      </c>
      <c r="E100" s="901" t="str">
        <f t="shared" si="18"/>
        <v/>
      </c>
      <c r="F100" s="901" t="str">
        <f t="shared" si="19"/>
        <v/>
      </c>
      <c r="G100" s="901" t="str">
        <f t="shared" si="20"/>
        <v/>
      </c>
      <c r="H100" s="510" t="str">
        <f t="shared" si="21"/>
        <v/>
      </c>
      <c r="I100" s="224" t="str">
        <f t="shared" si="22"/>
        <v/>
      </c>
      <c r="J100" s="224" t="str">
        <f t="shared" si="23"/>
        <v/>
      </c>
      <c r="K100" s="224" t="str">
        <f t="shared" si="24"/>
        <v/>
      </c>
      <c r="L100" s="870" t="str">
        <f t="shared" si="25"/>
        <v/>
      </c>
      <c r="M100" s="314"/>
      <c r="Q100" s="843"/>
      <c r="S100" s="844"/>
      <c r="U100" s="25"/>
      <c r="V100" s="25"/>
      <c r="W100" s="25"/>
    </row>
    <row r="101" spans="1:23">
      <c r="A101" s="239"/>
      <c r="B101" s="846">
        <v>80</v>
      </c>
      <c r="C101" s="906" t="str">
        <f t="shared" si="16"/>
        <v/>
      </c>
      <c r="D101" s="906" t="str">
        <f t="shared" si="17"/>
        <v/>
      </c>
      <c r="E101" s="906" t="str">
        <f t="shared" si="18"/>
        <v/>
      </c>
      <c r="F101" s="906" t="str">
        <f t="shared" si="19"/>
        <v/>
      </c>
      <c r="G101" s="906" t="str">
        <f t="shared" si="20"/>
        <v/>
      </c>
      <c r="H101" s="471" t="str">
        <f t="shared" si="21"/>
        <v/>
      </c>
      <c r="I101" s="471" t="str">
        <f t="shared" si="22"/>
        <v/>
      </c>
      <c r="J101" s="471" t="str">
        <f t="shared" si="23"/>
        <v/>
      </c>
      <c r="K101" s="471" t="str">
        <f t="shared" si="24"/>
        <v/>
      </c>
      <c r="L101" s="472" t="str">
        <f t="shared" si="25"/>
        <v/>
      </c>
      <c r="M101" s="314"/>
    </row>
    <row r="102" spans="1:23">
      <c r="A102" s="315"/>
      <c r="B102" s="318"/>
      <c r="C102" s="318"/>
      <c r="D102" s="318"/>
      <c r="E102" s="318"/>
      <c r="F102" s="318"/>
      <c r="G102" s="318"/>
      <c r="H102" s="318"/>
      <c r="I102" s="318"/>
      <c r="J102" s="318"/>
      <c r="K102" s="318"/>
      <c r="L102" s="318"/>
      <c r="M102" s="352"/>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53"/>
      <c r="B1" s="754"/>
      <c r="C1" s="754"/>
      <c r="D1" s="754"/>
      <c r="E1" s="754"/>
      <c r="F1" s="754"/>
      <c r="G1" s="754"/>
      <c r="H1" s="754"/>
      <c r="I1" s="754"/>
      <c r="J1" s="754"/>
      <c r="K1" s="754"/>
      <c r="L1" s="754"/>
      <c r="M1" s="755"/>
    </row>
    <row r="2" spans="1:13" ht="18">
      <c r="A2" s="239"/>
      <c r="B2" s="240" t="str">
        <f>'Cover Sheet'!B2</f>
        <v>SC Germany Consumer 2022-1</v>
      </c>
      <c r="C2" s="240"/>
      <c r="D2" s="241" t="str">
        <f>'Cover Sheet'!D2</f>
        <v>Calculation Date</v>
      </c>
      <c r="E2" s="242"/>
      <c r="F2" s="243">
        <f>'Cover Sheet'!F2</f>
        <v>45848</v>
      </c>
      <c r="G2" s="242"/>
      <c r="H2" s="242"/>
      <c r="I2" s="242"/>
      <c r="J2" s="242"/>
      <c r="K2" s="242"/>
      <c r="L2" s="244"/>
      <c r="M2" s="246"/>
    </row>
    <row r="3" spans="1:13" ht="18">
      <c r="A3" s="239"/>
      <c r="B3" s="240" t="str">
        <f>'Cover Sheet'!B3</f>
        <v>Monthly Investor Report</v>
      </c>
      <c r="C3" s="240"/>
      <c r="D3" s="248" t="str">
        <f>'Cover Sheet'!D3</f>
        <v>Payment Date</v>
      </c>
      <c r="E3" s="249"/>
      <c r="F3" s="250">
        <f>'Cover Sheet'!F3</f>
        <v>45852</v>
      </c>
      <c r="G3" s="249"/>
      <c r="H3" s="249"/>
      <c r="I3" s="249"/>
      <c r="J3" s="249"/>
      <c r="K3" s="249"/>
      <c r="L3" s="251"/>
      <c r="M3" s="246"/>
    </row>
    <row r="4" spans="1:13">
      <c r="A4" s="239"/>
      <c r="B4" s="850"/>
      <c r="C4" s="328"/>
      <c r="D4" s="248" t="str">
        <f>'Cover Sheet'!D4</f>
        <v>Period  No</v>
      </c>
      <c r="E4" s="249"/>
      <c r="F4" s="254">
        <f>'Cover Sheet'!F4</f>
        <v>33</v>
      </c>
      <c r="G4" s="249"/>
      <c r="H4" s="255"/>
      <c r="I4" s="249"/>
      <c r="J4" s="260"/>
      <c r="K4" s="249"/>
      <c r="L4" s="256"/>
      <c r="M4" s="246"/>
    </row>
    <row r="5" spans="1:13" ht="18">
      <c r="A5" s="239"/>
      <c r="B5" s="329" t="s">
        <v>233</v>
      </c>
      <c r="C5" s="329"/>
      <c r="D5" s="248" t="str">
        <f>'Cover Sheet'!D5</f>
        <v>Monthly Period</v>
      </c>
      <c r="E5" s="249"/>
      <c r="F5" s="121">
        <f>'Cover Sheet'!F5</f>
        <v>45852</v>
      </c>
      <c r="G5" s="249"/>
      <c r="H5" s="255"/>
      <c r="I5" s="249"/>
      <c r="J5" s="260"/>
      <c r="K5" s="249"/>
      <c r="L5" s="256"/>
      <c r="M5" s="246"/>
    </row>
    <row r="6" spans="1:13" s="247" customFormat="1" ht="15" customHeight="1">
      <c r="A6" s="239"/>
      <c r="B6" s="258"/>
      <c r="C6" s="330"/>
      <c r="D6" s="248" t="str">
        <f>'Cover Sheet'!D6</f>
        <v>Interest Period</v>
      </c>
      <c r="E6" s="260" t="s">
        <v>34</v>
      </c>
      <c r="F6" s="250">
        <f>'Cover Sheet'!F6</f>
        <v>45824</v>
      </c>
      <c r="G6" s="260" t="str">
        <f>'Cover Sheet'!G6</f>
        <v>to</v>
      </c>
      <c r="H6" s="250">
        <f>'Cover Sheet'!H6</f>
        <v>45852</v>
      </c>
      <c r="I6" s="260" t="str">
        <f>'Cover Sheet'!I6</f>
        <v>=</v>
      </c>
      <c r="J6" s="816" t="str">
        <f>'Cover Sheet'!J6</f>
        <v>28 days</v>
      </c>
      <c r="K6" s="260"/>
      <c r="L6" s="372"/>
      <c r="M6" s="327"/>
    </row>
    <row r="7" spans="1:13">
      <c r="A7" s="239"/>
      <c r="D7" s="689" t="str">
        <f>'Cover Sheet'!D7</f>
        <v>Collection Period</v>
      </c>
      <c r="E7" s="690" t="s">
        <v>34</v>
      </c>
      <c r="F7" s="264" t="str">
        <f>'Cover Sheet'!F7</f>
        <v>01.06.2025</v>
      </c>
      <c r="G7" s="690" t="str">
        <f>'Cover Sheet'!G7</f>
        <v>to</v>
      </c>
      <c r="H7" s="264">
        <f>'Cover Sheet'!H7</f>
        <v>45838</v>
      </c>
      <c r="I7" s="265"/>
      <c r="J7" s="265"/>
      <c r="K7" s="265"/>
      <c r="L7" s="266"/>
      <c r="M7" s="246"/>
    </row>
    <row r="8" spans="1:13" ht="13">
      <c r="A8" s="239"/>
      <c r="D8" s="818"/>
      <c r="E8" s="267"/>
      <c r="F8" s="245"/>
      <c r="H8" s="268"/>
      <c r="J8" s="268"/>
      <c r="L8" s="252"/>
      <c r="M8" s="246"/>
    </row>
    <row r="9" spans="1:13">
      <c r="A9" s="239"/>
      <c r="D9" s="328"/>
      <c r="M9" s="246"/>
    </row>
    <row r="10" spans="1:13">
      <c r="A10" s="239"/>
      <c r="D10" s="328"/>
      <c r="M10" s="246"/>
    </row>
    <row r="11" spans="1:13" ht="18" customHeight="1">
      <c r="A11" s="239"/>
      <c r="D11" s="328"/>
      <c r="M11" s="246"/>
    </row>
    <row r="12" spans="1:13">
      <c r="A12" s="239"/>
      <c r="D12" s="328"/>
      <c r="M12" s="246"/>
    </row>
    <row r="13" spans="1:13" ht="18">
      <c r="A13" s="239"/>
      <c r="B13" s="240"/>
      <c r="D13" s="819"/>
      <c r="F13" s="240"/>
      <c r="H13" s="25"/>
      <c r="I13" s="25"/>
      <c r="J13" s="275"/>
      <c r="K13" s="25"/>
      <c r="L13" s="25"/>
      <c r="M13" s="246"/>
    </row>
    <row r="14" spans="1:13">
      <c r="A14" s="239"/>
      <c r="D14" s="820"/>
      <c r="H14" s="25"/>
      <c r="I14" s="25"/>
      <c r="J14" s="25"/>
      <c r="K14" s="25"/>
      <c r="L14" s="25"/>
      <c r="M14" s="246"/>
    </row>
    <row r="15" spans="1:13">
      <c r="A15" s="239"/>
      <c r="D15" s="820"/>
      <c r="H15" s="25"/>
      <c r="I15" s="25"/>
      <c r="J15" s="25"/>
      <c r="K15" s="25"/>
      <c r="L15" s="25"/>
      <c r="M15" s="246"/>
    </row>
    <row r="16" spans="1:13">
      <c r="A16" s="239"/>
      <c r="D16" s="821"/>
      <c r="H16" s="25"/>
      <c r="I16" s="25"/>
      <c r="J16" s="25"/>
      <c r="K16" s="25"/>
      <c r="L16" s="25"/>
      <c r="M16" s="246"/>
    </row>
    <row r="17" spans="1:13" ht="31.5" customHeight="1">
      <c r="A17" s="239"/>
      <c r="B17" s="240" t="s">
        <v>171</v>
      </c>
      <c r="D17" s="328"/>
      <c r="F17" s="805" t="s">
        <v>169</v>
      </c>
      <c r="G17" s="819"/>
      <c r="H17" s="823" t="s">
        <v>61</v>
      </c>
      <c r="I17" s="25"/>
      <c r="J17" s="823"/>
      <c r="K17" s="25"/>
      <c r="L17" s="823"/>
      <c r="M17" s="246"/>
    </row>
    <row r="18" spans="1:13" ht="13">
      <c r="A18" s="239"/>
      <c r="B18" s="851"/>
      <c r="D18" s="852"/>
      <c r="F18" s="833"/>
      <c r="G18" s="838"/>
      <c r="H18" s="25"/>
      <c r="I18" s="25"/>
      <c r="J18" s="25"/>
      <c r="K18" s="25"/>
      <c r="L18" s="25"/>
      <c r="M18" s="246"/>
    </row>
    <row r="19" spans="1:13" ht="13">
      <c r="A19" s="239"/>
      <c r="B19" s="853" t="s">
        <v>172</v>
      </c>
      <c r="D19" s="852"/>
      <c r="F19" s="833"/>
      <c r="G19" s="838"/>
      <c r="H19" s="25"/>
      <c r="I19" s="739"/>
      <c r="J19" s="800"/>
      <c r="K19" s="739"/>
      <c r="L19" s="800"/>
      <c r="M19" s="246"/>
    </row>
    <row r="20" spans="1:13" ht="13">
      <c r="A20" s="239"/>
      <c r="B20" s="25" t="s">
        <v>173</v>
      </c>
      <c r="D20" s="852"/>
      <c r="F20" s="820">
        <f>VLOOKUP("GrossDefault_current",calcdata_22,2,FALSE)</f>
        <v>1573027.58</v>
      </c>
      <c r="G20" s="838"/>
      <c r="H20" s="25"/>
      <c r="I20" s="739"/>
      <c r="J20" s="25"/>
      <c r="K20" s="739"/>
      <c r="L20" s="831"/>
      <c r="M20" s="246"/>
    </row>
    <row r="21" spans="1:13">
      <c r="A21" s="239"/>
      <c r="B21" s="25" t="s">
        <v>81</v>
      </c>
      <c r="D21" s="328"/>
      <c r="F21" s="820">
        <f>VLOOKUP("Recoveries_current",calcdata_22,2,FALSE)</f>
        <v>154016.49</v>
      </c>
      <c r="H21" s="25"/>
      <c r="I21" s="25"/>
      <c r="J21" s="694"/>
      <c r="K21" s="25"/>
      <c r="L21" s="25"/>
      <c r="M21" s="246"/>
    </row>
    <row r="22" spans="1:13" ht="13">
      <c r="A22" s="239"/>
      <c r="B22" s="25" t="s">
        <v>174</v>
      </c>
      <c r="D22" s="854"/>
      <c r="E22" s="838"/>
      <c r="F22" s="820">
        <f>F20-F21</f>
        <v>1419011.09</v>
      </c>
      <c r="G22" s="838"/>
      <c r="H22" s="859"/>
      <c r="I22" s="25"/>
      <c r="J22" s="694"/>
      <c r="K22" s="25"/>
      <c r="L22" s="25"/>
      <c r="M22" s="246"/>
    </row>
    <row r="23" spans="1:13">
      <c r="A23" s="239"/>
      <c r="B23" s="25" t="s">
        <v>175</v>
      </c>
      <c r="D23" s="855"/>
      <c r="F23" s="856"/>
      <c r="H23" s="859">
        <f>VLOOKUP("default_new",Assets,3,0)</f>
        <v>113</v>
      </c>
      <c r="I23" s="25"/>
      <c r="J23" s="694"/>
      <c r="K23" s="25"/>
      <c r="L23" s="25"/>
      <c r="M23" s="246"/>
    </row>
    <row r="24" spans="1:13" ht="13">
      <c r="A24" s="239"/>
      <c r="B24" s="851"/>
      <c r="D24" s="855"/>
      <c r="F24" s="856"/>
      <c r="H24" s="857"/>
      <c r="I24" s="739"/>
      <c r="J24" s="800"/>
      <c r="K24" s="739"/>
      <c r="L24" s="800"/>
      <c r="M24" s="246"/>
    </row>
    <row r="25" spans="1:13" ht="13">
      <c r="A25" s="239"/>
      <c r="B25" s="853" t="s">
        <v>176</v>
      </c>
      <c r="D25" s="855"/>
      <c r="F25" s="856"/>
      <c r="H25" s="858"/>
      <c r="I25" s="739"/>
      <c r="J25" s="694"/>
      <c r="K25" s="739"/>
      <c r="L25" s="831"/>
      <c r="M25" s="246"/>
    </row>
    <row r="26" spans="1:13" ht="13">
      <c r="A26" s="239"/>
      <c r="B26" s="25" t="s">
        <v>177</v>
      </c>
      <c r="C26" s="838"/>
      <c r="D26" s="854"/>
      <c r="E26" s="838"/>
      <c r="F26" s="820">
        <f>VLOOKUP("Cum_GrossDefault",calcdata_22,2,FALSE)</f>
        <v>63845578.540000014</v>
      </c>
      <c r="G26" s="838"/>
      <c r="H26" s="800"/>
      <c r="I26" s="25"/>
      <c r="J26" s="694"/>
      <c r="K26" s="25"/>
      <c r="L26" s="25"/>
      <c r="M26" s="246"/>
    </row>
    <row r="27" spans="1:13" ht="13">
      <c r="A27" s="239"/>
      <c r="B27" s="25" t="s">
        <v>82</v>
      </c>
      <c r="D27" s="855"/>
      <c r="F27" s="820">
        <f>VLOOKUP("Cum_Recoveries",calcdata_22,2,FALSE)</f>
        <v>2901060.1900000004</v>
      </c>
      <c r="H27" s="805"/>
      <c r="I27" s="25"/>
      <c r="J27" s="694"/>
      <c r="K27" s="25"/>
      <c r="L27" s="25"/>
      <c r="M27" s="246"/>
    </row>
    <row r="28" spans="1:13">
      <c r="A28" s="239"/>
      <c r="B28" s="25" t="s">
        <v>462</v>
      </c>
      <c r="D28" s="855"/>
      <c r="F28" s="820">
        <f>F26-F27</f>
        <v>60944518.350000016</v>
      </c>
      <c r="H28" s="694"/>
      <c r="I28" s="25"/>
      <c r="J28" s="25"/>
      <c r="K28" s="25"/>
      <c r="L28" s="25"/>
      <c r="M28" s="246"/>
    </row>
    <row r="29" spans="1:13">
      <c r="A29" s="239"/>
      <c r="B29" s="25" t="s">
        <v>178</v>
      </c>
      <c r="D29" s="328"/>
      <c r="F29" s="328"/>
      <c r="H29" s="859">
        <f>VLOOKUP(F4-1,'3.3 Defaults &amp; Recoveries p.p.'!B:C,2,0)+H23</f>
        <v>3928</v>
      </c>
      <c r="I29" s="25"/>
      <c r="J29" s="25"/>
      <c r="K29" s="25"/>
      <c r="L29" s="25"/>
      <c r="M29" s="246"/>
    </row>
    <row r="30" spans="1:13">
      <c r="A30" s="239"/>
      <c r="D30" s="328"/>
      <c r="F30" s="328"/>
      <c r="H30" s="25"/>
      <c r="I30" s="25"/>
      <c r="J30" s="694"/>
      <c r="K30" s="25"/>
      <c r="L30" s="25"/>
      <c r="M30" s="246"/>
    </row>
    <row r="31" spans="1:13">
      <c r="A31" s="239"/>
      <c r="D31" s="855"/>
      <c r="F31" s="328"/>
      <c r="H31" s="25"/>
      <c r="I31" s="25"/>
      <c r="J31" s="25"/>
      <c r="K31" s="25"/>
      <c r="L31" s="25"/>
      <c r="M31" s="246"/>
    </row>
    <row r="32" spans="1:13" ht="18">
      <c r="A32" s="239"/>
      <c r="B32" s="240" t="s">
        <v>234</v>
      </c>
      <c r="D32" s="855"/>
      <c r="F32" s="328"/>
      <c r="H32" s="25"/>
      <c r="I32" s="25"/>
      <c r="J32" s="800"/>
      <c r="K32" s="25"/>
      <c r="L32" s="801"/>
      <c r="M32" s="246"/>
    </row>
    <row r="33" spans="1:13">
      <c r="A33" s="239"/>
      <c r="D33" s="855"/>
      <c r="F33" s="328"/>
      <c r="H33" s="25"/>
      <c r="I33" s="25"/>
      <c r="J33" s="25"/>
      <c r="K33" s="25"/>
      <c r="L33" s="25"/>
      <c r="M33" s="246"/>
    </row>
    <row r="34" spans="1:13" ht="13">
      <c r="A34" s="239"/>
      <c r="B34" s="853" t="s">
        <v>235</v>
      </c>
      <c r="D34" s="855"/>
      <c r="H34" s="25"/>
      <c r="I34" s="25"/>
      <c r="J34" s="25"/>
      <c r="K34" s="25"/>
      <c r="L34" s="25"/>
      <c r="M34" s="246"/>
    </row>
    <row r="35" spans="1:13">
      <c r="A35" s="239"/>
      <c r="B35" s="33" t="s">
        <v>331</v>
      </c>
      <c r="D35" s="855"/>
      <c r="F35" s="856">
        <f>VLOOKUP("A_PDL_bop",calcdata_22,2,FALSE)</f>
        <v>0</v>
      </c>
      <c r="H35" s="25"/>
      <c r="I35" s="25"/>
      <c r="J35" s="25"/>
      <c r="K35" s="25"/>
      <c r="L35" s="25"/>
      <c r="M35" s="246"/>
    </row>
    <row r="36" spans="1:13" ht="13">
      <c r="A36" s="239"/>
      <c r="B36" s="33" t="s">
        <v>332</v>
      </c>
      <c r="D36" s="855"/>
      <c r="F36" s="856">
        <f>VLOOKUP("A_debited_PDL",calcdata_22,2,FALSE)</f>
        <v>0</v>
      </c>
      <c r="H36" s="25"/>
      <c r="I36" s="25"/>
      <c r="J36" s="800"/>
      <c r="K36" s="25"/>
      <c r="L36" s="800"/>
      <c r="M36" s="246"/>
    </row>
    <row r="37" spans="1:13" ht="13">
      <c r="A37" s="239"/>
      <c r="B37" s="33" t="s">
        <v>333</v>
      </c>
      <c r="D37" s="855"/>
      <c r="F37" s="856">
        <f>VLOOKUP("A_credited_PDL",calcdata_22,2,FALSE)</f>
        <v>0</v>
      </c>
      <c r="H37" s="25"/>
      <c r="I37" s="25"/>
      <c r="J37" s="800"/>
      <c r="K37" s="25"/>
      <c r="L37" s="800"/>
      <c r="M37" s="246"/>
    </row>
    <row r="38" spans="1:13" ht="13">
      <c r="A38" s="239"/>
      <c r="B38" s="33" t="s">
        <v>334</v>
      </c>
      <c r="D38" s="855"/>
      <c r="F38" s="856">
        <f>VLOOKUP("A_PDL_eop",calcdata_22,2,FALSE)</f>
        <v>0</v>
      </c>
      <c r="H38" s="25"/>
      <c r="I38" s="25"/>
      <c r="J38" s="805"/>
      <c r="K38" s="25"/>
      <c r="L38" s="805"/>
      <c r="M38" s="246"/>
    </row>
    <row r="39" spans="1:13" ht="13">
      <c r="A39" s="239"/>
      <c r="D39" s="855"/>
      <c r="F39" s="856"/>
      <c r="H39" s="25"/>
      <c r="I39" s="25"/>
      <c r="J39" s="806"/>
      <c r="K39" s="25"/>
      <c r="L39" s="694"/>
      <c r="M39" s="246"/>
    </row>
    <row r="40" spans="1:13" ht="13">
      <c r="A40" s="239"/>
      <c r="B40" s="853" t="s">
        <v>290</v>
      </c>
      <c r="D40" s="855"/>
      <c r="H40" s="25"/>
      <c r="I40" s="25"/>
      <c r="J40" s="25"/>
      <c r="K40" s="25"/>
      <c r="L40" s="25"/>
      <c r="M40" s="246"/>
    </row>
    <row r="41" spans="1:13">
      <c r="A41" s="239"/>
      <c r="B41" s="33" t="s">
        <v>335</v>
      </c>
      <c r="D41" s="855"/>
      <c r="F41" s="856">
        <f>VLOOKUP("B_PDL_bop",calcdata_22,2,FALSE)</f>
        <v>0</v>
      </c>
      <c r="H41" s="25"/>
      <c r="I41" s="25"/>
      <c r="J41" s="25"/>
      <c r="K41" s="25"/>
      <c r="L41" s="25"/>
      <c r="M41" s="246"/>
    </row>
    <row r="42" spans="1:13" ht="13">
      <c r="A42" s="239"/>
      <c r="B42" s="33" t="s">
        <v>336</v>
      </c>
      <c r="D42" s="855"/>
      <c r="F42" s="856">
        <f>VLOOKUP("B_debited_PDL",calcdata_22,2,FALSE)</f>
        <v>0</v>
      </c>
      <c r="H42" s="25"/>
      <c r="I42" s="25"/>
      <c r="J42" s="800"/>
      <c r="K42" s="25"/>
      <c r="L42" s="800"/>
      <c r="M42" s="246"/>
    </row>
    <row r="43" spans="1:13" ht="13">
      <c r="A43" s="239"/>
      <c r="B43" s="33" t="s">
        <v>337</v>
      </c>
      <c r="D43" s="855"/>
      <c r="F43" s="856">
        <f>VLOOKUP("B_credited_PDL",calcdata_22,2,FALSE)</f>
        <v>0</v>
      </c>
      <c r="H43" s="25"/>
      <c r="I43" s="25"/>
      <c r="J43" s="805"/>
      <c r="K43" s="25"/>
      <c r="L43" s="805"/>
      <c r="M43" s="246"/>
    </row>
    <row r="44" spans="1:13" ht="13">
      <c r="A44" s="239"/>
      <c r="B44" s="33" t="s">
        <v>338</v>
      </c>
      <c r="D44" s="855"/>
      <c r="F44" s="856">
        <f>VLOOKUP("B_PDL_eop",calcdata_22,2,FALSE)</f>
        <v>0</v>
      </c>
      <c r="H44" s="25"/>
      <c r="I44" s="25"/>
      <c r="J44" s="805"/>
      <c r="K44" s="25"/>
      <c r="L44" s="805"/>
      <c r="M44" s="246"/>
    </row>
    <row r="45" spans="1:13" ht="13">
      <c r="A45" s="239"/>
      <c r="D45" s="855"/>
      <c r="F45" s="856"/>
      <c r="H45" s="25"/>
      <c r="I45" s="25"/>
      <c r="J45" s="806"/>
      <c r="K45" s="25"/>
      <c r="L45" s="694"/>
      <c r="M45" s="246"/>
    </row>
    <row r="46" spans="1:13" ht="13">
      <c r="A46" s="239"/>
      <c r="B46" s="853" t="s">
        <v>291</v>
      </c>
      <c r="D46" s="855"/>
      <c r="H46" s="25"/>
      <c r="I46" s="25"/>
      <c r="J46" s="25"/>
      <c r="K46" s="25"/>
      <c r="L46" s="25"/>
      <c r="M46" s="246"/>
    </row>
    <row r="47" spans="1:13">
      <c r="A47" s="239"/>
      <c r="B47" s="33" t="s">
        <v>339</v>
      </c>
      <c r="D47" s="855"/>
      <c r="F47" s="856">
        <f>VLOOKUP("C_PDL_bop",calcdata_22,2,FALSE)</f>
        <v>0</v>
      </c>
      <c r="H47" s="25"/>
      <c r="I47" s="25"/>
      <c r="J47" s="25"/>
      <c r="K47" s="25"/>
      <c r="L47" s="25"/>
      <c r="M47" s="246"/>
    </row>
    <row r="48" spans="1:13" ht="13">
      <c r="A48" s="239"/>
      <c r="B48" s="33" t="s">
        <v>340</v>
      </c>
      <c r="D48" s="855"/>
      <c r="F48" s="856">
        <f>VLOOKUP("C_debited_PDL",calcdata_22,2,FALSE)</f>
        <v>0</v>
      </c>
      <c r="H48" s="25"/>
      <c r="I48" s="25"/>
      <c r="J48" s="800"/>
      <c r="K48" s="25"/>
      <c r="L48" s="800"/>
      <c r="M48" s="246"/>
    </row>
    <row r="49" spans="1:13" ht="13">
      <c r="A49" s="239"/>
      <c r="B49" s="33" t="s">
        <v>341</v>
      </c>
      <c r="D49" s="855"/>
      <c r="F49" s="856">
        <f>VLOOKUP("C_credited_PDL",calcdata_22,2,FALSE)</f>
        <v>0</v>
      </c>
      <c r="H49" s="25"/>
      <c r="I49" s="25"/>
      <c r="J49" s="805"/>
      <c r="K49" s="25"/>
      <c r="L49" s="805"/>
      <c r="M49" s="246"/>
    </row>
    <row r="50" spans="1:13" ht="13">
      <c r="A50" s="239"/>
      <c r="B50" s="33" t="s">
        <v>342</v>
      </c>
      <c r="D50" s="855"/>
      <c r="F50" s="856">
        <f>VLOOKUP("C_PDL_eop",calcdata_22,2,FALSE)</f>
        <v>0</v>
      </c>
      <c r="H50" s="25"/>
      <c r="I50" s="25"/>
      <c r="J50" s="805"/>
      <c r="K50" s="25"/>
      <c r="L50" s="805"/>
      <c r="M50" s="246"/>
    </row>
    <row r="51" spans="1:13" ht="13">
      <c r="A51" s="239"/>
      <c r="D51" s="855"/>
      <c r="F51" s="856"/>
      <c r="H51" s="25"/>
      <c r="I51" s="25"/>
      <c r="J51" s="806"/>
      <c r="K51" s="25"/>
      <c r="L51" s="694"/>
      <c r="M51" s="246"/>
    </row>
    <row r="52" spans="1:13" ht="13">
      <c r="A52" s="239"/>
      <c r="B52" s="853" t="s">
        <v>292</v>
      </c>
      <c r="D52" s="855"/>
      <c r="H52" s="25"/>
      <c r="I52" s="25"/>
      <c r="J52" s="25"/>
      <c r="K52" s="25"/>
      <c r="L52" s="25"/>
      <c r="M52" s="246"/>
    </row>
    <row r="53" spans="1:13">
      <c r="A53" s="239"/>
      <c r="B53" s="33" t="s">
        <v>343</v>
      </c>
      <c r="D53" s="855"/>
      <c r="F53" s="856">
        <f>VLOOKUP("D_PDL_bop",calcdata_22,2,FALSE)</f>
        <v>0</v>
      </c>
      <c r="H53" s="25"/>
      <c r="I53" s="25"/>
      <c r="J53" s="25"/>
      <c r="K53" s="25"/>
      <c r="L53" s="25"/>
      <c r="M53" s="246"/>
    </row>
    <row r="54" spans="1:13" ht="13">
      <c r="A54" s="239"/>
      <c r="B54" s="33" t="s">
        <v>344</v>
      </c>
      <c r="D54" s="855"/>
      <c r="F54" s="856">
        <f>VLOOKUP("D_debited_PDL",calcdata_22,2,FALSE)</f>
        <v>0</v>
      </c>
      <c r="H54" s="25"/>
      <c r="I54" s="25"/>
      <c r="J54" s="800"/>
      <c r="K54" s="25"/>
      <c r="L54" s="800"/>
      <c r="M54" s="246"/>
    </row>
    <row r="55" spans="1:13" ht="13">
      <c r="A55" s="239"/>
      <c r="B55" s="33" t="s">
        <v>345</v>
      </c>
      <c r="D55" s="855"/>
      <c r="F55" s="856">
        <f>VLOOKUP("D_credited_PDL",calcdata_22,2,FALSE)</f>
        <v>0</v>
      </c>
      <c r="H55" s="25"/>
      <c r="I55" s="25"/>
      <c r="J55" s="805"/>
      <c r="K55" s="25"/>
      <c r="L55" s="805"/>
      <c r="M55" s="246"/>
    </row>
    <row r="56" spans="1:13" ht="13">
      <c r="A56" s="239"/>
      <c r="B56" s="33" t="s">
        <v>346</v>
      </c>
      <c r="D56" s="855"/>
      <c r="F56" s="856">
        <f>VLOOKUP("D_PDL_eop",calcdata_22,2,FALSE)</f>
        <v>0</v>
      </c>
      <c r="H56" s="25"/>
      <c r="I56" s="25"/>
      <c r="J56" s="805"/>
      <c r="K56" s="25"/>
      <c r="L56" s="805"/>
      <c r="M56" s="246"/>
    </row>
    <row r="57" spans="1:13" ht="13">
      <c r="A57" s="239"/>
      <c r="D57" s="855"/>
      <c r="F57" s="856"/>
      <c r="H57" s="25"/>
      <c r="I57" s="25"/>
      <c r="J57" s="806"/>
      <c r="K57" s="25"/>
      <c r="L57" s="694"/>
      <c r="M57" s="246"/>
    </row>
    <row r="58" spans="1:13" ht="13">
      <c r="A58" s="239"/>
      <c r="B58" s="853" t="s">
        <v>293</v>
      </c>
      <c r="D58" s="855"/>
      <c r="H58" s="25"/>
      <c r="I58" s="25"/>
      <c r="J58" s="25"/>
      <c r="K58" s="25"/>
      <c r="L58" s="25"/>
      <c r="M58" s="246"/>
    </row>
    <row r="59" spans="1:13">
      <c r="A59" s="239"/>
      <c r="B59" s="33" t="s">
        <v>347</v>
      </c>
      <c r="D59" s="855"/>
      <c r="F59" s="856">
        <f>VLOOKUP("E_PDL_bop",calcdata_22,2,FALSE)</f>
        <v>0</v>
      </c>
      <c r="H59" s="25"/>
      <c r="I59" s="25"/>
      <c r="J59" s="25"/>
      <c r="K59" s="25"/>
      <c r="L59" s="25"/>
      <c r="M59" s="246"/>
    </row>
    <row r="60" spans="1:13" ht="13">
      <c r="A60" s="239"/>
      <c r="B60" s="33" t="s">
        <v>348</v>
      </c>
      <c r="D60" s="855"/>
      <c r="F60" s="856">
        <f>VLOOKUP("E_debited_PDL",calcdata_22,2,FALSE)</f>
        <v>0</v>
      </c>
      <c r="H60" s="25"/>
      <c r="I60" s="25"/>
      <c r="J60" s="800"/>
      <c r="K60" s="25"/>
      <c r="L60" s="800"/>
      <c r="M60" s="246"/>
    </row>
    <row r="61" spans="1:13" ht="13">
      <c r="A61" s="239"/>
      <c r="B61" s="33" t="s">
        <v>349</v>
      </c>
      <c r="D61" s="855"/>
      <c r="F61" s="856">
        <f>VLOOKUP("E_credited_PDL",calcdata_22,2,FALSE)</f>
        <v>0</v>
      </c>
      <c r="H61" s="25"/>
      <c r="I61" s="25"/>
      <c r="J61" s="805"/>
      <c r="K61" s="25"/>
      <c r="L61" s="805"/>
      <c r="M61" s="246"/>
    </row>
    <row r="62" spans="1:13" ht="13">
      <c r="A62" s="239"/>
      <c r="B62" s="33" t="s">
        <v>350</v>
      </c>
      <c r="D62" s="855"/>
      <c r="F62" s="856">
        <f>VLOOKUP("E_PDL_eop",calcdata_22,2,FALSE)</f>
        <v>0</v>
      </c>
      <c r="H62" s="25"/>
      <c r="I62" s="25"/>
      <c r="J62" s="805"/>
      <c r="K62" s="25"/>
      <c r="L62" s="805"/>
      <c r="M62" s="246"/>
    </row>
    <row r="63" spans="1:13" ht="13">
      <c r="A63" s="239"/>
      <c r="D63" s="855"/>
      <c r="F63" s="856"/>
      <c r="H63" s="25"/>
      <c r="I63" s="25"/>
      <c r="J63" s="806"/>
      <c r="K63" s="25"/>
      <c r="L63" s="694"/>
      <c r="M63" s="246"/>
    </row>
    <row r="64" spans="1:13" ht="13">
      <c r="A64" s="239"/>
      <c r="B64" s="853" t="s">
        <v>294</v>
      </c>
      <c r="D64" s="855"/>
      <c r="H64" s="25"/>
      <c r="I64" s="25"/>
      <c r="J64" s="25"/>
      <c r="K64" s="25"/>
      <c r="L64" s="25"/>
      <c r="M64" s="246"/>
    </row>
    <row r="65" spans="1:13">
      <c r="A65" s="239"/>
      <c r="B65" s="33" t="s">
        <v>351</v>
      </c>
      <c r="D65" s="855"/>
      <c r="F65" s="856">
        <f>VLOOKUP("F_PDL_bop",calcdata_22,2,FALSE)</f>
        <v>0</v>
      </c>
      <c r="H65" s="25"/>
      <c r="I65" s="25"/>
      <c r="J65" s="25"/>
      <c r="K65" s="25"/>
      <c r="L65" s="25"/>
      <c r="M65" s="246"/>
    </row>
    <row r="66" spans="1:13" ht="13">
      <c r="A66" s="239"/>
      <c r="B66" s="33" t="s">
        <v>352</v>
      </c>
      <c r="D66" s="855"/>
      <c r="F66" s="856">
        <f>VLOOKUP("F_debited_PDL",calcdata_22,2,FALSE)</f>
        <v>0</v>
      </c>
      <c r="H66" s="25"/>
      <c r="I66" s="25"/>
      <c r="J66" s="800"/>
      <c r="K66" s="25"/>
      <c r="L66" s="800"/>
      <c r="M66" s="246"/>
    </row>
    <row r="67" spans="1:13" ht="13">
      <c r="A67" s="239"/>
      <c r="B67" s="33" t="s">
        <v>353</v>
      </c>
      <c r="D67" s="855"/>
      <c r="F67" s="856">
        <f>VLOOKUP("F_credited_PDL",calcdata_22,2,FALSE)</f>
        <v>0</v>
      </c>
      <c r="H67" s="25"/>
      <c r="I67" s="25"/>
      <c r="J67" s="805"/>
      <c r="K67" s="25"/>
      <c r="L67" s="805"/>
      <c r="M67" s="246"/>
    </row>
    <row r="68" spans="1:13" ht="13">
      <c r="A68" s="239"/>
      <c r="B68" s="33" t="s">
        <v>354</v>
      </c>
      <c r="D68" s="855"/>
      <c r="F68" s="856">
        <f>VLOOKUP("F_PDL_eop",calcdata_22,2,FALSE)</f>
        <v>0</v>
      </c>
      <c r="H68" s="25"/>
      <c r="I68" s="25"/>
      <c r="J68" s="805"/>
      <c r="K68" s="25"/>
      <c r="L68" s="805"/>
      <c r="M68" s="246"/>
    </row>
    <row r="69" spans="1:13" ht="13">
      <c r="A69" s="239"/>
      <c r="D69" s="855"/>
      <c r="F69" s="856"/>
      <c r="H69" s="25"/>
      <c r="I69" s="25"/>
      <c r="J69" s="806"/>
      <c r="K69" s="25"/>
      <c r="L69" s="694"/>
      <c r="M69" s="246"/>
    </row>
    <row r="70" spans="1:13" ht="13">
      <c r="A70" s="239"/>
      <c r="B70" s="853" t="s">
        <v>295</v>
      </c>
      <c r="D70" s="855"/>
      <c r="H70" s="25"/>
      <c r="I70" s="25"/>
      <c r="J70" s="25"/>
      <c r="K70" s="25"/>
      <c r="L70" s="25"/>
      <c r="M70" s="246"/>
    </row>
    <row r="71" spans="1:13">
      <c r="A71" s="239"/>
      <c r="B71" s="33" t="s">
        <v>355</v>
      </c>
      <c r="D71" s="855"/>
      <c r="F71" s="856">
        <f>VLOOKUP("G_PDL_bop",calcdata_22,2,FALSE)</f>
        <v>18901457.969999995</v>
      </c>
      <c r="H71" s="25"/>
      <c r="I71" s="25"/>
      <c r="J71" s="25"/>
      <c r="K71" s="25"/>
      <c r="L71" s="25"/>
      <c r="M71" s="246"/>
    </row>
    <row r="72" spans="1:13" ht="13">
      <c r="A72" s="239"/>
      <c r="B72" s="33" t="s">
        <v>425</v>
      </c>
      <c r="D72" s="855"/>
      <c r="F72" s="856">
        <f>VLOOKUP("G_debited_PDL",calcdata_22,2,FALSE)</f>
        <v>1573027.58</v>
      </c>
      <c r="H72" s="25"/>
      <c r="I72" s="25"/>
      <c r="J72" s="800"/>
      <c r="K72" s="25"/>
      <c r="L72" s="800"/>
      <c r="M72" s="246"/>
    </row>
    <row r="73" spans="1:13" ht="13">
      <c r="A73" s="239"/>
      <c r="B73" s="33" t="s">
        <v>426</v>
      </c>
      <c r="D73" s="855"/>
      <c r="F73" s="856">
        <f>VLOOKUP("G_credited_PDL",calcdata_22,2,FALSE)</f>
        <v>813389.3900000006</v>
      </c>
      <c r="H73" s="25"/>
      <c r="I73" s="25"/>
      <c r="J73" s="805"/>
      <c r="K73" s="25"/>
      <c r="L73" s="805"/>
      <c r="M73" s="246"/>
    </row>
    <row r="74" spans="1:13" ht="13">
      <c r="A74" s="239"/>
      <c r="B74" s="33" t="s">
        <v>427</v>
      </c>
      <c r="D74" s="855"/>
      <c r="F74" s="856">
        <f>VLOOKUP("G_PDL_eop",calcdata_22,2,FALSE)</f>
        <v>19661096.159999996</v>
      </c>
      <c r="H74" s="25"/>
      <c r="I74" s="25"/>
      <c r="J74" s="805"/>
      <c r="K74" s="25"/>
      <c r="L74" s="805"/>
      <c r="M74" s="246"/>
    </row>
    <row r="75" spans="1:13" ht="12.75" customHeight="1">
      <c r="A75" s="239"/>
      <c r="D75" s="860"/>
      <c r="F75" s="328"/>
      <c r="H75" s="25"/>
      <c r="I75" s="25"/>
      <c r="J75" s="25"/>
      <c r="K75" s="25"/>
      <c r="L75" s="25"/>
      <c r="M75" s="246"/>
    </row>
    <row r="76" spans="1:13">
      <c r="A76" s="315"/>
      <c r="B76" s="318"/>
      <c r="C76" s="318"/>
      <c r="D76" s="861"/>
      <c r="E76" s="318"/>
      <c r="F76" s="318"/>
      <c r="G76" s="318"/>
      <c r="H76" s="40"/>
      <c r="I76" s="40"/>
      <c r="J76" s="40"/>
      <c r="K76" s="40"/>
      <c r="L76" s="40"/>
      <c r="M76" s="319"/>
    </row>
    <row r="78" spans="1:13">
      <c r="H78" s="270"/>
    </row>
    <row r="79" spans="1:13">
      <c r="H79" s="270"/>
    </row>
    <row r="81" spans="2:8">
      <c r="C81" s="814"/>
      <c r="D81" s="815"/>
      <c r="F81" s="815"/>
      <c r="H81" s="270"/>
    </row>
    <row r="82" spans="2:8">
      <c r="C82" s="814"/>
      <c r="D82" s="815"/>
      <c r="F82" s="815"/>
    </row>
    <row r="84" spans="2:8">
      <c r="C84" s="814"/>
      <c r="D84" s="814"/>
      <c r="E84" s="814"/>
      <c r="F84" s="814"/>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453125" style="33" customWidth="1"/>
    <col min="8" max="10" width="15.54296875" style="33" customWidth="1"/>
    <col min="11" max="12" width="14.453125" style="33" customWidth="1"/>
    <col min="13" max="13" width="2" style="25" customWidth="1"/>
    <col min="14" max="16384" width="9.1796875" style="33"/>
  </cols>
  <sheetData>
    <row r="1" spans="1:13" ht="6" customHeight="1">
      <c r="A1" s="753"/>
      <c r="B1" s="754"/>
      <c r="C1" s="754"/>
      <c r="D1" s="754"/>
      <c r="E1" s="754"/>
      <c r="F1" s="754"/>
      <c r="G1" s="754"/>
      <c r="H1" s="754"/>
      <c r="I1" s="754"/>
      <c r="J1" s="754"/>
      <c r="K1" s="754"/>
      <c r="L1" s="977"/>
      <c r="M1" s="237"/>
    </row>
    <row r="2" spans="1:13" ht="18">
      <c r="A2" s="239"/>
      <c r="B2" s="240" t="str">
        <f>'Cover Sheet'!B2</f>
        <v>SC Germany Consumer 2022-1</v>
      </c>
      <c r="C2" s="240"/>
      <c r="D2" s="241" t="str">
        <f>'Cover Sheet'!D2</f>
        <v>Calculation Date</v>
      </c>
      <c r="E2" s="242"/>
      <c r="F2" s="243">
        <f>'Cover Sheet'!F2</f>
        <v>45848</v>
      </c>
      <c r="G2" s="242"/>
      <c r="H2" s="242"/>
      <c r="I2" s="242"/>
      <c r="J2" s="242"/>
      <c r="K2" s="242"/>
      <c r="L2" s="244"/>
      <c r="M2" s="314"/>
    </row>
    <row r="3" spans="1:13" ht="18">
      <c r="A3" s="239"/>
      <c r="B3" s="240" t="str">
        <f>'Cover Sheet'!B3</f>
        <v>Monthly Investor Report</v>
      </c>
      <c r="C3" s="240"/>
      <c r="D3" s="248" t="str">
        <f>'Cover Sheet'!D3</f>
        <v>Payment Date</v>
      </c>
      <c r="E3" s="249"/>
      <c r="F3" s="250">
        <f>'Cover Sheet'!F3</f>
        <v>45852</v>
      </c>
      <c r="G3" s="249"/>
      <c r="H3" s="249"/>
      <c r="I3" s="249"/>
      <c r="J3" s="249"/>
      <c r="K3" s="249"/>
      <c r="L3" s="251"/>
      <c r="M3" s="314"/>
    </row>
    <row r="4" spans="1:13">
      <c r="A4" s="239"/>
      <c r="B4" s="850"/>
      <c r="C4" s="328"/>
      <c r="D4" s="248" t="str">
        <f>'Cover Sheet'!D4</f>
        <v>Period  No</v>
      </c>
      <c r="E4" s="249"/>
      <c r="F4" s="254">
        <f>'Cover Sheet'!F4</f>
        <v>33</v>
      </c>
      <c r="G4" s="249"/>
      <c r="H4" s="255"/>
      <c r="I4" s="249"/>
      <c r="J4" s="260"/>
      <c r="K4" s="249"/>
      <c r="L4" s="256"/>
      <c r="M4" s="314"/>
    </row>
    <row r="5" spans="1:13" ht="18">
      <c r="A5" s="239"/>
      <c r="B5" s="329" t="s">
        <v>368</v>
      </c>
      <c r="C5" s="329"/>
      <c r="D5" s="248" t="str">
        <f>'Cover Sheet'!D5</f>
        <v>Monthly Period</v>
      </c>
      <c r="E5" s="249"/>
      <c r="F5" s="121">
        <f>'Cover Sheet'!F5</f>
        <v>45852</v>
      </c>
      <c r="G5" s="249"/>
      <c r="H5" s="255"/>
      <c r="I5" s="249"/>
      <c r="J5" s="260"/>
      <c r="K5" s="249"/>
      <c r="L5" s="256"/>
      <c r="M5" s="314"/>
    </row>
    <row r="6" spans="1:13" s="247" customFormat="1" ht="15" customHeight="1">
      <c r="A6" s="239"/>
      <c r="B6" s="258"/>
      <c r="C6" s="330"/>
      <c r="D6" s="248" t="str">
        <f>'Cover Sheet'!D6</f>
        <v>Interest Period</v>
      </c>
      <c r="E6" s="260" t="s">
        <v>34</v>
      </c>
      <c r="F6" s="250">
        <f>'Cover Sheet'!F6</f>
        <v>45824</v>
      </c>
      <c r="G6" s="260" t="str">
        <f>'Cover Sheet'!G6</f>
        <v>to</v>
      </c>
      <c r="H6" s="250">
        <f>'Cover Sheet'!H6</f>
        <v>45852</v>
      </c>
      <c r="I6" s="260" t="str">
        <f>'Cover Sheet'!I6</f>
        <v>=</v>
      </c>
      <c r="J6" s="816" t="str">
        <f>'Cover Sheet'!J6</f>
        <v>28 days</v>
      </c>
      <c r="K6" s="260"/>
      <c r="L6" s="372"/>
      <c r="M6" s="817"/>
    </row>
    <row r="7" spans="1:13">
      <c r="A7" s="239"/>
      <c r="D7" s="689" t="str">
        <f>'Cover Sheet'!D7</f>
        <v>Collection Period</v>
      </c>
      <c r="E7" s="690" t="s">
        <v>34</v>
      </c>
      <c r="F7" s="264" t="str">
        <f>'Cover Sheet'!F7</f>
        <v>01.06.2025</v>
      </c>
      <c r="G7" s="690" t="str">
        <f>'Cover Sheet'!G7</f>
        <v>to</v>
      </c>
      <c r="H7" s="264">
        <f>'Cover Sheet'!H7</f>
        <v>45838</v>
      </c>
      <c r="I7" s="265"/>
      <c r="J7" s="265"/>
      <c r="K7" s="265"/>
      <c r="L7" s="266"/>
      <c r="M7" s="314"/>
    </row>
    <row r="8" spans="1:13" ht="13">
      <c r="A8" s="239"/>
      <c r="D8" s="818"/>
      <c r="E8" s="267"/>
      <c r="F8" s="245"/>
      <c r="H8" s="268"/>
      <c r="J8" s="268"/>
      <c r="L8" s="975"/>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19"/>
      <c r="F13" s="240"/>
      <c r="L13" s="976"/>
      <c r="M13" s="314"/>
    </row>
    <row r="14" spans="1:13">
      <c r="A14" s="239"/>
      <c r="D14" s="820"/>
      <c r="H14" s="25"/>
      <c r="I14" s="25"/>
      <c r="J14" s="25"/>
      <c r="L14" s="25"/>
      <c r="M14" s="314"/>
    </row>
    <row r="15" spans="1:13">
      <c r="A15" s="239"/>
      <c r="D15" s="820"/>
      <c r="H15" s="25"/>
      <c r="I15" s="25"/>
      <c r="J15" s="25"/>
      <c r="K15" s="25"/>
      <c r="L15" s="25"/>
      <c r="M15" s="314"/>
    </row>
    <row r="16" spans="1:13" ht="13" thickBot="1">
      <c r="A16" s="239"/>
      <c r="D16" s="821"/>
      <c r="H16" s="25"/>
      <c r="I16" s="25"/>
      <c r="J16" s="25"/>
      <c r="K16" s="25"/>
      <c r="L16" s="974"/>
      <c r="M16" s="314"/>
    </row>
    <row r="17" spans="1:23" ht="18.5" thickBot="1">
      <c r="A17" s="239"/>
      <c r="B17" s="275" t="s">
        <v>363</v>
      </c>
      <c r="C17" s="822"/>
      <c r="D17" s="823"/>
      <c r="E17" s="823"/>
      <c r="F17" s="805"/>
      <c r="G17" s="805"/>
      <c r="H17" s="25"/>
      <c r="I17" s="1001" t="s">
        <v>471</v>
      </c>
      <c r="J17" s="1002"/>
      <c r="K17" s="1003"/>
      <c r="L17" s="824">
        <f>IF(AND($F$4&gt;12,$F$4&lt;37),AVERAGE(VLOOKUP($F$4,$B$21:$L$100,11,FALSE),VLOOKUP(($F$4)-1,$B$21:$L$100,11,FALSE),VLOOKUP(($F$4)-2,$B$21:$L$100,11,FALSE)),"n/a")</f>
        <v>2.8715732672024655E-3</v>
      </c>
      <c r="M17" s="314"/>
    </row>
    <row r="18" spans="1:23" ht="18">
      <c r="A18" s="239"/>
      <c r="B18" s="240"/>
      <c r="C18" s="822"/>
      <c r="D18" s="822"/>
      <c r="E18" s="822"/>
      <c r="F18" s="819"/>
      <c r="G18" s="819"/>
      <c r="H18" s="822"/>
      <c r="J18" s="823"/>
      <c r="K18" s="25"/>
      <c r="L18" s="973"/>
      <c r="M18" s="314"/>
    </row>
    <row r="19" spans="1:23" ht="13.5" thickBot="1">
      <c r="A19" s="239"/>
      <c r="B19" s="978"/>
      <c r="G19" s="819"/>
      <c r="H19" s="822"/>
      <c r="J19" s="823"/>
      <c r="K19" s="25"/>
      <c r="L19" s="974"/>
      <c r="M19" s="314"/>
    </row>
    <row r="20" spans="1:23" ht="44" thickBot="1">
      <c r="A20" s="239"/>
      <c r="B20" s="825" t="s">
        <v>110</v>
      </c>
      <c r="C20" s="825" t="s">
        <v>330</v>
      </c>
      <c r="D20" s="825" t="s">
        <v>358</v>
      </c>
      <c r="E20" s="825" t="s">
        <v>356</v>
      </c>
      <c r="F20" s="825" t="s">
        <v>357</v>
      </c>
      <c r="G20" s="825" t="s">
        <v>362</v>
      </c>
      <c r="H20" s="825" t="s">
        <v>359</v>
      </c>
      <c r="I20" s="825" t="s">
        <v>360</v>
      </c>
      <c r="J20" s="825" t="s">
        <v>361</v>
      </c>
      <c r="K20" s="825" t="s">
        <v>461</v>
      </c>
      <c r="L20" s="826" t="s">
        <v>468</v>
      </c>
      <c r="M20" s="827"/>
      <c r="O20" s="828"/>
      <c r="P20" s="25"/>
      <c r="Q20" s="829"/>
      <c r="R20" s="830"/>
      <c r="S20" s="830"/>
      <c r="T20" s="25"/>
      <c r="U20" s="25"/>
      <c r="V20" s="739"/>
      <c r="W20" s="831"/>
    </row>
    <row r="21" spans="1:23">
      <c r="A21" s="239"/>
      <c r="B21" s="419">
        <v>1</v>
      </c>
      <c r="C21" s="832">
        <f t="shared" ref="C21:C52" si="0">IF(B21&lt;=$F$4,VLOOKUP(CONCATENATE("defaults_",$B21),defaults,2,0),"")</f>
        <v>0</v>
      </c>
      <c r="D21" s="907">
        <f t="shared" ref="D21:D52" si="1">IF(B21&lt;=$F$4,VLOOKUP(CONCATENATE("defaults_",$B21),defaults,3,0),"")</f>
        <v>0</v>
      </c>
      <c r="E21" s="907">
        <f t="shared" ref="E21:E52" si="2">IF(B21&lt;=$F$4,VLOOKUP(CONCATENATE("defaults_",$B21),defaults,4,0),"")</f>
        <v>0</v>
      </c>
      <c r="F21" s="907">
        <f t="shared" ref="F21:F52" si="3">IF(B21&lt;=$F$4,VLOOKUP(CONCATENATE("defaults_",$B21),defaults,5,0),"")</f>
        <v>1025743449.63</v>
      </c>
      <c r="G21" s="833">
        <f t="shared" ref="G21:G52" si="4">IF(B21&lt;=$F$4,VLOOKUP(CONCATENATE("defaults_",$B21),defaults,6,0),"")</f>
        <v>0</v>
      </c>
      <c r="H21" s="908">
        <f t="shared" ref="H21:H52" si="5">IF(B21&lt;=$F$4,VLOOKUP(CONCATENATE("defaults_",$B21),defaults,7,0),"")</f>
        <v>0</v>
      </c>
      <c r="I21" s="909">
        <f t="shared" ref="I21:I52" si="6">IF(B21&lt;=$F$4,VLOOKUP(CONCATENATE("defaults_",$B21),defaults,8,0),"")</f>
        <v>0</v>
      </c>
      <c r="J21" s="908">
        <f t="shared" ref="J21:J52" si="7">IF(B21&lt;=$F$4,VLOOKUP(CONCATENATE("defaults_",$B21),defaults,9,0),"")</f>
        <v>0</v>
      </c>
      <c r="K21" s="833">
        <f t="shared" ref="K21:K52" si="8">IF(B21&lt;=$F$4,VLOOKUP(CONCATENATE("defaults_",$B21),defaults,10,0),"")</f>
        <v>0</v>
      </c>
      <c r="L21" s="834" t="s">
        <v>231</v>
      </c>
      <c r="M21" s="314"/>
      <c r="N21" s="25"/>
      <c r="O21" s="25"/>
      <c r="P21" s="25"/>
      <c r="Q21" s="829"/>
      <c r="R21" s="830"/>
      <c r="S21" s="829"/>
      <c r="T21" s="25"/>
      <c r="U21" s="694"/>
      <c r="V21" s="25"/>
      <c r="W21" s="25"/>
    </row>
    <row r="22" spans="1:23">
      <c r="A22" s="239"/>
      <c r="B22" s="419">
        <v>2</v>
      </c>
      <c r="C22" s="832">
        <f t="shared" si="0"/>
        <v>2</v>
      </c>
      <c r="D22" s="907">
        <f t="shared" si="1"/>
        <v>24148.21</v>
      </c>
      <c r="E22" s="907">
        <f t="shared" si="2"/>
        <v>24148.21</v>
      </c>
      <c r="F22" s="907">
        <f t="shared" si="3"/>
        <v>1053455078.49</v>
      </c>
      <c r="G22" s="833">
        <f t="shared" si="4"/>
        <v>2.2922866378520404E-5</v>
      </c>
      <c r="H22" s="908">
        <f t="shared" si="5"/>
        <v>-106.57</v>
      </c>
      <c r="I22" s="909">
        <f t="shared" si="6"/>
        <v>-106.57</v>
      </c>
      <c r="J22" s="908">
        <f t="shared" si="7"/>
        <v>24254.78</v>
      </c>
      <c r="K22" s="833">
        <f t="shared" si="8"/>
        <v>2.3024028736722476E-5</v>
      </c>
      <c r="L22" s="834">
        <f>IF($B22&lt;=$F$4,($D22-$H22)/'3.1 Delinquency Data'!C22,"")</f>
        <v>2.4254780313129211E-5</v>
      </c>
      <c r="M22" s="314"/>
      <c r="N22" s="25"/>
      <c r="O22" s="835"/>
      <c r="P22" s="25"/>
      <c r="Q22" s="829"/>
      <c r="R22" s="830"/>
      <c r="S22" s="830"/>
      <c r="T22" s="25"/>
      <c r="U22" s="25"/>
      <c r="V22" s="25"/>
      <c r="W22" s="25"/>
    </row>
    <row r="23" spans="1:23" ht="13">
      <c r="A23" s="239"/>
      <c r="B23" s="419">
        <v>3</v>
      </c>
      <c r="C23" s="832">
        <f t="shared" si="0"/>
        <v>7</v>
      </c>
      <c r="D23" s="907">
        <f t="shared" si="1"/>
        <v>94815.96</v>
      </c>
      <c r="E23" s="907">
        <f t="shared" si="2"/>
        <v>118964.17</v>
      </c>
      <c r="F23" s="907">
        <f t="shared" si="3"/>
        <v>1074979593.0599999</v>
      </c>
      <c r="G23" s="833">
        <f t="shared" si="4"/>
        <v>1.1066644498930502E-4</v>
      </c>
      <c r="H23" s="908">
        <f t="shared" si="5"/>
        <v>-379.46</v>
      </c>
      <c r="I23" s="909">
        <f t="shared" si="6"/>
        <v>-486.03</v>
      </c>
      <c r="J23" s="908">
        <f t="shared" si="7"/>
        <v>119450.2</v>
      </c>
      <c r="K23" s="833">
        <f t="shared" si="8"/>
        <v>1.1111857450240256E-4</v>
      </c>
      <c r="L23" s="834">
        <f>IF($B23&lt;=$F$4,($D23-$H23)/'3.1 Delinquency Data'!C23,"")</f>
        <v>9.519542052452678E-5</v>
      </c>
      <c r="M23" s="836"/>
      <c r="Q23" s="829"/>
      <c r="R23" s="837"/>
      <c r="S23" s="837"/>
      <c r="U23" s="25"/>
      <c r="V23" s="739"/>
      <c r="W23" s="800"/>
    </row>
    <row r="24" spans="1:23" ht="13">
      <c r="A24" s="239"/>
      <c r="B24" s="419">
        <v>4</v>
      </c>
      <c r="C24" s="832">
        <f t="shared" si="0"/>
        <v>38</v>
      </c>
      <c r="D24" s="907">
        <f t="shared" si="1"/>
        <v>475812.17</v>
      </c>
      <c r="E24" s="907">
        <f t="shared" si="2"/>
        <v>594776.34</v>
      </c>
      <c r="F24" s="907">
        <f t="shared" si="3"/>
        <v>1107170504.99</v>
      </c>
      <c r="G24" s="833">
        <f t="shared" si="4"/>
        <v>5.3720392416466319E-4</v>
      </c>
      <c r="H24" s="908">
        <f t="shared" si="5"/>
        <v>-692.74</v>
      </c>
      <c r="I24" s="909">
        <f t="shared" si="6"/>
        <v>-1178.77</v>
      </c>
      <c r="J24" s="908">
        <f t="shared" si="7"/>
        <v>595955.11</v>
      </c>
      <c r="K24" s="833">
        <f t="shared" si="8"/>
        <v>5.3826859306135735E-4</v>
      </c>
      <c r="L24" s="834">
        <f>IF($B24&lt;=$F$4,($D24-$H24)/'3.1 Delinquency Data'!C24,"")</f>
        <v>4.7650491111025646E-4</v>
      </c>
      <c r="M24" s="827"/>
      <c r="N24" s="838"/>
      <c r="O24" s="800"/>
      <c r="P24" s="838"/>
      <c r="Q24" s="839"/>
      <c r="R24" s="840"/>
      <c r="S24" s="837"/>
      <c r="T24" s="838"/>
      <c r="U24" s="25"/>
      <c r="V24" s="739"/>
      <c r="W24" s="831"/>
    </row>
    <row r="25" spans="1:23">
      <c r="A25" s="239"/>
      <c r="B25" s="419">
        <v>5</v>
      </c>
      <c r="C25" s="832">
        <f t="shared" si="0"/>
        <v>112</v>
      </c>
      <c r="D25" s="907">
        <f t="shared" si="1"/>
        <v>1667952.86</v>
      </c>
      <c r="E25" s="907">
        <f t="shared" si="2"/>
        <v>2262729.2000000002</v>
      </c>
      <c r="F25" s="907">
        <f t="shared" si="3"/>
        <v>1137282305.76</v>
      </c>
      <c r="G25" s="833">
        <f t="shared" si="4"/>
        <v>1.9895932509808186E-3</v>
      </c>
      <c r="H25" s="908">
        <f t="shared" si="5"/>
        <v>-1099.7</v>
      </c>
      <c r="I25" s="909">
        <f t="shared" si="6"/>
        <v>-2278.4699999999998</v>
      </c>
      <c r="J25" s="908">
        <f t="shared" si="7"/>
        <v>2265007.67</v>
      </c>
      <c r="K25" s="833">
        <f t="shared" si="8"/>
        <v>1.9915966849465634E-3</v>
      </c>
      <c r="L25" s="834">
        <f>IF($B25&lt;=$F$4,($D25-$H25)/'3.1 Delinquency Data'!C25,"")</f>
        <v>1.6690525700143156E-3</v>
      </c>
      <c r="M25" s="314"/>
      <c r="Q25" s="829"/>
      <c r="R25" s="830"/>
      <c r="S25" s="829"/>
      <c r="T25" s="25"/>
      <c r="U25" s="694"/>
      <c r="V25" s="25"/>
      <c r="W25" s="25"/>
    </row>
    <row r="26" spans="1:23">
      <c r="A26" s="239"/>
      <c r="B26" s="419">
        <v>6</v>
      </c>
      <c r="C26" s="832">
        <f t="shared" si="0"/>
        <v>227</v>
      </c>
      <c r="D26" s="907">
        <f t="shared" si="1"/>
        <v>1799199.77</v>
      </c>
      <c r="E26" s="907">
        <f t="shared" si="2"/>
        <v>4061928.97</v>
      </c>
      <c r="F26" s="907">
        <f t="shared" si="3"/>
        <v>1168653134.6600001</v>
      </c>
      <c r="G26" s="833">
        <f t="shared" si="4"/>
        <v>3.4757353140388819E-3</v>
      </c>
      <c r="H26" s="908">
        <f t="shared" si="5"/>
        <v>-2884.83</v>
      </c>
      <c r="I26" s="909">
        <f t="shared" si="6"/>
        <v>-5163.3</v>
      </c>
      <c r="J26" s="908">
        <f t="shared" si="7"/>
        <v>4067092.27</v>
      </c>
      <c r="K26" s="833">
        <f t="shared" si="8"/>
        <v>3.4801534770051773E-3</v>
      </c>
      <c r="L26" s="834">
        <f>IF($B26&lt;=$F$4,($D26-$H26)/'3.1 Delinquency Data'!C26,"")</f>
        <v>1.8020846195706392E-3</v>
      </c>
      <c r="M26" s="314"/>
      <c r="Q26" s="829"/>
      <c r="R26" s="830"/>
      <c r="S26" s="829"/>
      <c r="T26" s="25"/>
      <c r="U26" s="694"/>
      <c r="V26" s="25"/>
      <c r="W26" s="25"/>
    </row>
    <row r="27" spans="1:23">
      <c r="A27" s="239"/>
      <c r="B27" s="419">
        <v>7</v>
      </c>
      <c r="C27" s="832">
        <f t="shared" si="0"/>
        <v>323</v>
      </c>
      <c r="D27" s="907">
        <f t="shared" si="1"/>
        <v>1624372.99</v>
      </c>
      <c r="E27" s="907">
        <f t="shared" si="2"/>
        <v>5686301.96</v>
      </c>
      <c r="F27" s="907">
        <f t="shared" si="3"/>
        <v>1197463525.4400001</v>
      </c>
      <c r="G27" s="833">
        <f t="shared" si="4"/>
        <v>4.7486222663112891E-3</v>
      </c>
      <c r="H27" s="908">
        <f t="shared" si="5"/>
        <v>36361.46</v>
      </c>
      <c r="I27" s="909">
        <f t="shared" si="6"/>
        <v>31198.16</v>
      </c>
      <c r="J27" s="908">
        <f t="shared" si="7"/>
        <v>5655103.7999999998</v>
      </c>
      <c r="K27" s="833">
        <f t="shared" si="8"/>
        <v>4.7225687295335932E-3</v>
      </c>
      <c r="L27" s="834">
        <f>IF($B27&lt;=$F$4,($D27-$H27)/'3.1 Delinquency Data'!C27,"")</f>
        <v>1.5880115337318272E-3</v>
      </c>
      <c r="M27" s="314"/>
      <c r="O27" s="835"/>
      <c r="Q27" s="829"/>
      <c r="R27" s="837"/>
      <c r="S27" s="837"/>
      <c r="U27" s="25"/>
      <c r="V27" s="25"/>
      <c r="W27" s="25"/>
    </row>
    <row r="28" spans="1:23">
      <c r="A28" s="239"/>
      <c r="B28" s="419">
        <v>8</v>
      </c>
      <c r="C28" s="832">
        <f t="shared" si="0"/>
        <v>421</v>
      </c>
      <c r="D28" s="907">
        <f t="shared" si="1"/>
        <v>1702373.25</v>
      </c>
      <c r="E28" s="907">
        <f t="shared" si="2"/>
        <v>7388675.21</v>
      </c>
      <c r="F28" s="907">
        <f t="shared" si="3"/>
        <v>1228561846.1800001</v>
      </c>
      <c r="G28" s="833">
        <f t="shared" si="4"/>
        <v>6.0140848692101278E-3</v>
      </c>
      <c r="H28" s="908">
        <f t="shared" si="5"/>
        <v>27481.56</v>
      </c>
      <c r="I28" s="909">
        <f t="shared" si="6"/>
        <v>58679.72</v>
      </c>
      <c r="J28" s="908">
        <f t="shared" si="7"/>
        <v>7329995.4900000002</v>
      </c>
      <c r="K28" s="833">
        <f t="shared" si="8"/>
        <v>5.96632193388664E-3</v>
      </c>
      <c r="L28" s="834">
        <f>IF($B28&lt;=$F$4,($D28-$H28)/'3.1 Delinquency Data'!C28,"")</f>
        <v>1.6748916954433979E-3</v>
      </c>
      <c r="M28" s="314"/>
      <c r="Q28" s="829"/>
      <c r="R28" s="837"/>
      <c r="S28" s="837"/>
      <c r="U28" s="25"/>
      <c r="V28" s="25"/>
      <c r="W28" s="25"/>
    </row>
    <row r="29" spans="1:23" ht="13">
      <c r="A29" s="239"/>
      <c r="B29" s="419">
        <v>9</v>
      </c>
      <c r="C29" s="832">
        <f t="shared" si="0"/>
        <v>570</v>
      </c>
      <c r="D29" s="907">
        <f t="shared" si="1"/>
        <v>2535440.2799999998</v>
      </c>
      <c r="E29" s="907">
        <f t="shared" si="2"/>
        <v>9924115.4900000002</v>
      </c>
      <c r="F29" s="907">
        <f t="shared" si="3"/>
        <v>1260638751.6800001</v>
      </c>
      <c r="G29" s="833">
        <f t="shared" si="4"/>
        <v>7.8722913100795523E-3</v>
      </c>
      <c r="H29" s="908">
        <f t="shared" si="5"/>
        <v>25687.07</v>
      </c>
      <c r="I29" s="909">
        <f t="shared" si="6"/>
        <v>84366.79</v>
      </c>
      <c r="J29" s="908">
        <f t="shared" si="7"/>
        <v>9839748.6999999993</v>
      </c>
      <c r="K29" s="833">
        <f t="shared" si="8"/>
        <v>7.8053674669979652E-3</v>
      </c>
      <c r="L29" s="834">
        <f>IF($B29&lt;=$F$4,($D29-$H29)/'3.1 Delinquency Data'!C29,"")</f>
        <v>2.5097532165253584E-3</v>
      </c>
      <c r="M29" s="827"/>
      <c r="N29" s="838"/>
      <c r="O29" s="800"/>
      <c r="P29" s="838"/>
      <c r="Q29" s="841"/>
      <c r="R29" s="840"/>
      <c r="S29" s="837"/>
      <c r="T29" s="838"/>
      <c r="U29" s="800"/>
      <c r="V29" s="25"/>
      <c r="W29" s="25"/>
    </row>
    <row r="30" spans="1:23">
      <c r="A30" s="239"/>
      <c r="B30" s="419">
        <v>10</v>
      </c>
      <c r="C30" s="832">
        <f t="shared" si="0"/>
        <v>740</v>
      </c>
      <c r="D30" s="907">
        <f t="shared" si="1"/>
        <v>3245825.94</v>
      </c>
      <c r="E30" s="907">
        <f t="shared" si="2"/>
        <v>13169941.43</v>
      </c>
      <c r="F30" s="907">
        <f t="shared" si="3"/>
        <v>1295485477.6800001</v>
      </c>
      <c r="G30" s="833">
        <f t="shared" si="4"/>
        <v>1.0166027838139245E-2</v>
      </c>
      <c r="H30" s="908">
        <f t="shared" si="5"/>
        <v>10937.11</v>
      </c>
      <c r="I30" s="909">
        <f t="shared" si="6"/>
        <v>95303.9</v>
      </c>
      <c r="J30" s="908">
        <f t="shared" si="7"/>
        <v>13074637.529999999</v>
      </c>
      <c r="K30" s="833">
        <f t="shared" si="8"/>
        <v>1.0092461671908902E-2</v>
      </c>
      <c r="L30" s="834">
        <f>IF($B30&lt;=$F$4,($D30-$H30)/'3.1 Delinquency Data'!C30,"")</f>
        <v>3.2348889012969511E-3</v>
      </c>
      <c r="M30" s="314"/>
      <c r="Q30" s="829"/>
      <c r="R30" s="830"/>
      <c r="S30" s="829"/>
      <c r="T30" s="25"/>
      <c r="U30" s="694"/>
      <c r="V30" s="25"/>
      <c r="W30" s="25"/>
    </row>
    <row r="31" spans="1:23">
      <c r="A31" s="239"/>
      <c r="B31" s="419">
        <v>11</v>
      </c>
      <c r="C31" s="832">
        <f t="shared" si="0"/>
        <v>897</v>
      </c>
      <c r="D31" s="907">
        <f t="shared" si="1"/>
        <v>2496894.42</v>
      </c>
      <c r="E31" s="907">
        <f t="shared" si="2"/>
        <v>15666835.85</v>
      </c>
      <c r="F31" s="907">
        <f t="shared" si="3"/>
        <v>1327946409.3199999</v>
      </c>
      <c r="G31" s="833">
        <f t="shared" si="4"/>
        <v>1.1797792245262739E-2</v>
      </c>
      <c r="H31" s="908">
        <f t="shared" si="5"/>
        <v>46365.93</v>
      </c>
      <c r="I31" s="909">
        <f t="shared" si="6"/>
        <v>141669.82999999999</v>
      </c>
      <c r="J31" s="908">
        <f t="shared" si="7"/>
        <v>15525166.02</v>
      </c>
      <c r="K31" s="833">
        <f t="shared" si="8"/>
        <v>1.1691108851260006E-2</v>
      </c>
      <c r="L31" s="834">
        <f>IF($B31&lt;=$F$4,($D31-$H31)/'3.1 Delinquency Data'!C31,"")</f>
        <v>2.4505285005372722E-3</v>
      </c>
      <c r="M31" s="314"/>
      <c r="Q31" s="829"/>
      <c r="R31" s="830"/>
      <c r="S31" s="829"/>
      <c r="T31" s="25"/>
      <c r="U31" s="694"/>
      <c r="V31" s="25"/>
      <c r="W31" s="25"/>
    </row>
    <row r="32" spans="1:23">
      <c r="A32" s="239"/>
      <c r="B32" s="419">
        <v>12</v>
      </c>
      <c r="C32" s="832">
        <f t="shared" si="0"/>
        <v>1003</v>
      </c>
      <c r="D32" s="907">
        <f t="shared" si="1"/>
        <v>1298353.1499999999</v>
      </c>
      <c r="E32" s="907">
        <f t="shared" si="2"/>
        <v>16965189</v>
      </c>
      <c r="F32" s="907">
        <f t="shared" si="3"/>
        <v>1356346723.3699999</v>
      </c>
      <c r="G32" s="833">
        <f t="shared" si="4"/>
        <v>1.250800308482187E-2</v>
      </c>
      <c r="H32" s="908">
        <f t="shared" si="5"/>
        <v>68363.63</v>
      </c>
      <c r="I32" s="909">
        <f t="shared" si="6"/>
        <v>210033.46</v>
      </c>
      <c r="J32" s="908">
        <f t="shared" si="7"/>
        <v>16755155.539999999</v>
      </c>
      <c r="K32" s="833">
        <f t="shared" si="8"/>
        <v>1.2353150747745293E-2</v>
      </c>
      <c r="L32" s="834">
        <f>IF($B32&lt;=$F$4,($D32-$H32)/'3.1 Delinquency Data'!C32,"")</f>
        <v>1.2299895421890113E-3</v>
      </c>
      <c r="M32" s="314"/>
      <c r="O32" s="835"/>
      <c r="Q32" s="829"/>
      <c r="R32" s="837"/>
      <c r="S32" s="837"/>
      <c r="U32" s="25"/>
      <c r="V32" s="25"/>
      <c r="W32" s="25"/>
    </row>
    <row r="33" spans="1:23" ht="13">
      <c r="A33" s="239"/>
      <c r="B33" s="419">
        <v>13</v>
      </c>
      <c r="C33" s="832">
        <f t="shared" si="0"/>
        <v>1137</v>
      </c>
      <c r="D33" s="907">
        <f t="shared" si="1"/>
        <v>2340989.6800000002</v>
      </c>
      <c r="E33" s="907">
        <f t="shared" si="2"/>
        <v>19306178.68</v>
      </c>
      <c r="F33" s="907">
        <f t="shared" si="3"/>
        <v>1356346723.3699999</v>
      </c>
      <c r="G33" s="833">
        <f t="shared" si="4"/>
        <v>1.4233955335573463E-2</v>
      </c>
      <c r="H33" s="908">
        <f t="shared" si="5"/>
        <v>47250.13</v>
      </c>
      <c r="I33" s="909">
        <f t="shared" si="6"/>
        <v>257283.59</v>
      </c>
      <c r="J33" s="908">
        <f t="shared" si="7"/>
        <v>19048895.09</v>
      </c>
      <c r="K33" s="833">
        <f t="shared" si="8"/>
        <v>1.4044266677380851E-2</v>
      </c>
      <c r="L33" s="834">
        <f>IF($B33&lt;=$F$4,($D33-$H33)/'3.1 Delinquency Data'!C33,"")</f>
        <v>2.2948172167035785E-3</v>
      </c>
      <c r="M33" s="314"/>
      <c r="Q33" s="829"/>
      <c r="R33" s="837"/>
      <c r="S33" s="837"/>
      <c r="U33" s="25"/>
      <c r="V33" s="842"/>
      <c r="W33" s="800"/>
    </row>
    <row r="34" spans="1:23" ht="13">
      <c r="A34" s="239"/>
      <c r="B34" s="419">
        <v>14</v>
      </c>
      <c r="C34" s="832">
        <f t="shared" si="0"/>
        <v>1284</v>
      </c>
      <c r="D34" s="907">
        <f t="shared" si="1"/>
        <v>2624018.42</v>
      </c>
      <c r="E34" s="907">
        <f t="shared" si="2"/>
        <v>21930197.100000001</v>
      </c>
      <c r="F34" s="907">
        <f t="shared" si="3"/>
        <v>1356346723.3699999</v>
      </c>
      <c r="G34" s="833">
        <f t="shared" si="4"/>
        <v>1.6168577489914886E-2</v>
      </c>
      <c r="H34" s="908">
        <f t="shared" si="5"/>
        <v>95431.85</v>
      </c>
      <c r="I34" s="909">
        <f t="shared" si="6"/>
        <v>352715.44</v>
      </c>
      <c r="J34" s="908">
        <f t="shared" si="7"/>
        <v>21577481.66</v>
      </c>
      <c r="K34" s="833">
        <f t="shared" si="8"/>
        <v>1.5908529351837303E-2</v>
      </c>
      <c r="L34" s="834">
        <f>IF($B34&lt;=$F$4,($D34-$H34)/'3.1 Delinquency Data'!C34,"")</f>
        <v>2.5296488965853474E-3</v>
      </c>
      <c r="M34" s="827"/>
      <c r="N34" s="838"/>
      <c r="O34" s="800"/>
      <c r="P34" s="838"/>
      <c r="Q34" s="841"/>
      <c r="R34" s="840"/>
      <c r="S34" s="837"/>
      <c r="U34" s="25"/>
      <c r="V34" s="25"/>
      <c r="W34" s="25"/>
    </row>
    <row r="35" spans="1:23">
      <c r="A35" s="239"/>
      <c r="B35" s="419">
        <v>15</v>
      </c>
      <c r="C35" s="832">
        <f t="shared" si="0"/>
        <v>1438</v>
      </c>
      <c r="D35" s="907">
        <f t="shared" si="1"/>
        <v>2438921.5099999998</v>
      </c>
      <c r="E35" s="907">
        <f t="shared" si="2"/>
        <v>24369118.609999999</v>
      </c>
      <c r="F35" s="907">
        <f t="shared" si="3"/>
        <v>1356346723.3699999</v>
      </c>
      <c r="G35" s="833">
        <f t="shared" si="4"/>
        <v>1.7966732392328197E-2</v>
      </c>
      <c r="H35" s="908">
        <f t="shared" si="5"/>
        <v>51728.81</v>
      </c>
      <c r="I35" s="909">
        <f t="shared" si="6"/>
        <v>404444.25</v>
      </c>
      <c r="J35" s="908">
        <f t="shared" si="7"/>
        <v>23964674.359999999</v>
      </c>
      <c r="K35" s="833">
        <f t="shared" si="8"/>
        <v>1.7668545916089209E-2</v>
      </c>
      <c r="L35" s="834">
        <f>IF($B35&lt;=$F$4,($D35-$H35)/'3.1 Delinquency Data'!C35,"")</f>
        <v>2.4552873721818986E-3</v>
      </c>
      <c r="M35" s="314"/>
      <c r="Q35" s="829"/>
      <c r="R35" s="830"/>
      <c r="S35" s="829"/>
      <c r="T35" s="25"/>
      <c r="U35" s="694"/>
      <c r="V35" s="25"/>
      <c r="W35" s="25"/>
    </row>
    <row r="36" spans="1:23">
      <c r="A36" s="239"/>
      <c r="B36" s="419">
        <v>16</v>
      </c>
      <c r="C36" s="832">
        <f t="shared" si="0"/>
        <v>1578</v>
      </c>
      <c r="D36" s="907">
        <f t="shared" si="1"/>
        <v>2539805.06</v>
      </c>
      <c r="E36" s="907">
        <f t="shared" si="2"/>
        <v>26908923.670000002</v>
      </c>
      <c r="F36" s="907">
        <f t="shared" si="3"/>
        <v>1356346723.3699999</v>
      </c>
      <c r="G36" s="833">
        <f t="shared" si="4"/>
        <v>1.9839266174611802E-2</v>
      </c>
      <c r="H36" s="908">
        <f t="shared" si="5"/>
        <v>67030.320000000007</v>
      </c>
      <c r="I36" s="909">
        <f t="shared" si="6"/>
        <v>471474.57</v>
      </c>
      <c r="J36" s="908">
        <f t="shared" si="7"/>
        <v>26437449.100000001</v>
      </c>
      <c r="K36" s="833">
        <f t="shared" si="8"/>
        <v>1.9491659945410637E-2</v>
      </c>
      <c r="L36" s="834">
        <f>IF($B36&lt;=$F$4,($D36-$H36)/'3.1 Delinquency Data'!C36,"")</f>
        <v>2.6172877426598085E-3</v>
      </c>
      <c r="M36" s="314"/>
      <c r="Q36" s="829"/>
      <c r="R36" s="830"/>
      <c r="S36" s="829"/>
      <c r="T36" s="25"/>
      <c r="U36" s="694"/>
      <c r="V36" s="25"/>
      <c r="W36" s="25"/>
    </row>
    <row r="37" spans="1:23">
      <c r="A37" s="239"/>
      <c r="B37" s="419">
        <v>17</v>
      </c>
      <c r="C37" s="832">
        <f t="shared" si="0"/>
        <v>1747</v>
      </c>
      <c r="D37" s="907">
        <f t="shared" si="1"/>
        <v>2603375.7400000002</v>
      </c>
      <c r="E37" s="907">
        <f t="shared" si="2"/>
        <v>29512299.41</v>
      </c>
      <c r="F37" s="907">
        <f t="shared" si="3"/>
        <v>1356346723.3699999</v>
      </c>
      <c r="G37" s="833">
        <f t="shared" si="4"/>
        <v>2.1758669005129658E-2</v>
      </c>
      <c r="H37" s="908">
        <f t="shared" si="5"/>
        <v>73207.89</v>
      </c>
      <c r="I37" s="909">
        <f t="shared" si="6"/>
        <v>544682.46</v>
      </c>
      <c r="J37" s="908">
        <f t="shared" si="7"/>
        <v>28967616.949999999</v>
      </c>
      <c r="K37" s="833">
        <f t="shared" si="8"/>
        <v>2.1357088457460642E-2</v>
      </c>
      <c r="L37" s="834">
        <f>IF($B37&lt;=$F$4,($D37-$H37)/'3.1 Delinquency Data'!C37,"")</f>
        <v>2.7443039480212583E-3</v>
      </c>
      <c r="M37" s="314"/>
      <c r="O37" s="835"/>
      <c r="Q37" s="829"/>
      <c r="R37" s="837"/>
      <c r="S37" s="837"/>
      <c r="U37" s="25"/>
      <c r="V37" s="25"/>
      <c r="W37" s="25"/>
    </row>
    <row r="38" spans="1:23" ht="13">
      <c r="A38" s="239"/>
      <c r="B38" s="419">
        <v>18</v>
      </c>
      <c r="C38" s="832">
        <f t="shared" si="0"/>
        <v>1894</v>
      </c>
      <c r="D38" s="907">
        <f t="shared" si="1"/>
        <v>2547435.2200000002</v>
      </c>
      <c r="E38" s="907">
        <f t="shared" si="2"/>
        <v>32059734.629999999</v>
      </c>
      <c r="F38" s="907">
        <f t="shared" si="3"/>
        <v>1356346723.3699999</v>
      </c>
      <c r="G38" s="833">
        <f t="shared" si="4"/>
        <v>2.3636828310643076E-2</v>
      </c>
      <c r="H38" s="908">
        <f t="shared" si="5"/>
        <v>98451.58</v>
      </c>
      <c r="I38" s="909">
        <f t="shared" si="6"/>
        <v>643134.04</v>
      </c>
      <c r="J38" s="908">
        <f t="shared" si="7"/>
        <v>31416600.59</v>
      </c>
      <c r="K38" s="833">
        <f t="shared" si="8"/>
        <v>2.3162661912834365E-2</v>
      </c>
      <c r="L38" s="834">
        <f>IF($B38&lt;=$F$4,($D38-$H38)/'3.1 Delinquency Data'!C38,"")</f>
        <v>2.7513026933474048E-3</v>
      </c>
      <c r="M38" s="314"/>
      <c r="Q38" s="829"/>
      <c r="R38" s="837"/>
      <c r="S38" s="837"/>
      <c r="U38" s="25"/>
      <c r="V38" s="25"/>
      <c r="W38" s="801"/>
    </row>
    <row r="39" spans="1:23" ht="13">
      <c r="A39" s="239"/>
      <c r="B39" s="419">
        <v>19</v>
      </c>
      <c r="C39" s="832">
        <f t="shared" si="0"/>
        <v>2047</v>
      </c>
      <c r="D39" s="907">
        <f t="shared" si="1"/>
        <v>2579043.2799999998</v>
      </c>
      <c r="E39" s="907">
        <f t="shared" si="2"/>
        <v>34638777.909999996</v>
      </c>
      <c r="F39" s="907">
        <f t="shared" si="3"/>
        <v>1356346723.3699999</v>
      </c>
      <c r="G39" s="833">
        <f t="shared" si="4"/>
        <v>2.5538291436230955E-2</v>
      </c>
      <c r="H39" s="908">
        <f t="shared" si="5"/>
        <v>85179.61</v>
      </c>
      <c r="I39" s="909">
        <f t="shared" si="6"/>
        <v>728313.65</v>
      </c>
      <c r="J39" s="908">
        <f t="shared" si="7"/>
        <v>33910464.259999998</v>
      </c>
      <c r="K39" s="833">
        <f t="shared" si="8"/>
        <v>2.5001324274773581E-2</v>
      </c>
      <c r="L39" s="834">
        <f>IF($B39&lt;=$F$4,($D39-$H39)/'3.1 Delinquency Data'!C39,"")</f>
        <v>2.8940176539802649E-3</v>
      </c>
      <c r="M39" s="827"/>
      <c r="O39" s="828"/>
      <c r="P39" s="25"/>
      <c r="Q39" s="829"/>
      <c r="R39" s="830"/>
      <c r="S39" s="830"/>
      <c r="T39" s="25"/>
      <c r="U39" s="25"/>
      <c r="V39" s="25"/>
      <c r="W39" s="25"/>
    </row>
    <row r="40" spans="1:23">
      <c r="A40" s="239"/>
      <c r="B40" s="419">
        <v>20</v>
      </c>
      <c r="C40" s="832">
        <f t="shared" si="0"/>
        <v>2203</v>
      </c>
      <c r="D40" s="907">
        <f t="shared" si="1"/>
        <v>2921086.77</v>
      </c>
      <c r="E40" s="907">
        <f t="shared" si="2"/>
        <v>37559864.68</v>
      </c>
      <c r="F40" s="907">
        <f t="shared" si="3"/>
        <v>1356346723.3699999</v>
      </c>
      <c r="G40" s="833">
        <f t="shared" si="4"/>
        <v>2.7691934542134013E-2</v>
      </c>
      <c r="H40" s="908">
        <f t="shared" si="5"/>
        <v>126049.62</v>
      </c>
      <c r="I40" s="909">
        <f t="shared" si="6"/>
        <v>854363.27</v>
      </c>
      <c r="J40" s="908">
        <f t="shared" si="7"/>
        <v>36705501.409999996</v>
      </c>
      <c r="K40" s="833">
        <f t="shared" si="8"/>
        <v>2.7062034196389646E-2</v>
      </c>
      <c r="L40" s="834">
        <f>IF($B40&lt;=$F$4,($D40-$H40)/'3.1 Delinquency Data'!C40,"")</f>
        <v>3.3472163859543198E-3</v>
      </c>
      <c r="M40" s="314"/>
      <c r="N40" s="25"/>
      <c r="O40" s="25"/>
      <c r="P40" s="25"/>
      <c r="Q40" s="829"/>
      <c r="R40" s="830"/>
      <c r="S40" s="829"/>
      <c r="T40" s="25"/>
      <c r="U40" s="694"/>
      <c r="V40" s="25"/>
      <c r="W40" s="25"/>
    </row>
    <row r="41" spans="1:23">
      <c r="A41" s="239"/>
      <c r="B41" s="419">
        <v>21</v>
      </c>
      <c r="C41" s="832">
        <f t="shared" si="0"/>
        <v>2351</v>
      </c>
      <c r="D41" s="907">
        <f t="shared" si="1"/>
        <v>2188612.4500000002</v>
      </c>
      <c r="E41" s="907">
        <f t="shared" si="2"/>
        <v>39748477.130000003</v>
      </c>
      <c r="F41" s="907">
        <f t="shared" si="3"/>
        <v>1356346723.3699999</v>
      </c>
      <c r="G41" s="833">
        <f t="shared" si="4"/>
        <v>2.93055429302327E-2</v>
      </c>
      <c r="H41" s="908">
        <f t="shared" si="5"/>
        <v>124758.21</v>
      </c>
      <c r="I41" s="909">
        <f t="shared" si="6"/>
        <v>979121.48</v>
      </c>
      <c r="J41" s="908">
        <f t="shared" si="7"/>
        <v>38769355.649999999</v>
      </c>
      <c r="K41" s="833">
        <f t="shared" si="8"/>
        <v>2.8583661524004021E-2</v>
      </c>
      <c r="L41" s="834">
        <f>IF($B41&lt;=$F$4,($D41-$H41)/'3.1 Delinquency Data'!C41,"")</f>
        <v>2.5536131878892065E-3</v>
      </c>
      <c r="M41" s="314"/>
      <c r="N41" s="25"/>
      <c r="O41" s="25"/>
      <c r="P41" s="25"/>
      <c r="Q41" s="829"/>
      <c r="R41" s="830"/>
      <c r="S41" s="829"/>
      <c r="T41" s="25"/>
      <c r="U41" s="694"/>
      <c r="V41" s="25"/>
      <c r="W41" s="25"/>
    </row>
    <row r="42" spans="1:23" ht="13">
      <c r="A42" s="239"/>
      <c r="B42" s="419">
        <v>22</v>
      </c>
      <c r="C42" s="832">
        <f t="shared" si="0"/>
        <v>2514</v>
      </c>
      <c r="D42" s="907">
        <f t="shared" si="1"/>
        <v>2795134.13</v>
      </c>
      <c r="E42" s="907">
        <f t="shared" si="2"/>
        <v>42543611.259999998</v>
      </c>
      <c r="F42" s="907">
        <f t="shared" si="3"/>
        <v>1356346723.3699999</v>
      </c>
      <c r="G42" s="833">
        <f t="shared" si="4"/>
        <v>3.1366324352740338E-2</v>
      </c>
      <c r="H42" s="908">
        <f t="shared" si="5"/>
        <v>174170.57</v>
      </c>
      <c r="I42" s="909">
        <f t="shared" si="6"/>
        <v>1153292.05</v>
      </c>
      <c r="J42" s="908">
        <f t="shared" si="7"/>
        <v>41390319.210000001</v>
      </c>
      <c r="K42" s="833">
        <f t="shared" si="8"/>
        <v>3.0516031407633714E-2</v>
      </c>
      <c r="L42" s="834">
        <f>IF($B42&lt;=$F$4,($D42-$H42)/'3.1 Delinquency Data'!C42,"")</f>
        <v>3.3507734547735006E-3</v>
      </c>
      <c r="M42" s="314"/>
      <c r="N42" s="25"/>
      <c r="O42" s="835"/>
      <c r="P42" s="25"/>
      <c r="Q42" s="829"/>
      <c r="R42" s="830"/>
      <c r="S42" s="830"/>
      <c r="T42" s="25"/>
      <c r="U42" s="25"/>
      <c r="V42" s="25"/>
      <c r="W42" s="800"/>
    </row>
    <row r="43" spans="1:23" ht="13">
      <c r="A43" s="239"/>
      <c r="B43" s="419">
        <v>23</v>
      </c>
      <c r="C43" s="832">
        <f t="shared" si="0"/>
        <v>2648</v>
      </c>
      <c r="D43" s="907">
        <f t="shared" si="1"/>
        <v>2156780.79</v>
      </c>
      <c r="E43" s="907">
        <f t="shared" si="2"/>
        <v>44700392.049999997</v>
      </c>
      <c r="F43" s="907">
        <f t="shared" si="3"/>
        <v>1356346723.3699999</v>
      </c>
      <c r="G43" s="833">
        <f t="shared" si="4"/>
        <v>3.2956464066162011E-2</v>
      </c>
      <c r="H43" s="908">
        <f t="shared" si="5"/>
        <v>140516.25</v>
      </c>
      <c r="I43" s="909">
        <f t="shared" si="6"/>
        <v>1293808.3</v>
      </c>
      <c r="J43" s="908">
        <f t="shared" si="7"/>
        <v>43406583.75</v>
      </c>
      <c r="K43" s="833">
        <f t="shared" si="8"/>
        <v>3.2002572057793104E-2</v>
      </c>
      <c r="L43" s="834">
        <f>IF($B43&lt;=$F$4,($D43-$H43)/'3.1 Delinquency Data'!C43,"")</f>
        <v>2.6618878103849765E-3</v>
      </c>
      <c r="M43" s="314"/>
      <c r="O43" s="25"/>
      <c r="P43" s="25"/>
      <c r="Q43" s="829"/>
      <c r="R43" s="830"/>
      <c r="S43" s="830"/>
      <c r="T43" s="25"/>
      <c r="U43" s="25"/>
      <c r="V43" s="25"/>
      <c r="W43" s="805"/>
    </row>
    <row r="44" spans="1:23" ht="13">
      <c r="A44" s="239"/>
      <c r="B44" s="419">
        <v>24</v>
      </c>
      <c r="C44" s="832">
        <f t="shared" si="0"/>
        <v>2767</v>
      </c>
      <c r="D44" s="907">
        <f t="shared" si="1"/>
        <v>2165273.4500000002</v>
      </c>
      <c r="E44" s="907">
        <f t="shared" si="2"/>
        <v>46865665.5</v>
      </c>
      <c r="F44" s="907">
        <f t="shared" si="3"/>
        <v>1356346723.3699999</v>
      </c>
      <c r="G44" s="833">
        <f t="shared" si="4"/>
        <v>3.4552865202163677E-2</v>
      </c>
      <c r="H44" s="908">
        <f t="shared" si="5"/>
        <v>168408.8</v>
      </c>
      <c r="I44" s="909">
        <f t="shared" si="6"/>
        <v>1462217.1</v>
      </c>
      <c r="J44" s="908">
        <f t="shared" si="7"/>
        <v>45403448.399999999</v>
      </c>
      <c r="K44" s="833">
        <f t="shared" si="8"/>
        <v>3.3474809661640119E-2</v>
      </c>
      <c r="L44" s="834">
        <f>IF($B44&lt;=$F$4,($D44-$H44)/'3.1 Delinquency Data'!C44,"")</f>
        <v>2.7301978777547072E-3</v>
      </c>
      <c r="M44" s="827"/>
      <c r="O44" s="828"/>
      <c r="P44" s="25"/>
      <c r="Q44" s="829"/>
      <c r="R44" s="830"/>
      <c r="S44" s="830"/>
      <c r="T44" s="25"/>
      <c r="U44" s="25"/>
      <c r="V44" s="25"/>
      <c r="W44" s="694"/>
    </row>
    <row r="45" spans="1:23">
      <c r="A45" s="239"/>
      <c r="B45" s="419">
        <v>25</v>
      </c>
      <c r="C45" s="832">
        <f t="shared" si="0"/>
        <v>2914</v>
      </c>
      <c r="D45" s="907">
        <f t="shared" si="1"/>
        <v>1775933.09</v>
      </c>
      <c r="E45" s="907">
        <f t="shared" si="2"/>
        <v>48641598.590000004</v>
      </c>
      <c r="F45" s="907">
        <f t="shared" si="3"/>
        <v>1356346723.3699999</v>
      </c>
      <c r="G45" s="833">
        <f t="shared" si="4"/>
        <v>3.5862215576518912E-2</v>
      </c>
      <c r="H45" s="908">
        <f t="shared" si="5"/>
        <v>161828.49</v>
      </c>
      <c r="I45" s="909">
        <f t="shared" si="6"/>
        <v>1624045.59</v>
      </c>
      <c r="J45" s="908">
        <f t="shared" si="7"/>
        <v>47017553</v>
      </c>
      <c r="K45" s="833">
        <f t="shared" si="8"/>
        <v>3.4664847999322373E-2</v>
      </c>
      <c r="L45" s="834">
        <f>IF($B45&lt;=$F$4,($D45-$H45)/'3.1 Delinquency Data'!C45,"")</f>
        <v>2.2801104131578219E-3</v>
      </c>
      <c r="M45" s="314"/>
      <c r="N45" s="25"/>
      <c r="O45" s="25"/>
      <c r="P45" s="25"/>
      <c r="Q45" s="829"/>
      <c r="R45" s="830"/>
      <c r="S45" s="829"/>
      <c r="T45" s="25"/>
      <c r="U45" s="694"/>
      <c r="V45" s="25"/>
      <c r="W45" s="25"/>
    </row>
    <row r="46" spans="1:23">
      <c r="A46" s="239"/>
      <c r="B46" s="419">
        <v>26</v>
      </c>
      <c r="C46" s="832">
        <f t="shared" si="0"/>
        <v>3058</v>
      </c>
      <c r="D46" s="907">
        <f t="shared" si="1"/>
        <v>2114906.71</v>
      </c>
      <c r="E46" s="907">
        <f t="shared" si="2"/>
        <v>50756505.299999997</v>
      </c>
      <c r="F46" s="907">
        <f t="shared" si="3"/>
        <v>1356346723.3699999</v>
      </c>
      <c r="G46" s="833">
        <f t="shared" si="4"/>
        <v>3.7421482593985707E-2</v>
      </c>
      <c r="H46" s="908">
        <f t="shared" si="5"/>
        <v>126522.33</v>
      </c>
      <c r="I46" s="909">
        <f t="shared" si="6"/>
        <v>1750567.92</v>
      </c>
      <c r="J46" s="908">
        <f t="shared" si="7"/>
        <v>49005937.380000003</v>
      </c>
      <c r="K46" s="833">
        <f t="shared" si="8"/>
        <v>3.6130833315421801E-2</v>
      </c>
      <c r="L46" s="834">
        <f>IF($B46&lt;=$F$4,($D46-$H46)/'3.1 Delinquency Data'!C46,"")</f>
        <v>2.8974808983748463E-3</v>
      </c>
      <c r="M46" s="314"/>
      <c r="N46" s="25"/>
      <c r="O46" s="25"/>
      <c r="P46" s="25"/>
      <c r="Q46" s="829"/>
      <c r="R46" s="830"/>
      <c r="S46" s="829"/>
      <c r="T46" s="25"/>
      <c r="U46" s="694"/>
      <c r="V46" s="25"/>
      <c r="W46" s="25"/>
    </row>
    <row r="47" spans="1:23">
      <c r="A47" s="239"/>
      <c r="B47" s="419">
        <v>27</v>
      </c>
      <c r="C47" s="832">
        <f t="shared" si="0"/>
        <v>3178</v>
      </c>
      <c r="D47" s="907">
        <f t="shared" si="1"/>
        <v>1838786.74</v>
      </c>
      <c r="E47" s="907">
        <f t="shared" si="2"/>
        <v>52595292.039999999</v>
      </c>
      <c r="F47" s="907">
        <f t="shared" si="3"/>
        <v>1356346723.3699999</v>
      </c>
      <c r="G47" s="833">
        <f t="shared" si="4"/>
        <v>3.8777173368562373E-2</v>
      </c>
      <c r="H47" s="908">
        <f t="shared" si="5"/>
        <v>250063.51</v>
      </c>
      <c r="I47" s="909">
        <f t="shared" si="6"/>
        <v>2000631.43</v>
      </c>
      <c r="J47" s="908">
        <f t="shared" si="7"/>
        <v>50594660.609999999</v>
      </c>
      <c r="K47" s="833">
        <f t="shared" si="8"/>
        <v>3.7302158613464059E-2</v>
      </c>
      <c r="L47" s="834">
        <f>IF($B47&lt;=$F$4,($D47-$H47)/'3.1 Delinquency Data'!C47,"")</f>
        <v>2.3943711279327878E-3</v>
      </c>
      <c r="M47" s="314"/>
      <c r="N47" s="25"/>
      <c r="O47" s="835"/>
      <c r="P47" s="25"/>
      <c r="Q47" s="829"/>
      <c r="R47" s="830"/>
      <c r="S47" s="830"/>
      <c r="T47" s="25"/>
      <c r="U47" s="25"/>
      <c r="V47" s="25"/>
      <c r="W47" s="25"/>
    </row>
    <row r="48" spans="1:23" ht="12.75" customHeight="1">
      <c r="A48" s="239"/>
      <c r="B48" s="419">
        <v>28</v>
      </c>
      <c r="C48" s="832">
        <f t="shared" si="0"/>
        <v>3325</v>
      </c>
      <c r="D48" s="907">
        <f t="shared" si="1"/>
        <v>2047574.29</v>
      </c>
      <c r="E48" s="907">
        <f t="shared" si="2"/>
        <v>54642866.329999998</v>
      </c>
      <c r="F48" s="907">
        <f t="shared" si="3"/>
        <v>1356346723.3699999</v>
      </c>
      <c r="G48" s="833">
        <f t="shared" si="4"/>
        <v>4.0286797902407648E-2</v>
      </c>
      <c r="H48" s="908">
        <f t="shared" si="5"/>
        <v>98171.26</v>
      </c>
      <c r="I48" s="909">
        <f t="shared" si="6"/>
        <v>2098802.69</v>
      </c>
      <c r="J48" s="908">
        <f t="shared" si="7"/>
        <v>52544063.640000001</v>
      </c>
      <c r="K48" s="833">
        <f t="shared" si="8"/>
        <v>3.8739403969988005E-2</v>
      </c>
      <c r="L48" s="834">
        <f>IF($B48&lt;=$F$4,($D48-$H48)/'3.1 Delinquency Data'!C48,"")</f>
        <v>3.0275930886063487E-3</v>
      </c>
      <c r="M48" s="314"/>
      <c r="Q48" s="843"/>
      <c r="S48" s="844"/>
      <c r="U48" s="25"/>
      <c r="V48" s="25"/>
      <c r="W48" s="25"/>
    </row>
    <row r="49" spans="1:23" ht="12.75" customHeight="1">
      <c r="A49" s="239"/>
      <c r="B49" s="419">
        <v>29</v>
      </c>
      <c r="C49" s="832">
        <f t="shared" si="0"/>
        <v>3453</v>
      </c>
      <c r="D49" s="907">
        <f t="shared" si="1"/>
        <v>2027648.77</v>
      </c>
      <c r="E49" s="907">
        <f t="shared" si="2"/>
        <v>56670515.100000001</v>
      </c>
      <c r="F49" s="907">
        <f t="shared" si="3"/>
        <v>1356346723.3699999</v>
      </c>
      <c r="G49" s="833">
        <f t="shared" si="4"/>
        <v>4.178173185628787E-2</v>
      </c>
      <c r="H49" s="908">
        <f t="shared" si="5"/>
        <v>170484.58</v>
      </c>
      <c r="I49" s="909">
        <f t="shared" si="6"/>
        <v>2269287.27</v>
      </c>
      <c r="J49" s="908">
        <f t="shared" si="7"/>
        <v>54401227.829999998</v>
      </c>
      <c r="K49" s="833">
        <f t="shared" si="8"/>
        <v>4.0108643971825925E-2</v>
      </c>
      <c r="L49" s="834">
        <f>IF($B49&lt;=$F$4,($D49-$H49)/'3.1 Delinquency Data'!C49,"")</f>
        <v>2.9620701856015422E-3</v>
      </c>
      <c r="M49" s="314"/>
      <c r="Q49" s="694"/>
      <c r="S49" s="328"/>
      <c r="U49" s="25"/>
      <c r="V49" s="25"/>
      <c r="W49" s="25"/>
    </row>
    <row r="50" spans="1:23">
      <c r="A50" s="239"/>
      <c r="B50" s="419">
        <v>30</v>
      </c>
      <c r="C50" s="832">
        <f t="shared" si="0"/>
        <v>3583</v>
      </c>
      <c r="D50" s="907">
        <f t="shared" si="1"/>
        <v>1812247.89</v>
      </c>
      <c r="E50" s="907">
        <f t="shared" si="2"/>
        <v>58482762.990000002</v>
      </c>
      <c r="F50" s="907">
        <f t="shared" si="3"/>
        <v>1356346723.3699999</v>
      </c>
      <c r="G50" s="833">
        <f t="shared" si="4"/>
        <v>4.3117856210610241E-2</v>
      </c>
      <c r="H50" s="908">
        <f t="shared" si="5"/>
        <v>177051.68</v>
      </c>
      <c r="I50" s="909">
        <f t="shared" si="6"/>
        <v>2446338.9500000002</v>
      </c>
      <c r="J50" s="908">
        <f t="shared" si="7"/>
        <v>56036424.039999999</v>
      </c>
      <c r="K50" s="833">
        <f t="shared" si="8"/>
        <v>4.1314232618021911E-2</v>
      </c>
      <c r="L50" s="834">
        <f>IF($B50&lt;=$F$4,($D50-$H50)/'3.1 Delinquency Data'!C50,"")</f>
        <v>2.7001549551251463E-3</v>
      </c>
      <c r="M50" s="314"/>
    </row>
    <row r="51" spans="1:23">
      <c r="A51" s="239"/>
      <c r="B51" s="419">
        <v>31</v>
      </c>
      <c r="C51" s="832">
        <f t="shared" si="0"/>
        <v>3716</v>
      </c>
      <c r="D51" s="907">
        <f t="shared" si="1"/>
        <v>2137065.71</v>
      </c>
      <c r="E51" s="907">
        <f t="shared" si="2"/>
        <v>60619828.700000003</v>
      </c>
      <c r="F51" s="907">
        <f t="shared" si="3"/>
        <v>1356346723.3699999</v>
      </c>
      <c r="G51" s="833">
        <f t="shared" si="4"/>
        <v>4.4693460496135561E-2</v>
      </c>
      <c r="H51" s="908">
        <f t="shared" si="5"/>
        <v>179364.09</v>
      </c>
      <c r="I51" s="909">
        <f t="shared" si="6"/>
        <v>2625703.04</v>
      </c>
      <c r="J51" s="908">
        <f t="shared" si="7"/>
        <v>57994125.659999996</v>
      </c>
      <c r="K51" s="833">
        <f t="shared" si="8"/>
        <v>4.2757596314242502E-2</v>
      </c>
      <c r="L51" s="834">
        <f>IF($B51&lt;=$F$4,($D51-$H51)/'3.1 Delinquency Data'!C51,"")</f>
        <v>3.3364642403014423E-3</v>
      </c>
      <c r="M51" s="314"/>
      <c r="S51" s="270"/>
    </row>
    <row r="52" spans="1:23">
      <c r="A52" s="239"/>
      <c r="B52" s="419">
        <v>32</v>
      </c>
      <c r="C52" s="832">
        <f t="shared" si="0"/>
        <v>3815</v>
      </c>
      <c r="D52" s="907">
        <f t="shared" si="1"/>
        <v>1652722.26</v>
      </c>
      <c r="E52" s="907">
        <f t="shared" si="2"/>
        <v>62272550.960000001</v>
      </c>
      <c r="F52" s="907">
        <f t="shared" si="3"/>
        <v>1356346723.3699999</v>
      </c>
      <c r="G52" s="833">
        <f t="shared" si="4"/>
        <v>4.5911970653990788E-2</v>
      </c>
      <c r="H52" s="908">
        <f t="shared" si="5"/>
        <v>121340.66</v>
      </c>
      <c r="I52" s="909">
        <f t="shared" si="6"/>
        <v>2747043.7</v>
      </c>
      <c r="J52" s="908">
        <f t="shared" si="7"/>
        <v>59525507.259999998</v>
      </c>
      <c r="K52" s="833">
        <f t="shared" si="8"/>
        <v>4.3886645084453037E-2</v>
      </c>
      <c r="L52" s="834">
        <f>IF($B52&lt;=$F$4,($D52-$H52)/'3.1 Delinquency Data'!C52,"")</f>
        <v>2.693877004969438E-3</v>
      </c>
      <c r="M52" s="314"/>
      <c r="S52" s="270"/>
    </row>
    <row r="53" spans="1:23">
      <c r="A53" s="239"/>
      <c r="B53" s="419">
        <v>33</v>
      </c>
      <c r="C53" s="832">
        <f t="shared" ref="C53:C84" si="9">IF(B53&lt;=$F$4,VLOOKUP(CONCATENATE("defaults_",$B53),defaults,2,0),"")</f>
        <v>3928</v>
      </c>
      <c r="D53" s="907">
        <f t="shared" ref="D53:D84" si="10">IF(B53&lt;=$F$4,VLOOKUP(CONCATENATE("defaults_",$B53),defaults,3,0),"")</f>
        <v>1573027.58</v>
      </c>
      <c r="E53" s="907">
        <f t="shared" ref="E53:E84" si="11">IF(B53&lt;=$F$4,VLOOKUP(CONCATENATE("defaults_",$B53),defaults,4,0),"")</f>
        <v>63845578.539999999</v>
      </c>
      <c r="F53" s="907">
        <f t="shared" ref="F53:F84" si="12">IF(B53&lt;=$F$4,VLOOKUP(CONCATENATE("defaults_",$B53),defaults,5,0),"")</f>
        <v>1356346723.3699999</v>
      </c>
      <c r="G53" s="833">
        <f t="shared" ref="G53:G84" si="13">IF(B53&lt;=$F$4,VLOOKUP(CONCATENATE("defaults_",$B53),defaults,6,0),"")</f>
        <v>4.7071723947817917E-2</v>
      </c>
      <c r="H53" s="908">
        <f t="shared" ref="H53:H84" si="14">IF(B53&lt;=$F$4,VLOOKUP(CONCATENATE("defaults_",$B53),defaults,7,0),"")</f>
        <v>154016.49</v>
      </c>
      <c r="I53" s="909">
        <f t="shared" ref="I53:I84" si="15">IF(B53&lt;=$F$4,VLOOKUP(CONCATENATE("defaults_",$B53),defaults,8,0),"")</f>
        <v>2901060.19</v>
      </c>
      <c r="J53" s="908">
        <f t="shared" ref="J53:J84" si="16">IF(B53&lt;=$F$4,VLOOKUP(CONCATENATE("defaults_",$B53),defaults,9,0),"")</f>
        <v>60944518.350000001</v>
      </c>
      <c r="K53" s="833">
        <f t="shared" ref="K53:K84" si="17">IF(B53&lt;=$F$4,VLOOKUP(CONCATENATE("defaults_",$B53),defaults,10,0),"")</f>
        <v>4.4932845930851888E-2</v>
      </c>
      <c r="L53" s="834">
        <f>IF($B53&lt;=$F$4,($D53-$H53)/'3.1 Delinquency Data'!C53,"")</f>
        <v>2.5843785563365168E-3</v>
      </c>
      <c r="M53" s="314"/>
    </row>
    <row r="54" spans="1:23">
      <c r="A54" s="239"/>
      <c r="B54" s="419">
        <v>34</v>
      </c>
      <c r="C54" s="832" t="str">
        <f t="shared" si="9"/>
        <v/>
      </c>
      <c r="D54" s="907" t="str">
        <f t="shared" si="10"/>
        <v/>
      </c>
      <c r="E54" s="907" t="str">
        <f t="shared" si="11"/>
        <v/>
      </c>
      <c r="F54" s="907" t="str">
        <f t="shared" si="12"/>
        <v/>
      </c>
      <c r="G54" s="833" t="str">
        <f t="shared" si="13"/>
        <v/>
      </c>
      <c r="H54" s="908" t="str">
        <f t="shared" si="14"/>
        <v/>
      </c>
      <c r="I54" s="909" t="str">
        <f t="shared" si="15"/>
        <v/>
      </c>
      <c r="J54" s="908" t="str">
        <f t="shared" si="16"/>
        <v/>
      </c>
      <c r="K54" s="833" t="str">
        <f t="shared" si="17"/>
        <v/>
      </c>
      <c r="L54" s="834" t="str">
        <f>IF($B54&lt;=$F$4,($D54-$H54)/'3.1 Delinquency Data'!C54,"")</f>
        <v/>
      </c>
      <c r="M54" s="314"/>
      <c r="N54" s="814"/>
      <c r="O54" s="815"/>
      <c r="Q54" s="815"/>
      <c r="S54" s="270"/>
    </row>
    <row r="55" spans="1:23">
      <c r="A55" s="239"/>
      <c r="B55" s="419">
        <v>35</v>
      </c>
      <c r="C55" s="832" t="str">
        <f t="shared" si="9"/>
        <v/>
      </c>
      <c r="D55" s="907" t="str">
        <f t="shared" si="10"/>
        <v/>
      </c>
      <c r="E55" s="907" t="str">
        <f t="shared" si="11"/>
        <v/>
      </c>
      <c r="F55" s="907" t="str">
        <f t="shared" si="12"/>
        <v/>
      </c>
      <c r="G55" s="833" t="str">
        <f t="shared" si="13"/>
        <v/>
      </c>
      <c r="H55" s="908" t="str">
        <f t="shared" si="14"/>
        <v/>
      </c>
      <c r="I55" s="909" t="str">
        <f t="shared" si="15"/>
        <v/>
      </c>
      <c r="J55" s="908" t="str">
        <f t="shared" si="16"/>
        <v/>
      </c>
      <c r="K55" s="833" t="str">
        <f t="shared" si="17"/>
        <v/>
      </c>
      <c r="L55" s="834" t="str">
        <f>IF($B55&lt;=$F$4,($D55-$H55)/'3.1 Delinquency Data'!C55,"")</f>
        <v/>
      </c>
      <c r="M55" s="314"/>
      <c r="N55" s="814"/>
      <c r="O55" s="815"/>
      <c r="Q55" s="815"/>
    </row>
    <row r="56" spans="1:23">
      <c r="A56" s="239"/>
      <c r="B56" s="419">
        <v>36</v>
      </c>
      <c r="C56" s="832" t="str">
        <f t="shared" si="9"/>
        <v/>
      </c>
      <c r="D56" s="907" t="str">
        <f t="shared" si="10"/>
        <v/>
      </c>
      <c r="E56" s="907" t="str">
        <f t="shared" si="11"/>
        <v/>
      </c>
      <c r="F56" s="907" t="str">
        <f t="shared" si="12"/>
        <v/>
      </c>
      <c r="G56" s="833" t="str">
        <f t="shared" si="13"/>
        <v/>
      </c>
      <c r="H56" s="908" t="str">
        <f t="shared" si="14"/>
        <v/>
      </c>
      <c r="I56" s="909" t="str">
        <f t="shared" si="15"/>
        <v/>
      </c>
      <c r="J56" s="908" t="str">
        <f t="shared" si="16"/>
        <v/>
      </c>
      <c r="K56" s="833" t="str">
        <f t="shared" si="17"/>
        <v/>
      </c>
      <c r="L56" s="834" t="str">
        <f>IF($B56&lt;=$F$4,($D56-$H56)/'3.1 Delinquency Data'!C56,"")</f>
        <v/>
      </c>
      <c r="M56" s="314"/>
    </row>
    <row r="57" spans="1:23">
      <c r="A57" s="239"/>
      <c r="B57" s="419">
        <v>37</v>
      </c>
      <c r="C57" s="832" t="str">
        <f t="shared" si="9"/>
        <v/>
      </c>
      <c r="D57" s="907" t="str">
        <f t="shared" si="10"/>
        <v/>
      </c>
      <c r="E57" s="907" t="str">
        <f t="shared" si="11"/>
        <v/>
      </c>
      <c r="F57" s="907" t="str">
        <f t="shared" si="12"/>
        <v/>
      </c>
      <c r="G57" s="833" t="str">
        <f t="shared" si="13"/>
        <v/>
      </c>
      <c r="H57" s="908" t="str">
        <f t="shared" si="14"/>
        <v/>
      </c>
      <c r="I57" s="909" t="str">
        <f t="shared" si="15"/>
        <v/>
      </c>
      <c r="J57" s="908" t="str">
        <f t="shared" si="16"/>
        <v/>
      </c>
      <c r="K57" s="833" t="str">
        <f t="shared" si="17"/>
        <v/>
      </c>
      <c r="L57" s="834" t="str">
        <f>IF($B57&lt;=$F$4,($D57-$H57)/'3.1 Delinquency Data'!C57,"")</f>
        <v/>
      </c>
      <c r="M57" s="314"/>
      <c r="N57" s="814"/>
      <c r="O57" s="814"/>
      <c r="P57" s="814"/>
      <c r="Q57" s="814"/>
    </row>
    <row r="58" spans="1:23">
      <c r="A58" s="239"/>
      <c r="B58" s="419">
        <v>38</v>
      </c>
      <c r="C58" s="832" t="str">
        <f t="shared" si="9"/>
        <v/>
      </c>
      <c r="D58" s="907" t="str">
        <f t="shared" si="10"/>
        <v/>
      </c>
      <c r="E58" s="907" t="str">
        <f t="shared" si="11"/>
        <v/>
      </c>
      <c r="F58" s="907" t="str">
        <f t="shared" si="12"/>
        <v/>
      </c>
      <c r="G58" s="833" t="str">
        <f t="shared" si="13"/>
        <v/>
      </c>
      <c r="H58" s="908" t="str">
        <f t="shared" si="14"/>
        <v/>
      </c>
      <c r="I58" s="909" t="str">
        <f t="shared" si="15"/>
        <v/>
      </c>
      <c r="J58" s="908" t="str">
        <f t="shared" si="16"/>
        <v/>
      </c>
      <c r="K58" s="833" t="str">
        <f t="shared" si="17"/>
        <v/>
      </c>
      <c r="L58" s="834" t="str">
        <f>IF($B58&lt;=$F$4,($D58-$H58)/'3.1 Delinquency Data'!C58,"")</f>
        <v/>
      </c>
      <c r="M58" s="314"/>
    </row>
    <row r="59" spans="1:23">
      <c r="A59" s="239"/>
      <c r="B59" s="419">
        <v>39</v>
      </c>
      <c r="C59" s="832" t="str">
        <f t="shared" si="9"/>
        <v/>
      </c>
      <c r="D59" s="907" t="str">
        <f t="shared" si="10"/>
        <v/>
      </c>
      <c r="E59" s="907" t="str">
        <f t="shared" si="11"/>
        <v/>
      </c>
      <c r="F59" s="907" t="str">
        <f t="shared" si="12"/>
        <v/>
      </c>
      <c r="G59" s="833" t="str">
        <f t="shared" si="13"/>
        <v/>
      </c>
      <c r="H59" s="908" t="str">
        <f t="shared" si="14"/>
        <v/>
      </c>
      <c r="I59" s="909" t="str">
        <f t="shared" si="15"/>
        <v/>
      </c>
      <c r="J59" s="908" t="str">
        <f t="shared" si="16"/>
        <v/>
      </c>
      <c r="K59" s="833" t="str">
        <f t="shared" si="17"/>
        <v/>
      </c>
      <c r="L59" s="834" t="str">
        <f>IF($B59&lt;=$F$4,($D59-$H59)/'3.1 Delinquency Data'!C59,"")</f>
        <v/>
      </c>
      <c r="M59" s="314"/>
    </row>
    <row r="60" spans="1:23">
      <c r="A60" s="239"/>
      <c r="B60" s="419">
        <v>40</v>
      </c>
      <c r="C60" s="832" t="str">
        <f t="shared" si="9"/>
        <v/>
      </c>
      <c r="D60" s="907" t="str">
        <f t="shared" si="10"/>
        <v/>
      </c>
      <c r="E60" s="907" t="str">
        <f t="shared" si="11"/>
        <v/>
      </c>
      <c r="F60" s="907" t="str">
        <f t="shared" si="12"/>
        <v/>
      </c>
      <c r="G60" s="833" t="str">
        <f t="shared" si="13"/>
        <v/>
      </c>
      <c r="H60" s="908" t="str">
        <f t="shared" si="14"/>
        <v/>
      </c>
      <c r="I60" s="909" t="str">
        <f t="shared" si="15"/>
        <v/>
      </c>
      <c r="J60" s="908" t="str">
        <f t="shared" si="16"/>
        <v/>
      </c>
      <c r="K60" s="833" t="str">
        <f t="shared" si="17"/>
        <v/>
      </c>
      <c r="L60" s="834" t="str">
        <f>IF($B60&lt;=$F$4,($D60-$H60)/'3.1 Delinquency Data'!C60,"")</f>
        <v/>
      </c>
      <c r="M60" s="314"/>
    </row>
    <row r="61" spans="1:23">
      <c r="A61" s="239"/>
      <c r="B61" s="419">
        <v>41</v>
      </c>
      <c r="C61" s="832" t="str">
        <f t="shared" si="9"/>
        <v/>
      </c>
      <c r="D61" s="907" t="str">
        <f t="shared" si="10"/>
        <v/>
      </c>
      <c r="E61" s="907" t="str">
        <f t="shared" si="11"/>
        <v/>
      </c>
      <c r="F61" s="907" t="str">
        <f t="shared" si="12"/>
        <v/>
      </c>
      <c r="G61" s="833" t="str">
        <f t="shared" si="13"/>
        <v/>
      </c>
      <c r="H61" s="908" t="str">
        <f t="shared" si="14"/>
        <v/>
      </c>
      <c r="I61" s="909" t="str">
        <f t="shared" si="15"/>
        <v/>
      </c>
      <c r="J61" s="908" t="str">
        <f t="shared" si="16"/>
        <v/>
      </c>
      <c r="K61" s="833" t="str">
        <f t="shared" si="17"/>
        <v/>
      </c>
      <c r="L61" s="834" t="str">
        <f>IF($B61&lt;=$F$4,($D61-$H61)/'3.1 Delinquency Data'!C61,"")</f>
        <v/>
      </c>
      <c r="M61" s="314"/>
    </row>
    <row r="62" spans="1:23">
      <c r="A62" s="239"/>
      <c r="B62" s="419">
        <v>42</v>
      </c>
      <c r="C62" s="832" t="str">
        <f t="shared" si="9"/>
        <v/>
      </c>
      <c r="D62" s="907" t="str">
        <f t="shared" si="10"/>
        <v/>
      </c>
      <c r="E62" s="907" t="str">
        <f t="shared" si="11"/>
        <v/>
      </c>
      <c r="F62" s="907" t="str">
        <f t="shared" si="12"/>
        <v/>
      </c>
      <c r="G62" s="833" t="str">
        <f t="shared" si="13"/>
        <v/>
      </c>
      <c r="H62" s="908" t="str">
        <f t="shared" si="14"/>
        <v/>
      </c>
      <c r="I62" s="909" t="str">
        <f t="shared" si="15"/>
        <v/>
      </c>
      <c r="J62" s="908" t="str">
        <f t="shared" si="16"/>
        <v/>
      </c>
      <c r="K62" s="833" t="str">
        <f t="shared" si="17"/>
        <v/>
      </c>
      <c r="L62" s="834" t="str">
        <f>IF($B62&lt;=$F$4,($D62-$H62)/'3.1 Delinquency Data'!C62,"")</f>
        <v/>
      </c>
      <c r="M62" s="314"/>
    </row>
    <row r="63" spans="1:23">
      <c r="A63" s="239"/>
      <c r="B63" s="419">
        <v>43</v>
      </c>
      <c r="C63" s="832" t="str">
        <f t="shared" si="9"/>
        <v/>
      </c>
      <c r="D63" s="907" t="str">
        <f t="shared" si="10"/>
        <v/>
      </c>
      <c r="E63" s="907" t="str">
        <f t="shared" si="11"/>
        <v/>
      </c>
      <c r="F63" s="907" t="str">
        <f t="shared" si="12"/>
        <v/>
      </c>
      <c r="G63" s="833" t="str">
        <f t="shared" si="13"/>
        <v/>
      </c>
      <c r="H63" s="908" t="str">
        <f t="shared" si="14"/>
        <v/>
      </c>
      <c r="I63" s="909" t="str">
        <f t="shared" si="15"/>
        <v/>
      </c>
      <c r="J63" s="908" t="str">
        <f t="shared" si="16"/>
        <v/>
      </c>
      <c r="K63" s="833" t="str">
        <f t="shared" si="17"/>
        <v/>
      </c>
      <c r="L63" s="834" t="str">
        <f>IF($B63&lt;=$F$4,($D63-$H63)/'3.1 Delinquency Data'!C63,"")</f>
        <v/>
      </c>
      <c r="M63" s="314"/>
    </row>
    <row r="64" spans="1:23">
      <c r="A64" s="239"/>
      <c r="B64" s="419">
        <v>44</v>
      </c>
      <c r="C64" s="832" t="str">
        <f t="shared" si="9"/>
        <v/>
      </c>
      <c r="D64" s="907" t="str">
        <f t="shared" si="10"/>
        <v/>
      </c>
      <c r="E64" s="907" t="str">
        <f t="shared" si="11"/>
        <v/>
      </c>
      <c r="F64" s="907" t="str">
        <f t="shared" si="12"/>
        <v/>
      </c>
      <c r="G64" s="833" t="str">
        <f t="shared" si="13"/>
        <v/>
      </c>
      <c r="H64" s="908" t="str">
        <f t="shared" si="14"/>
        <v/>
      </c>
      <c r="I64" s="909" t="str">
        <f t="shared" si="15"/>
        <v/>
      </c>
      <c r="J64" s="908" t="str">
        <f t="shared" si="16"/>
        <v/>
      </c>
      <c r="K64" s="833" t="str">
        <f t="shared" si="17"/>
        <v/>
      </c>
      <c r="L64" s="834" t="str">
        <f>IF($B64&lt;=$F$4,($D64-$H64)/'3.1 Delinquency Data'!C64,"")</f>
        <v/>
      </c>
      <c r="M64" s="314"/>
    </row>
    <row r="65" spans="1:13">
      <c r="A65" s="239"/>
      <c r="B65" s="419">
        <v>45</v>
      </c>
      <c r="C65" s="832" t="str">
        <f t="shared" si="9"/>
        <v/>
      </c>
      <c r="D65" s="907" t="str">
        <f t="shared" si="10"/>
        <v/>
      </c>
      <c r="E65" s="907" t="str">
        <f t="shared" si="11"/>
        <v/>
      </c>
      <c r="F65" s="907" t="str">
        <f t="shared" si="12"/>
        <v/>
      </c>
      <c r="G65" s="833" t="str">
        <f t="shared" si="13"/>
        <v/>
      </c>
      <c r="H65" s="908" t="str">
        <f t="shared" si="14"/>
        <v/>
      </c>
      <c r="I65" s="909" t="str">
        <f t="shared" si="15"/>
        <v/>
      </c>
      <c r="J65" s="908" t="str">
        <f t="shared" si="16"/>
        <v/>
      </c>
      <c r="K65" s="833" t="str">
        <f t="shared" si="17"/>
        <v/>
      </c>
      <c r="L65" s="834" t="str">
        <f>IF($B65&lt;=$F$4,($D65-$H65)/'3.1 Delinquency Data'!C65,"")</f>
        <v/>
      </c>
      <c r="M65" s="314"/>
    </row>
    <row r="66" spans="1:13">
      <c r="A66" s="239"/>
      <c r="B66" s="419">
        <v>46</v>
      </c>
      <c r="C66" s="832" t="str">
        <f t="shared" si="9"/>
        <v/>
      </c>
      <c r="D66" s="907" t="str">
        <f t="shared" si="10"/>
        <v/>
      </c>
      <c r="E66" s="907" t="str">
        <f t="shared" si="11"/>
        <v/>
      </c>
      <c r="F66" s="907" t="str">
        <f t="shared" si="12"/>
        <v/>
      </c>
      <c r="G66" s="833" t="str">
        <f t="shared" si="13"/>
        <v/>
      </c>
      <c r="H66" s="908" t="str">
        <f t="shared" si="14"/>
        <v/>
      </c>
      <c r="I66" s="909" t="str">
        <f t="shared" si="15"/>
        <v/>
      </c>
      <c r="J66" s="908" t="str">
        <f t="shared" si="16"/>
        <v/>
      </c>
      <c r="K66" s="833" t="str">
        <f t="shared" si="17"/>
        <v/>
      </c>
      <c r="L66" s="834" t="str">
        <f>IF($B66&lt;=$F$4,($D66-$H66)/'3.1 Delinquency Data'!C66,"")</f>
        <v/>
      </c>
      <c r="M66" s="314"/>
    </row>
    <row r="67" spans="1:13">
      <c r="A67" s="239"/>
      <c r="B67" s="419">
        <v>47</v>
      </c>
      <c r="C67" s="832" t="str">
        <f t="shared" si="9"/>
        <v/>
      </c>
      <c r="D67" s="907" t="str">
        <f t="shared" si="10"/>
        <v/>
      </c>
      <c r="E67" s="907" t="str">
        <f t="shared" si="11"/>
        <v/>
      </c>
      <c r="F67" s="907" t="str">
        <f t="shared" si="12"/>
        <v/>
      </c>
      <c r="G67" s="833" t="str">
        <f t="shared" si="13"/>
        <v/>
      </c>
      <c r="H67" s="908" t="str">
        <f t="shared" si="14"/>
        <v/>
      </c>
      <c r="I67" s="909" t="str">
        <f t="shared" si="15"/>
        <v/>
      </c>
      <c r="J67" s="908" t="str">
        <f t="shared" si="16"/>
        <v/>
      </c>
      <c r="K67" s="833" t="str">
        <f t="shared" si="17"/>
        <v/>
      </c>
      <c r="L67" s="834" t="str">
        <f>IF($B67&lt;=$F$4,($D67-$H67)/'3.1 Delinquency Data'!C67,"")</f>
        <v/>
      </c>
      <c r="M67" s="314"/>
    </row>
    <row r="68" spans="1:13">
      <c r="A68" s="239"/>
      <c r="B68" s="419">
        <v>48</v>
      </c>
      <c r="C68" s="832" t="str">
        <f t="shared" si="9"/>
        <v/>
      </c>
      <c r="D68" s="907" t="str">
        <f t="shared" si="10"/>
        <v/>
      </c>
      <c r="E68" s="907" t="str">
        <f t="shared" si="11"/>
        <v/>
      </c>
      <c r="F68" s="907" t="str">
        <f t="shared" si="12"/>
        <v/>
      </c>
      <c r="G68" s="833" t="str">
        <f t="shared" si="13"/>
        <v/>
      </c>
      <c r="H68" s="908" t="str">
        <f t="shared" si="14"/>
        <v/>
      </c>
      <c r="I68" s="909" t="str">
        <f t="shared" si="15"/>
        <v/>
      </c>
      <c r="J68" s="908" t="str">
        <f t="shared" si="16"/>
        <v/>
      </c>
      <c r="K68" s="833" t="str">
        <f t="shared" si="17"/>
        <v/>
      </c>
      <c r="L68" s="834" t="str">
        <f>IF($B68&lt;=$F$4,($D68-$H68)/'3.1 Delinquency Data'!C68,"")</f>
        <v/>
      </c>
      <c r="M68" s="314"/>
    </row>
    <row r="69" spans="1:13">
      <c r="A69" s="239"/>
      <c r="B69" s="419">
        <v>49</v>
      </c>
      <c r="C69" s="832" t="str">
        <f t="shared" si="9"/>
        <v/>
      </c>
      <c r="D69" s="907" t="str">
        <f t="shared" si="10"/>
        <v/>
      </c>
      <c r="E69" s="907" t="str">
        <f t="shared" si="11"/>
        <v/>
      </c>
      <c r="F69" s="907" t="str">
        <f t="shared" si="12"/>
        <v/>
      </c>
      <c r="G69" s="833" t="str">
        <f t="shared" si="13"/>
        <v/>
      </c>
      <c r="H69" s="908" t="str">
        <f t="shared" si="14"/>
        <v/>
      </c>
      <c r="I69" s="909" t="str">
        <f t="shared" si="15"/>
        <v/>
      </c>
      <c r="J69" s="908" t="str">
        <f t="shared" si="16"/>
        <v/>
      </c>
      <c r="K69" s="833" t="str">
        <f t="shared" si="17"/>
        <v/>
      </c>
      <c r="L69" s="834" t="str">
        <f>IF($B69&lt;=$F$4,($D69-$H69)/'3.1 Delinquency Data'!C69,"")</f>
        <v/>
      </c>
      <c r="M69" s="314"/>
    </row>
    <row r="70" spans="1:13">
      <c r="A70" s="239"/>
      <c r="B70" s="419">
        <v>50</v>
      </c>
      <c r="C70" s="832" t="str">
        <f t="shared" si="9"/>
        <v/>
      </c>
      <c r="D70" s="907" t="str">
        <f t="shared" si="10"/>
        <v/>
      </c>
      <c r="E70" s="907" t="str">
        <f t="shared" si="11"/>
        <v/>
      </c>
      <c r="F70" s="907" t="str">
        <f t="shared" si="12"/>
        <v/>
      </c>
      <c r="G70" s="833" t="str">
        <f t="shared" si="13"/>
        <v/>
      </c>
      <c r="H70" s="908" t="str">
        <f t="shared" si="14"/>
        <v/>
      </c>
      <c r="I70" s="909" t="str">
        <f t="shared" si="15"/>
        <v/>
      </c>
      <c r="J70" s="908" t="str">
        <f t="shared" si="16"/>
        <v/>
      </c>
      <c r="K70" s="833" t="str">
        <f t="shared" si="17"/>
        <v/>
      </c>
      <c r="L70" s="834" t="str">
        <f>IF($B70&lt;=$F$4,($D70-$H70)/'3.1 Delinquency Data'!C70,"")</f>
        <v/>
      </c>
      <c r="M70" s="314"/>
    </row>
    <row r="71" spans="1:13">
      <c r="A71" s="239"/>
      <c r="B71" s="419">
        <v>51</v>
      </c>
      <c r="C71" s="832" t="str">
        <f t="shared" si="9"/>
        <v/>
      </c>
      <c r="D71" s="907" t="str">
        <f t="shared" si="10"/>
        <v/>
      </c>
      <c r="E71" s="907" t="str">
        <f t="shared" si="11"/>
        <v/>
      </c>
      <c r="F71" s="907" t="str">
        <f t="shared" si="12"/>
        <v/>
      </c>
      <c r="G71" s="833" t="str">
        <f t="shared" si="13"/>
        <v/>
      </c>
      <c r="H71" s="908" t="str">
        <f t="shared" si="14"/>
        <v/>
      </c>
      <c r="I71" s="909" t="str">
        <f t="shared" si="15"/>
        <v/>
      </c>
      <c r="J71" s="908" t="str">
        <f t="shared" si="16"/>
        <v/>
      </c>
      <c r="K71" s="833" t="str">
        <f t="shared" si="17"/>
        <v/>
      </c>
      <c r="L71" s="834" t="str">
        <f>IF($B71&lt;=$F$4,($D71-$H71)/'3.1 Delinquency Data'!C71,"")</f>
        <v/>
      </c>
      <c r="M71" s="314"/>
    </row>
    <row r="72" spans="1:13">
      <c r="A72" s="239"/>
      <c r="B72" s="419">
        <v>52</v>
      </c>
      <c r="C72" s="832" t="str">
        <f t="shared" si="9"/>
        <v/>
      </c>
      <c r="D72" s="907" t="str">
        <f t="shared" si="10"/>
        <v/>
      </c>
      <c r="E72" s="907" t="str">
        <f t="shared" si="11"/>
        <v/>
      </c>
      <c r="F72" s="907" t="str">
        <f t="shared" si="12"/>
        <v/>
      </c>
      <c r="G72" s="833" t="str">
        <f t="shared" si="13"/>
        <v/>
      </c>
      <c r="H72" s="908" t="str">
        <f t="shared" si="14"/>
        <v/>
      </c>
      <c r="I72" s="909" t="str">
        <f t="shared" si="15"/>
        <v/>
      </c>
      <c r="J72" s="908" t="str">
        <f t="shared" si="16"/>
        <v/>
      </c>
      <c r="K72" s="833" t="str">
        <f t="shared" si="17"/>
        <v/>
      </c>
      <c r="L72" s="834" t="str">
        <f>IF($B72&lt;=$F$4,($D72-$H72)/'3.1 Delinquency Data'!C72,"")</f>
        <v/>
      </c>
      <c r="M72" s="314"/>
    </row>
    <row r="73" spans="1:13">
      <c r="A73" s="239"/>
      <c r="B73" s="419">
        <v>53</v>
      </c>
      <c r="C73" s="832" t="str">
        <f t="shared" si="9"/>
        <v/>
      </c>
      <c r="D73" s="907" t="str">
        <f t="shared" si="10"/>
        <v/>
      </c>
      <c r="E73" s="907" t="str">
        <f t="shared" si="11"/>
        <v/>
      </c>
      <c r="F73" s="907" t="str">
        <f t="shared" si="12"/>
        <v/>
      </c>
      <c r="G73" s="833" t="str">
        <f t="shared" si="13"/>
        <v/>
      </c>
      <c r="H73" s="908" t="str">
        <f t="shared" si="14"/>
        <v/>
      </c>
      <c r="I73" s="909" t="str">
        <f t="shared" si="15"/>
        <v/>
      </c>
      <c r="J73" s="908" t="str">
        <f t="shared" si="16"/>
        <v/>
      </c>
      <c r="K73" s="833" t="str">
        <f t="shared" si="17"/>
        <v/>
      </c>
      <c r="L73" s="834" t="str">
        <f>IF($B73&lt;=$F$4,($D73-$H73)/'3.1 Delinquency Data'!C73,"")</f>
        <v/>
      </c>
      <c r="M73" s="314"/>
    </row>
    <row r="74" spans="1:13">
      <c r="A74" s="239"/>
      <c r="B74" s="419">
        <v>54</v>
      </c>
      <c r="C74" s="832" t="str">
        <f t="shared" si="9"/>
        <v/>
      </c>
      <c r="D74" s="907" t="str">
        <f t="shared" si="10"/>
        <v/>
      </c>
      <c r="E74" s="907" t="str">
        <f t="shared" si="11"/>
        <v/>
      </c>
      <c r="F74" s="907" t="str">
        <f t="shared" si="12"/>
        <v/>
      </c>
      <c r="G74" s="833" t="str">
        <f t="shared" si="13"/>
        <v/>
      </c>
      <c r="H74" s="908" t="str">
        <f t="shared" si="14"/>
        <v/>
      </c>
      <c r="I74" s="909" t="str">
        <f t="shared" si="15"/>
        <v/>
      </c>
      <c r="J74" s="908" t="str">
        <f t="shared" si="16"/>
        <v/>
      </c>
      <c r="K74" s="833" t="str">
        <f t="shared" si="17"/>
        <v/>
      </c>
      <c r="L74" s="834" t="str">
        <f>IF($B74&lt;=$F$4,($D74-$H74)/'3.1 Delinquency Data'!C74,"")</f>
        <v/>
      </c>
      <c r="M74" s="314"/>
    </row>
    <row r="75" spans="1:13">
      <c r="A75" s="239"/>
      <c r="B75" s="419">
        <v>55</v>
      </c>
      <c r="C75" s="832" t="str">
        <f t="shared" si="9"/>
        <v/>
      </c>
      <c r="D75" s="907" t="str">
        <f t="shared" si="10"/>
        <v/>
      </c>
      <c r="E75" s="907" t="str">
        <f t="shared" si="11"/>
        <v/>
      </c>
      <c r="F75" s="907" t="str">
        <f t="shared" si="12"/>
        <v/>
      </c>
      <c r="G75" s="833" t="str">
        <f t="shared" si="13"/>
        <v/>
      </c>
      <c r="H75" s="908" t="str">
        <f t="shared" si="14"/>
        <v/>
      </c>
      <c r="I75" s="909" t="str">
        <f t="shared" si="15"/>
        <v/>
      </c>
      <c r="J75" s="908" t="str">
        <f t="shared" si="16"/>
        <v/>
      </c>
      <c r="K75" s="833" t="str">
        <f t="shared" si="17"/>
        <v/>
      </c>
      <c r="L75" s="834" t="str">
        <f>IF($B75&lt;=$F$4,($D75-$H75)/'3.1 Delinquency Data'!C75,"")</f>
        <v/>
      </c>
      <c r="M75" s="314"/>
    </row>
    <row r="76" spans="1:13">
      <c r="A76" s="239"/>
      <c r="B76" s="419">
        <v>56</v>
      </c>
      <c r="C76" s="832" t="str">
        <f t="shared" si="9"/>
        <v/>
      </c>
      <c r="D76" s="907" t="str">
        <f t="shared" si="10"/>
        <v/>
      </c>
      <c r="E76" s="907" t="str">
        <f t="shared" si="11"/>
        <v/>
      </c>
      <c r="F76" s="907" t="str">
        <f t="shared" si="12"/>
        <v/>
      </c>
      <c r="G76" s="833" t="str">
        <f t="shared" si="13"/>
        <v/>
      </c>
      <c r="H76" s="908" t="str">
        <f t="shared" si="14"/>
        <v/>
      </c>
      <c r="I76" s="909" t="str">
        <f t="shared" si="15"/>
        <v/>
      </c>
      <c r="J76" s="908" t="str">
        <f t="shared" si="16"/>
        <v/>
      </c>
      <c r="K76" s="833" t="str">
        <f t="shared" si="17"/>
        <v/>
      </c>
      <c r="L76" s="834" t="str">
        <f>IF($B76&lt;=$F$4,($D76-$H76)/'3.1 Delinquency Data'!C76,"")</f>
        <v/>
      </c>
      <c r="M76" s="314"/>
    </row>
    <row r="77" spans="1:13">
      <c r="A77" s="239"/>
      <c r="B77" s="419">
        <v>57</v>
      </c>
      <c r="C77" s="832" t="str">
        <f t="shared" si="9"/>
        <v/>
      </c>
      <c r="D77" s="907" t="str">
        <f t="shared" si="10"/>
        <v/>
      </c>
      <c r="E77" s="907" t="str">
        <f t="shared" si="11"/>
        <v/>
      </c>
      <c r="F77" s="907" t="str">
        <f t="shared" si="12"/>
        <v/>
      </c>
      <c r="G77" s="833" t="str">
        <f t="shared" si="13"/>
        <v/>
      </c>
      <c r="H77" s="908" t="str">
        <f t="shared" si="14"/>
        <v/>
      </c>
      <c r="I77" s="909" t="str">
        <f t="shared" si="15"/>
        <v/>
      </c>
      <c r="J77" s="908" t="str">
        <f t="shared" si="16"/>
        <v/>
      </c>
      <c r="K77" s="833" t="str">
        <f t="shared" si="17"/>
        <v/>
      </c>
      <c r="L77" s="834" t="str">
        <f>IF($B77&lt;=$F$4,($D77-$H77)/'3.1 Delinquency Data'!C77,"")</f>
        <v/>
      </c>
      <c r="M77" s="314"/>
    </row>
    <row r="78" spans="1:13">
      <c r="A78" s="239"/>
      <c r="B78" s="419">
        <v>58</v>
      </c>
      <c r="C78" s="832" t="str">
        <f t="shared" si="9"/>
        <v/>
      </c>
      <c r="D78" s="907" t="str">
        <f t="shared" si="10"/>
        <v/>
      </c>
      <c r="E78" s="907" t="str">
        <f t="shared" si="11"/>
        <v/>
      </c>
      <c r="F78" s="907" t="str">
        <f t="shared" si="12"/>
        <v/>
      </c>
      <c r="G78" s="833" t="str">
        <f t="shared" si="13"/>
        <v/>
      </c>
      <c r="H78" s="908" t="str">
        <f t="shared" si="14"/>
        <v/>
      </c>
      <c r="I78" s="909" t="str">
        <f t="shared" si="15"/>
        <v/>
      </c>
      <c r="J78" s="908" t="str">
        <f t="shared" si="16"/>
        <v/>
      </c>
      <c r="K78" s="833" t="str">
        <f t="shared" si="17"/>
        <v/>
      </c>
      <c r="L78" s="834" t="str">
        <f>IF($B78&lt;=$F$4,($D78-$H78)/'3.1 Delinquency Data'!C78,"")</f>
        <v/>
      </c>
      <c r="M78" s="314"/>
    </row>
    <row r="79" spans="1:13">
      <c r="A79" s="239"/>
      <c r="B79" s="419">
        <v>59</v>
      </c>
      <c r="C79" s="832" t="str">
        <f t="shared" si="9"/>
        <v/>
      </c>
      <c r="D79" s="907" t="str">
        <f t="shared" si="10"/>
        <v/>
      </c>
      <c r="E79" s="907" t="str">
        <f t="shared" si="11"/>
        <v/>
      </c>
      <c r="F79" s="907" t="str">
        <f t="shared" si="12"/>
        <v/>
      </c>
      <c r="G79" s="833" t="str">
        <f t="shared" si="13"/>
        <v/>
      </c>
      <c r="H79" s="908" t="str">
        <f t="shared" si="14"/>
        <v/>
      </c>
      <c r="I79" s="909" t="str">
        <f t="shared" si="15"/>
        <v/>
      </c>
      <c r="J79" s="908" t="str">
        <f t="shared" si="16"/>
        <v/>
      </c>
      <c r="K79" s="833" t="str">
        <f t="shared" si="17"/>
        <v/>
      </c>
      <c r="L79" s="834" t="str">
        <f>IF($B79&lt;=$F$4,($D79-$H79)/'3.1 Delinquency Data'!C79,"")</f>
        <v/>
      </c>
      <c r="M79" s="314"/>
    </row>
    <row r="80" spans="1:13">
      <c r="A80" s="239"/>
      <c r="B80" s="419">
        <v>60</v>
      </c>
      <c r="C80" s="832" t="str">
        <f t="shared" si="9"/>
        <v/>
      </c>
      <c r="D80" s="907" t="str">
        <f t="shared" si="10"/>
        <v/>
      </c>
      <c r="E80" s="907" t="str">
        <f t="shared" si="11"/>
        <v/>
      </c>
      <c r="F80" s="907" t="str">
        <f t="shared" si="12"/>
        <v/>
      </c>
      <c r="G80" s="833" t="str">
        <f t="shared" si="13"/>
        <v/>
      </c>
      <c r="H80" s="908" t="str">
        <f t="shared" si="14"/>
        <v/>
      </c>
      <c r="I80" s="909" t="str">
        <f t="shared" si="15"/>
        <v/>
      </c>
      <c r="J80" s="908" t="str">
        <f t="shared" si="16"/>
        <v/>
      </c>
      <c r="K80" s="833" t="str">
        <f t="shared" si="17"/>
        <v/>
      </c>
      <c r="L80" s="834" t="str">
        <f>IF($B80&lt;=$F$4,($D80-$H80)/'3.1 Delinquency Data'!C80,"")</f>
        <v/>
      </c>
      <c r="M80" s="314"/>
    </row>
    <row r="81" spans="1:13">
      <c r="A81" s="239"/>
      <c r="B81" s="419">
        <v>61</v>
      </c>
      <c r="C81" s="832" t="str">
        <f t="shared" si="9"/>
        <v/>
      </c>
      <c r="D81" s="907" t="str">
        <f t="shared" si="10"/>
        <v/>
      </c>
      <c r="E81" s="907" t="str">
        <f t="shared" si="11"/>
        <v/>
      </c>
      <c r="F81" s="907" t="str">
        <f t="shared" si="12"/>
        <v/>
      </c>
      <c r="G81" s="833" t="str">
        <f t="shared" si="13"/>
        <v/>
      </c>
      <c r="H81" s="908" t="str">
        <f t="shared" si="14"/>
        <v/>
      </c>
      <c r="I81" s="909" t="str">
        <f t="shared" si="15"/>
        <v/>
      </c>
      <c r="J81" s="908" t="str">
        <f t="shared" si="16"/>
        <v/>
      </c>
      <c r="K81" s="833" t="str">
        <f t="shared" si="17"/>
        <v/>
      </c>
      <c r="L81" s="834" t="str">
        <f>IF($B81&lt;=$F$4,($D81-$H81)/'3.1 Delinquency Data'!C81,"")</f>
        <v/>
      </c>
      <c r="M81" s="314"/>
    </row>
    <row r="82" spans="1:13">
      <c r="A82" s="239"/>
      <c r="B82" s="419">
        <v>62</v>
      </c>
      <c r="C82" s="832" t="str">
        <f t="shared" si="9"/>
        <v/>
      </c>
      <c r="D82" s="907" t="str">
        <f t="shared" si="10"/>
        <v/>
      </c>
      <c r="E82" s="907" t="str">
        <f t="shared" si="11"/>
        <v/>
      </c>
      <c r="F82" s="907" t="str">
        <f t="shared" si="12"/>
        <v/>
      </c>
      <c r="G82" s="833" t="str">
        <f t="shared" si="13"/>
        <v/>
      </c>
      <c r="H82" s="908" t="str">
        <f t="shared" si="14"/>
        <v/>
      </c>
      <c r="I82" s="909" t="str">
        <f t="shared" si="15"/>
        <v/>
      </c>
      <c r="J82" s="908" t="str">
        <f t="shared" si="16"/>
        <v/>
      </c>
      <c r="K82" s="833" t="str">
        <f t="shared" si="17"/>
        <v/>
      </c>
      <c r="L82" s="834" t="str">
        <f>IF($B82&lt;=$F$4,($D82-$H82)/'3.1 Delinquency Data'!C82,"")</f>
        <v/>
      </c>
      <c r="M82" s="314"/>
    </row>
    <row r="83" spans="1:13">
      <c r="A83" s="239"/>
      <c r="B83" s="419">
        <v>63</v>
      </c>
      <c r="C83" s="832" t="str">
        <f t="shared" si="9"/>
        <v/>
      </c>
      <c r="D83" s="907" t="str">
        <f t="shared" si="10"/>
        <v/>
      </c>
      <c r="E83" s="907" t="str">
        <f t="shared" si="11"/>
        <v/>
      </c>
      <c r="F83" s="907" t="str">
        <f t="shared" si="12"/>
        <v/>
      </c>
      <c r="G83" s="833" t="str">
        <f t="shared" si="13"/>
        <v/>
      </c>
      <c r="H83" s="908" t="str">
        <f t="shared" si="14"/>
        <v/>
      </c>
      <c r="I83" s="909" t="str">
        <f t="shared" si="15"/>
        <v/>
      </c>
      <c r="J83" s="908" t="str">
        <f t="shared" si="16"/>
        <v/>
      </c>
      <c r="K83" s="833" t="str">
        <f t="shared" si="17"/>
        <v/>
      </c>
      <c r="L83" s="834" t="str">
        <f>IF($B83&lt;=$F$4,($D83-$H83)/'3.1 Delinquency Data'!C83,"")</f>
        <v/>
      </c>
      <c r="M83" s="314"/>
    </row>
    <row r="84" spans="1:13">
      <c r="A84" s="239"/>
      <c r="B84" s="419">
        <v>64</v>
      </c>
      <c r="C84" s="832" t="str">
        <f t="shared" si="9"/>
        <v/>
      </c>
      <c r="D84" s="907" t="str">
        <f t="shared" si="10"/>
        <v/>
      </c>
      <c r="E84" s="907" t="str">
        <f t="shared" si="11"/>
        <v/>
      </c>
      <c r="F84" s="907" t="str">
        <f t="shared" si="12"/>
        <v/>
      </c>
      <c r="G84" s="833" t="str">
        <f t="shared" si="13"/>
        <v/>
      </c>
      <c r="H84" s="908" t="str">
        <f t="shared" si="14"/>
        <v/>
      </c>
      <c r="I84" s="909" t="str">
        <f t="shared" si="15"/>
        <v/>
      </c>
      <c r="J84" s="908" t="str">
        <f t="shared" si="16"/>
        <v/>
      </c>
      <c r="K84" s="833" t="str">
        <f t="shared" si="17"/>
        <v/>
      </c>
      <c r="L84" s="834" t="str">
        <f>IF($B84&lt;=$F$4,($D84-$H84)/'3.1 Delinquency Data'!C84,"")</f>
        <v/>
      </c>
      <c r="M84" s="314"/>
    </row>
    <row r="85" spans="1:13">
      <c r="A85" s="239"/>
      <c r="B85" s="419">
        <v>65</v>
      </c>
      <c r="C85" s="832" t="str">
        <f t="shared" ref="C85:C100" si="18">IF(B85&lt;=$F$4,VLOOKUP(CONCATENATE("defaults_",$B85),defaults,2,0),"")</f>
        <v/>
      </c>
      <c r="D85" s="907" t="str">
        <f t="shared" ref="D85:D100" si="19">IF(B85&lt;=$F$4,VLOOKUP(CONCATENATE("defaults_",$B85),defaults,3,0),"")</f>
        <v/>
      </c>
      <c r="E85" s="907" t="str">
        <f t="shared" ref="E85:E100" si="20">IF(B85&lt;=$F$4,VLOOKUP(CONCATENATE("defaults_",$B85),defaults,4,0),"")</f>
        <v/>
      </c>
      <c r="F85" s="907" t="str">
        <f t="shared" ref="F85:F100" si="21">IF(B85&lt;=$F$4,VLOOKUP(CONCATENATE("defaults_",$B85),defaults,5,0),"")</f>
        <v/>
      </c>
      <c r="G85" s="833" t="str">
        <f t="shared" ref="G85:G100" si="22">IF(B85&lt;=$F$4,VLOOKUP(CONCATENATE("defaults_",$B85),defaults,6,0),"")</f>
        <v/>
      </c>
      <c r="H85" s="908" t="str">
        <f t="shared" ref="H85:H100" si="23">IF(B85&lt;=$F$4,VLOOKUP(CONCATENATE("defaults_",$B85),defaults,7,0),"")</f>
        <v/>
      </c>
      <c r="I85" s="909" t="str">
        <f t="shared" ref="I85:I100" si="24">IF(B85&lt;=$F$4,VLOOKUP(CONCATENATE("defaults_",$B85),defaults,8,0),"")</f>
        <v/>
      </c>
      <c r="J85" s="908" t="str">
        <f t="shared" ref="J85:J100" si="25">IF(B85&lt;=$F$4,VLOOKUP(CONCATENATE("defaults_",$B85),defaults,9,0),"")</f>
        <v/>
      </c>
      <c r="K85" s="833" t="str">
        <f t="shared" ref="K85:K100" si="26">IF(B85&lt;=$F$4,VLOOKUP(CONCATENATE("defaults_",$B85),defaults,10,0),"")</f>
        <v/>
      </c>
      <c r="L85" s="834" t="str">
        <f>IF($B85&lt;=$F$4,($D85-$H85)/'3.1 Delinquency Data'!C85,"")</f>
        <v/>
      </c>
      <c r="M85" s="314"/>
    </row>
    <row r="86" spans="1:13">
      <c r="A86" s="239"/>
      <c r="B86" s="419">
        <v>66</v>
      </c>
      <c r="C86" s="832" t="str">
        <f t="shared" si="18"/>
        <v/>
      </c>
      <c r="D86" s="907" t="str">
        <f t="shared" si="19"/>
        <v/>
      </c>
      <c r="E86" s="907" t="str">
        <f t="shared" si="20"/>
        <v/>
      </c>
      <c r="F86" s="907" t="str">
        <f t="shared" si="21"/>
        <v/>
      </c>
      <c r="G86" s="833" t="str">
        <f t="shared" si="22"/>
        <v/>
      </c>
      <c r="H86" s="908" t="str">
        <f t="shared" si="23"/>
        <v/>
      </c>
      <c r="I86" s="909" t="str">
        <f t="shared" si="24"/>
        <v/>
      </c>
      <c r="J86" s="908" t="str">
        <f t="shared" si="25"/>
        <v/>
      </c>
      <c r="K86" s="833" t="str">
        <f t="shared" si="26"/>
        <v/>
      </c>
      <c r="L86" s="834" t="str">
        <f>IF($B86&lt;=$F$4,($D86-$H86)/'3.1 Delinquency Data'!C86,"")</f>
        <v/>
      </c>
      <c r="M86" s="314"/>
    </row>
    <row r="87" spans="1:13">
      <c r="A87" s="239"/>
      <c r="B87" s="419">
        <v>67</v>
      </c>
      <c r="C87" s="832" t="str">
        <f t="shared" si="18"/>
        <v/>
      </c>
      <c r="D87" s="907" t="str">
        <f t="shared" si="19"/>
        <v/>
      </c>
      <c r="E87" s="907" t="str">
        <f t="shared" si="20"/>
        <v/>
      </c>
      <c r="F87" s="907" t="str">
        <f t="shared" si="21"/>
        <v/>
      </c>
      <c r="G87" s="833" t="str">
        <f t="shared" si="22"/>
        <v/>
      </c>
      <c r="H87" s="908" t="str">
        <f t="shared" si="23"/>
        <v/>
      </c>
      <c r="I87" s="909" t="str">
        <f t="shared" si="24"/>
        <v/>
      </c>
      <c r="J87" s="908" t="str">
        <f t="shared" si="25"/>
        <v/>
      </c>
      <c r="K87" s="833" t="str">
        <f t="shared" si="26"/>
        <v/>
      </c>
      <c r="L87" s="834" t="str">
        <f>IF($B87&lt;=$F$4,($D87-$H87)/'3.1 Delinquency Data'!C87,"")</f>
        <v/>
      </c>
      <c r="M87" s="314"/>
    </row>
    <row r="88" spans="1:13">
      <c r="A88" s="239"/>
      <c r="B88" s="419">
        <v>68</v>
      </c>
      <c r="C88" s="832" t="str">
        <f t="shared" si="18"/>
        <v/>
      </c>
      <c r="D88" s="907" t="str">
        <f t="shared" si="19"/>
        <v/>
      </c>
      <c r="E88" s="907" t="str">
        <f t="shared" si="20"/>
        <v/>
      </c>
      <c r="F88" s="907" t="str">
        <f t="shared" si="21"/>
        <v/>
      </c>
      <c r="G88" s="833" t="str">
        <f t="shared" si="22"/>
        <v/>
      </c>
      <c r="H88" s="908" t="str">
        <f t="shared" si="23"/>
        <v/>
      </c>
      <c r="I88" s="909" t="str">
        <f t="shared" si="24"/>
        <v/>
      </c>
      <c r="J88" s="908" t="str">
        <f t="shared" si="25"/>
        <v/>
      </c>
      <c r="K88" s="833" t="str">
        <f t="shared" si="26"/>
        <v/>
      </c>
      <c r="L88" s="834" t="str">
        <f>IF($B88&lt;=$F$4,($D88-$H88)/'3.1 Delinquency Data'!C88,"")</f>
        <v/>
      </c>
      <c r="M88" s="314"/>
    </row>
    <row r="89" spans="1:13">
      <c r="A89" s="239"/>
      <c r="B89" s="419">
        <v>69</v>
      </c>
      <c r="C89" s="832" t="str">
        <f t="shared" si="18"/>
        <v/>
      </c>
      <c r="D89" s="907" t="str">
        <f t="shared" si="19"/>
        <v/>
      </c>
      <c r="E89" s="907" t="str">
        <f t="shared" si="20"/>
        <v/>
      </c>
      <c r="F89" s="907" t="str">
        <f t="shared" si="21"/>
        <v/>
      </c>
      <c r="G89" s="833" t="str">
        <f t="shared" si="22"/>
        <v/>
      </c>
      <c r="H89" s="908" t="str">
        <f t="shared" si="23"/>
        <v/>
      </c>
      <c r="I89" s="909" t="str">
        <f t="shared" si="24"/>
        <v/>
      </c>
      <c r="J89" s="908" t="str">
        <f t="shared" si="25"/>
        <v/>
      </c>
      <c r="K89" s="833" t="str">
        <f t="shared" si="26"/>
        <v/>
      </c>
      <c r="L89" s="834" t="str">
        <f>IF($B89&lt;=$F$4,($D89-$H89)/'3.1 Delinquency Data'!C89,"")</f>
        <v/>
      </c>
      <c r="M89" s="314"/>
    </row>
    <row r="90" spans="1:13">
      <c r="A90" s="239"/>
      <c r="B90" s="419">
        <v>70</v>
      </c>
      <c r="C90" s="832" t="str">
        <f t="shared" si="18"/>
        <v/>
      </c>
      <c r="D90" s="907" t="str">
        <f t="shared" si="19"/>
        <v/>
      </c>
      <c r="E90" s="907" t="str">
        <f t="shared" si="20"/>
        <v/>
      </c>
      <c r="F90" s="907" t="str">
        <f t="shared" si="21"/>
        <v/>
      </c>
      <c r="G90" s="833" t="str">
        <f t="shared" si="22"/>
        <v/>
      </c>
      <c r="H90" s="908" t="str">
        <f t="shared" si="23"/>
        <v/>
      </c>
      <c r="I90" s="909" t="str">
        <f t="shared" si="24"/>
        <v/>
      </c>
      <c r="J90" s="908" t="str">
        <f t="shared" si="25"/>
        <v/>
      </c>
      <c r="K90" s="833" t="str">
        <f t="shared" si="26"/>
        <v/>
      </c>
      <c r="L90" s="834" t="str">
        <f>IF($B90&lt;=$F$4,($D90-$H90)/'3.1 Delinquency Data'!C90,"")</f>
        <v/>
      </c>
      <c r="M90" s="314"/>
    </row>
    <row r="91" spans="1:13">
      <c r="A91" s="239"/>
      <c r="B91" s="419">
        <v>71</v>
      </c>
      <c r="C91" s="832" t="str">
        <f t="shared" si="18"/>
        <v/>
      </c>
      <c r="D91" s="907" t="str">
        <f t="shared" si="19"/>
        <v/>
      </c>
      <c r="E91" s="907" t="str">
        <f t="shared" si="20"/>
        <v/>
      </c>
      <c r="F91" s="907" t="str">
        <f t="shared" si="21"/>
        <v/>
      </c>
      <c r="G91" s="833" t="str">
        <f t="shared" si="22"/>
        <v/>
      </c>
      <c r="H91" s="908" t="str">
        <f t="shared" si="23"/>
        <v/>
      </c>
      <c r="I91" s="909" t="str">
        <f t="shared" si="24"/>
        <v/>
      </c>
      <c r="J91" s="908" t="str">
        <f t="shared" si="25"/>
        <v/>
      </c>
      <c r="K91" s="833" t="str">
        <f t="shared" si="26"/>
        <v/>
      </c>
      <c r="L91" s="834" t="str">
        <f>IF($B91&lt;=$F$4,($D91-$H91)/'3.1 Delinquency Data'!C91,"")</f>
        <v/>
      </c>
      <c r="M91" s="314"/>
    </row>
    <row r="92" spans="1:13">
      <c r="A92" s="239"/>
      <c r="B92" s="419">
        <v>72</v>
      </c>
      <c r="C92" s="832" t="str">
        <f t="shared" si="18"/>
        <v/>
      </c>
      <c r="D92" s="907" t="str">
        <f t="shared" si="19"/>
        <v/>
      </c>
      <c r="E92" s="907" t="str">
        <f t="shared" si="20"/>
        <v/>
      </c>
      <c r="F92" s="907" t="str">
        <f t="shared" si="21"/>
        <v/>
      </c>
      <c r="G92" s="833" t="str">
        <f t="shared" si="22"/>
        <v/>
      </c>
      <c r="H92" s="908" t="str">
        <f t="shared" si="23"/>
        <v/>
      </c>
      <c r="I92" s="909" t="str">
        <f t="shared" si="24"/>
        <v/>
      </c>
      <c r="J92" s="908" t="str">
        <f t="shared" si="25"/>
        <v/>
      </c>
      <c r="K92" s="833" t="str">
        <f t="shared" si="26"/>
        <v/>
      </c>
      <c r="L92" s="834" t="str">
        <f>IF($B92&lt;=$F$4,($D92-$H92)/'3.1 Delinquency Data'!C92,"")</f>
        <v/>
      </c>
      <c r="M92" s="314"/>
    </row>
    <row r="93" spans="1:13">
      <c r="A93" s="239"/>
      <c r="B93" s="419">
        <v>73</v>
      </c>
      <c r="C93" s="832" t="str">
        <f t="shared" si="18"/>
        <v/>
      </c>
      <c r="D93" s="907" t="str">
        <f t="shared" si="19"/>
        <v/>
      </c>
      <c r="E93" s="907" t="str">
        <f t="shared" si="20"/>
        <v/>
      </c>
      <c r="F93" s="907" t="str">
        <f t="shared" si="21"/>
        <v/>
      </c>
      <c r="G93" s="833" t="str">
        <f t="shared" si="22"/>
        <v/>
      </c>
      <c r="H93" s="908" t="str">
        <f t="shared" si="23"/>
        <v/>
      </c>
      <c r="I93" s="909" t="str">
        <f t="shared" si="24"/>
        <v/>
      </c>
      <c r="J93" s="908" t="str">
        <f t="shared" si="25"/>
        <v/>
      </c>
      <c r="K93" s="833" t="str">
        <f t="shared" si="26"/>
        <v/>
      </c>
      <c r="L93" s="834" t="str">
        <f>IF($B93&lt;=$F$4,($D93-$H93)/'3.1 Delinquency Data'!C93,"")</f>
        <v/>
      </c>
      <c r="M93" s="314"/>
    </row>
    <row r="94" spans="1:13">
      <c r="A94" s="239"/>
      <c r="B94" s="419">
        <v>74</v>
      </c>
      <c r="C94" s="832" t="str">
        <f t="shared" si="18"/>
        <v/>
      </c>
      <c r="D94" s="907" t="str">
        <f t="shared" si="19"/>
        <v/>
      </c>
      <c r="E94" s="907" t="str">
        <f t="shared" si="20"/>
        <v/>
      </c>
      <c r="F94" s="907" t="str">
        <f t="shared" si="21"/>
        <v/>
      </c>
      <c r="G94" s="833" t="str">
        <f t="shared" si="22"/>
        <v/>
      </c>
      <c r="H94" s="908" t="str">
        <f t="shared" si="23"/>
        <v/>
      </c>
      <c r="I94" s="909" t="str">
        <f t="shared" si="24"/>
        <v/>
      </c>
      <c r="J94" s="908" t="str">
        <f t="shared" si="25"/>
        <v/>
      </c>
      <c r="K94" s="833" t="str">
        <f t="shared" si="26"/>
        <v/>
      </c>
      <c r="L94" s="834" t="str">
        <f>IF($B94&lt;=$F$4,($D94-$H94)/'3.1 Delinquency Data'!C94,"")</f>
        <v/>
      </c>
      <c r="M94" s="314"/>
    </row>
    <row r="95" spans="1:13">
      <c r="A95" s="239"/>
      <c r="B95" s="419">
        <v>75</v>
      </c>
      <c r="C95" s="832" t="str">
        <f t="shared" si="18"/>
        <v/>
      </c>
      <c r="D95" s="907" t="str">
        <f t="shared" si="19"/>
        <v/>
      </c>
      <c r="E95" s="907" t="str">
        <f t="shared" si="20"/>
        <v/>
      </c>
      <c r="F95" s="907" t="str">
        <f t="shared" si="21"/>
        <v/>
      </c>
      <c r="G95" s="833" t="str">
        <f t="shared" si="22"/>
        <v/>
      </c>
      <c r="H95" s="908" t="str">
        <f t="shared" si="23"/>
        <v/>
      </c>
      <c r="I95" s="909" t="str">
        <f t="shared" si="24"/>
        <v/>
      </c>
      <c r="J95" s="908" t="str">
        <f t="shared" si="25"/>
        <v/>
      </c>
      <c r="K95" s="833" t="str">
        <f t="shared" si="26"/>
        <v/>
      </c>
      <c r="L95" s="834" t="str">
        <f>IF($B95&lt;=$F$4,($D95-$H95)/'3.1 Delinquency Data'!C95,"")</f>
        <v/>
      </c>
      <c r="M95" s="314"/>
    </row>
    <row r="96" spans="1:13">
      <c r="A96" s="239"/>
      <c r="B96" s="419">
        <v>76</v>
      </c>
      <c r="C96" s="832" t="str">
        <f t="shared" si="18"/>
        <v/>
      </c>
      <c r="D96" s="907" t="str">
        <f t="shared" si="19"/>
        <v/>
      </c>
      <c r="E96" s="907" t="str">
        <f t="shared" si="20"/>
        <v/>
      </c>
      <c r="F96" s="907" t="str">
        <f t="shared" si="21"/>
        <v/>
      </c>
      <c r="G96" s="833" t="str">
        <f t="shared" si="22"/>
        <v/>
      </c>
      <c r="H96" s="908" t="str">
        <f t="shared" si="23"/>
        <v/>
      </c>
      <c r="I96" s="909" t="str">
        <f t="shared" si="24"/>
        <v/>
      </c>
      <c r="J96" s="908" t="str">
        <f t="shared" si="25"/>
        <v/>
      </c>
      <c r="K96" s="833" t="str">
        <f t="shared" si="26"/>
        <v/>
      </c>
      <c r="L96" s="834" t="str">
        <f>IF($B96&lt;=$F$4,($D96-$H96)/'3.1 Delinquency Data'!C96,"")</f>
        <v/>
      </c>
      <c r="M96" s="314"/>
    </row>
    <row r="97" spans="1:13">
      <c r="A97" s="239"/>
      <c r="B97" s="419">
        <v>77</v>
      </c>
      <c r="C97" s="832" t="str">
        <f t="shared" si="18"/>
        <v/>
      </c>
      <c r="D97" s="907" t="str">
        <f t="shared" si="19"/>
        <v/>
      </c>
      <c r="E97" s="907" t="str">
        <f t="shared" si="20"/>
        <v/>
      </c>
      <c r="F97" s="907" t="str">
        <f t="shared" si="21"/>
        <v/>
      </c>
      <c r="G97" s="833" t="str">
        <f t="shared" si="22"/>
        <v/>
      </c>
      <c r="H97" s="908" t="str">
        <f t="shared" si="23"/>
        <v/>
      </c>
      <c r="I97" s="909" t="str">
        <f t="shared" si="24"/>
        <v/>
      </c>
      <c r="J97" s="908" t="str">
        <f t="shared" si="25"/>
        <v/>
      </c>
      <c r="K97" s="833" t="str">
        <f t="shared" si="26"/>
        <v/>
      </c>
      <c r="L97" s="834" t="str">
        <f>IF($B97&lt;=$F$4,($D97-$H97)/'3.1 Delinquency Data'!C97,"")</f>
        <v/>
      </c>
      <c r="M97" s="314"/>
    </row>
    <row r="98" spans="1:13">
      <c r="A98" s="239"/>
      <c r="B98" s="419">
        <v>78</v>
      </c>
      <c r="C98" s="832" t="str">
        <f t="shared" si="18"/>
        <v/>
      </c>
      <c r="D98" s="907" t="str">
        <f t="shared" si="19"/>
        <v/>
      </c>
      <c r="E98" s="907" t="str">
        <f t="shared" si="20"/>
        <v/>
      </c>
      <c r="F98" s="907" t="str">
        <f t="shared" si="21"/>
        <v/>
      </c>
      <c r="G98" s="833" t="str">
        <f t="shared" si="22"/>
        <v/>
      </c>
      <c r="H98" s="908" t="str">
        <f t="shared" si="23"/>
        <v/>
      </c>
      <c r="I98" s="909" t="str">
        <f t="shared" si="24"/>
        <v/>
      </c>
      <c r="J98" s="908" t="str">
        <f t="shared" si="25"/>
        <v/>
      </c>
      <c r="K98" s="833" t="str">
        <f t="shared" si="26"/>
        <v/>
      </c>
      <c r="L98" s="834" t="str">
        <f>IF($B98&lt;=$F$4,($D98-$H98)/'3.1 Delinquency Data'!C98,"")</f>
        <v/>
      </c>
      <c r="M98" s="314"/>
    </row>
    <row r="99" spans="1:13">
      <c r="A99" s="239"/>
      <c r="B99" s="845">
        <v>79</v>
      </c>
      <c r="C99" s="832" t="str">
        <f t="shared" si="18"/>
        <v/>
      </c>
      <c r="D99" s="907" t="str">
        <f t="shared" si="19"/>
        <v/>
      </c>
      <c r="E99" s="907" t="str">
        <f t="shared" si="20"/>
        <v/>
      </c>
      <c r="F99" s="907" t="str">
        <f t="shared" si="21"/>
        <v/>
      </c>
      <c r="G99" s="833" t="str">
        <f t="shared" si="22"/>
        <v/>
      </c>
      <c r="H99" s="908" t="str">
        <f t="shared" si="23"/>
        <v/>
      </c>
      <c r="I99" s="909" t="str">
        <f t="shared" si="24"/>
        <v/>
      </c>
      <c r="J99" s="908" t="str">
        <f t="shared" si="25"/>
        <v/>
      </c>
      <c r="K99" s="833" t="str">
        <f t="shared" si="26"/>
        <v/>
      </c>
      <c r="L99" s="834" t="str">
        <f>IF($B99&lt;=$F$4,($D99-$H99)/'3.1 Delinquency Data'!C99,"")</f>
        <v/>
      </c>
      <c r="M99" s="314"/>
    </row>
    <row r="100" spans="1:13" ht="13">
      <c r="A100" s="239"/>
      <c r="B100" s="846">
        <v>80</v>
      </c>
      <c r="C100" s="847" t="str">
        <f t="shared" si="18"/>
        <v/>
      </c>
      <c r="D100" s="902" t="str">
        <f t="shared" si="19"/>
        <v/>
      </c>
      <c r="E100" s="902" t="str">
        <f t="shared" si="20"/>
        <v/>
      </c>
      <c r="F100" s="902" t="str">
        <f t="shared" si="21"/>
        <v/>
      </c>
      <c r="G100" s="848" t="str">
        <f t="shared" si="22"/>
        <v/>
      </c>
      <c r="H100" s="910" t="str">
        <f t="shared" si="23"/>
        <v/>
      </c>
      <c r="I100" s="911" t="str">
        <f t="shared" si="24"/>
        <v/>
      </c>
      <c r="J100" s="910" t="str">
        <f t="shared" si="25"/>
        <v/>
      </c>
      <c r="K100" s="848" t="str">
        <f t="shared" si="26"/>
        <v/>
      </c>
      <c r="L100" s="849" t="str">
        <f>IF($B100&lt;=$F$4,($D100-$H100)/'3.1 Delinquency Data'!C100,"")</f>
        <v/>
      </c>
      <c r="M100" s="314"/>
    </row>
    <row r="101" spans="1:13">
      <c r="A101" s="315"/>
      <c r="B101" s="979" t="s">
        <v>573</v>
      </c>
      <c r="C101" s="318"/>
      <c r="D101" s="318"/>
      <c r="E101" s="318"/>
      <c r="F101" s="318"/>
      <c r="G101" s="318"/>
      <c r="H101" s="318"/>
      <c r="I101" s="318"/>
      <c r="J101" s="318"/>
      <c r="K101" s="318"/>
      <c r="L101" s="318"/>
      <c r="M101" s="352"/>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view="pageBreakPreview" zoomScale="62" zoomScaleNormal="100" zoomScaleSheetLayoutView="62"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53"/>
      <c r="B1" s="754"/>
      <c r="C1" s="754"/>
      <c r="D1" s="754"/>
      <c r="E1" s="754"/>
      <c r="F1" s="754"/>
      <c r="G1" s="754"/>
      <c r="H1" s="754"/>
      <c r="I1" s="754"/>
      <c r="J1" s="754"/>
      <c r="K1" s="754"/>
      <c r="L1" s="754"/>
      <c r="M1" s="755"/>
    </row>
    <row r="2" spans="1:13" ht="18" customHeight="1">
      <c r="A2" s="285"/>
      <c r="B2" s="275" t="str">
        <f>'Cover Sheet'!B2</f>
        <v>SC Germany Consumer 2022-1</v>
      </c>
      <c r="C2" s="275"/>
      <c r="D2" s="756" t="str">
        <f>'Cover Sheet'!D2</f>
        <v>Calculation Date</v>
      </c>
      <c r="E2" s="757"/>
      <c r="F2" s="758">
        <f>'Cover Sheet'!F2</f>
        <v>45848</v>
      </c>
      <c r="G2" s="757"/>
      <c r="H2" s="757"/>
      <c r="I2" s="757"/>
      <c r="J2" s="757"/>
      <c r="K2" s="757"/>
      <c r="L2" s="759"/>
      <c r="M2" s="246"/>
    </row>
    <row r="3" spans="1:13" ht="18" customHeight="1">
      <c r="A3" s="285"/>
      <c r="B3" s="275" t="str">
        <f>'Cover Sheet'!B3</f>
        <v>Monthly Investor Report</v>
      </c>
      <c r="C3" s="275"/>
      <c r="D3" s="760" t="str">
        <f>'Cover Sheet'!D3</f>
        <v>Payment Date</v>
      </c>
      <c r="E3" s="761"/>
      <c r="F3" s="762">
        <f>'Cover Sheet'!F3</f>
        <v>45852</v>
      </c>
      <c r="G3" s="761"/>
      <c r="H3" s="761"/>
      <c r="I3" s="761"/>
      <c r="J3" s="761"/>
      <c r="K3" s="761"/>
      <c r="L3" s="763"/>
      <c r="M3" s="246"/>
    </row>
    <row r="4" spans="1:13">
      <c r="A4" s="285"/>
      <c r="B4" s="764"/>
      <c r="C4" s="694"/>
      <c r="D4" s="760" t="str">
        <f>'Cover Sheet'!D4</f>
        <v>Period  No</v>
      </c>
      <c r="E4" s="761"/>
      <c r="F4" s="765">
        <f>'Cover Sheet'!F4</f>
        <v>33</v>
      </c>
      <c r="G4" s="761"/>
      <c r="H4" s="766"/>
      <c r="I4" s="761"/>
      <c r="J4" s="767"/>
      <c r="K4" s="761"/>
      <c r="L4" s="763"/>
      <c r="M4" s="246"/>
    </row>
    <row r="5" spans="1:13" ht="17.25" customHeight="1">
      <c r="A5" s="285"/>
      <c r="B5" s="257" t="s">
        <v>154</v>
      </c>
      <c r="C5" s="257"/>
      <c r="D5" s="760" t="str">
        <f>'Cover Sheet'!D5</f>
        <v>Monthly Period</v>
      </c>
      <c r="E5" s="761"/>
      <c r="F5" s="121">
        <f>'Cover Sheet'!F5</f>
        <v>45852</v>
      </c>
      <c r="G5" s="761"/>
      <c r="H5" s="766"/>
      <c r="I5" s="761"/>
      <c r="J5" s="767"/>
      <c r="K5" s="761"/>
      <c r="L5" s="763"/>
      <c r="M5" s="246"/>
    </row>
    <row r="6" spans="1:13" ht="15" customHeight="1">
      <c r="A6" s="285"/>
      <c r="B6" s="768"/>
      <c r="C6" s="769"/>
      <c r="D6" s="760" t="str">
        <f>'Cover Sheet'!D6</f>
        <v>Interest Period</v>
      </c>
      <c r="E6" s="767" t="s">
        <v>34</v>
      </c>
      <c r="F6" s="762">
        <f>'Cover Sheet'!F6</f>
        <v>45824</v>
      </c>
      <c r="G6" s="767" t="str">
        <f>'Cover Sheet'!G6</f>
        <v>to</v>
      </c>
      <c r="H6" s="762">
        <f>'Cover Sheet'!H6</f>
        <v>45852</v>
      </c>
      <c r="I6" s="761" t="str">
        <f>'Cover Sheet'!I6</f>
        <v>=</v>
      </c>
      <c r="J6" s="770" t="str">
        <f>'Cover Sheet'!J6</f>
        <v>28 days</v>
      </c>
      <c r="K6" s="767"/>
      <c r="L6" s="771"/>
      <c r="M6" s="246"/>
    </row>
    <row r="7" spans="1:13" s="247" customFormat="1" ht="12.75" customHeight="1">
      <c r="A7" s="285"/>
      <c r="B7" s="25"/>
      <c r="C7" s="25"/>
      <c r="D7" s="772" t="str">
        <f>'Cover Sheet'!D7</f>
        <v>Collection Period</v>
      </c>
      <c r="E7" s="773" t="s">
        <v>34</v>
      </c>
      <c r="F7" s="774" t="str">
        <f>'Cover Sheet'!F7</f>
        <v>01.06.2025</v>
      </c>
      <c r="G7" s="773" t="str">
        <f>'Cover Sheet'!G7</f>
        <v>to</v>
      </c>
      <c r="H7" s="774">
        <f>'Cover Sheet'!H7</f>
        <v>45838</v>
      </c>
      <c r="I7" s="775"/>
      <c r="J7" s="775"/>
      <c r="K7" s="775"/>
      <c r="L7" s="776"/>
      <c r="M7" s="327"/>
    </row>
    <row r="8" spans="1:13" ht="13">
      <c r="A8" s="285"/>
      <c r="B8" s="25"/>
      <c r="C8" s="25"/>
      <c r="D8" s="25"/>
      <c r="E8" s="25"/>
      <c r="F8" s="777"/>
      <c r="G8" s="6"/>
      <c r="H8" s="691"/>
      <c r="I8" s="25"/>
      <c r="J8" s="692"/>
      <c r="K8" s="25"/>
      <c r="L8" s="78"/>
      <c r="M8" s="246"/>
    </row>
    <row r="9" spans="1:13">
      <c r="A9" s="285"/>
      <c r="B9" s="25"/>
      <c r="C9" s="25"/>
      <c r="D9" s="25"/>
      <c r="E9" s="25"/>
      <c r="F9" s="694"/>
      <c r="G9" s="25"/>
      <c r="H9" s="25"/>
      <c r="I9" s="25"/>
      <c r="J9" s="25"/>
      <c r="K9" s="25"/>
      <c r="L9" s="25"/>
      <c r="M9" s="246"/>
    </row>
    <row r="10" spans="1:13">
      <c r="A10" s="285"/>
      <c r="B10" s="25"/>
      <c r="C10" s="25"/>
      <c r="D10" s="25"/>
      <c r="E10" s="25"/>
      <c r="F10" s="694"/>
      <c r="G10" s="25"/>
      <c r="H10" s="25"/>
      <c r="I10" s="25"/>
      <c r="J10" s="25"/>
      <c r="K10" s="25"/>
      <c r="L10" s="25"/>
      <c r="M10" s="246"/>
    </row>
    <row r="11" spans="1:13" ht="18">
      <c r="A11" s="285"/>
      <c r="B11" s="25"/>
      <c r="C11" s="25"/>
      <c r="D11" s="409" t="s">
        <v>239</v>
      </c>
      <c r="E11" s="25"/>
      <c r="F11" s="694"/>
      <c r="G11" s="25"/>
      <c r="H11" s="916" t="s">
        <v>632</v>
      </c>
      <c r="I11" s="25"/>
      <c r="J11" s="25"/>
      <c r="K11" s="25"/>
      <c r="L11" s="25"/>
      <c r="M11" s="246"/>
    </row>
    <row r="12" spans="1:13" ht="18" customHeight="1">
      <c r="A12" s="285"/>
      <c r="B12" s="25"/>
      <c r="C12" s="25"/>
      <c r="D12" s="25"/>
      <c r="E12" s="25"/>
      <c r="F12" s="6"/>
      <c r="G12" s="778"/>
      <c r="H12" s="778"/>
      <c r="I12" s="778"/>
      <c r="J12" s="778"/>
      <c r="K12" s="778"/>
      <c r="L12" s="6"/>
      <c r="M12" s="246"/>
    </row>
    <row r="13" spans="1:13" ht="14.5">
      <c r="A13" s="285"/>
      <c r="B13" s="779" t="s">
        <v>155</v>
      </c>
      <c r="C13" s="78" t="s">
        <v>156</v>
      </c>
      <c r="D13" s="78" t="s">
        <v>157</v>
      </c>
      <c r="E13" s="78"/>
      <c r="F13" s="78" t="s">
        <v>158</v>
      </c>
      <c r="G13" s="78"/>
      <c r="H13" s="78" t="s">
        <v>12</v>
      </c>
      <c r="I13" s="780"/>
      <c r="J13" s="780"/>
      <c r="K13" s="780"/>
      <c r="L13" s="780"/>
      <c r="M13" s="246"/>
    </row>
    <row r="14" spans="1:13" ht="13">
      <c r="A14" s="285"/>
      <c r="B14" s="779"/>
      <c r="C14" s="78"/>
      <c r="D14" s="78"/>
      <c r="E14" s="78"/>
      <c r="F14" s="78"/>
      <c r="G14" s="78"/>
      <c r="H14" s="78"/>
      <c r="I14" s="778"/>
      <c r="J14" s="778"/>
      <c r="K14" s="778"/>
      <c r="L14" s="778"/>
      <c r="M14" s="246"/>
    </row>
    <row r="15" spans="1:13">
      <c r="A15" s="285"/>
      <c r="B15" s="64" t="s">
        <v>252</v>
      </c>
      <c r="C15" s="781">
        <v>5.5E-2</v>
      </c>
      <c r="D15" s="782" t="s">
        <v>35</v>
      </c>
      <c r="E15" s="25"/>
      <c r="F15" s="917" t="s">
        <v>35</v>
      </c>
      <c r="G15" s="6"/>
      <c r="H15" s="138"/>
      <c r="I15" s="778"/>
      <c r="J15" s="778"/>
      <c r="K15" s="778"/>
      <c r="L15" s="778"/>
      <c r="M15" s="246"/>
    </row>
    <row r="16" spans="1:13">
      <c r="A16" s="285"/>
      <c r="B16" s="25"/>
      <c r="C16" s="25"/>
      <c r="D16" s="25"/>
      <c r="E16" s="25"/>
      <c r="F16" s="25"/>
      <c r="G16" s="25"/>
      <c r="H16" s="25"/>
      <c r="I16" s="25"/>
      <c r="J16" s="25"/>
      <c r="K16" s="25"/>
      <c r="L16" s="25"/>
      <c r="M16" s="246"/>
    </row>
    <row r="17" spans="1:13">
      <c r="A17" s="285"/>
      <c r="B17" s="783" t="s">
        <v>253</v>
      </c>
      <c r="C17" s="784" t="s">
        <v>35</v>
      </c>
      <c r="D17" s="918">
        <v>200000</v>
      </c>
      <c r="E17" s="912"/>
      <c r="F17" s="917" t="s">
        <v>35</v>
      </c>
      <c r="G17" s="778"/>
      <c r="H17" s="138"/>
      <c r="I17" s="778"/>
      <c r="J17" s="778"/>
      <c r="K17" s="778"/>
      <c r="L17" s="778"/>
      <c r="M17" s="246"/>
    </row>
    <row r="18" spans="1:13">
      <c r="A18" s="285"/>
      <c r="B18" s="786"/>
      <c r="C18" s="784"/>
      <c r="D18" s="787"/>
      <c r="E18" s="778"/>
      <c r="F18" s="778"/>
      <c r="G18" s="778"/>
      <c r="H18" s="778"/>
      <c r="I18" s="778"/>
      <c r="J18" s="778"/>
      <c r="K18" s="778"/>
      <c r="L18" s="778"/>
      <c r="M18" s="246"/>
    </row>
    <row r="19" spans="1:13">
      <c r="A19" s="285"/>
      <c r="B19" s="786" t="s">
        <v>65</v>
      </c>
      <c r="C19" s="784"/>
      <c r="D19" s="788">
        <v>85</v>
      </c>
      <c r="E19" s="778"/>
      <c r="F19" s="917" t="s">
        <v>35</v>
      </c>
      <c r="G19" s="778"/>
      <c r="H19" s="138"/>
      <c r="I19" s="778"/>
      <c r="J19" s="778"/>
      <c r="K19" s="778"/>
      <c r="L19" s="778"/>
      <c r="M19" s="246"/>
    </row>
    <row r="20" spans="1:13">
      <c r="A20" s="285"/>
      <c r="B20" s="786"/>
      <c r="C20" s="784"/>
      <c r="D20" s="787"/>
      <c r="E20" s="778"/>
      <c r="F20" s="778"/>
      <c r="G20" s="778"/>
      <c r="H20" s="778"/>
      <c r="I20" s="778"/>
      <c r="J20" s="778"/>
      <c r="K20" s="778"/>
      <c r="L20" s="778"/>
      <c r="M20" s="246"/>
    </row>
    <row r="21" spans="1:13" ht="13">
      <c r="A21" s="285"/>
      <c r="B21" s="779"/>
      <c r="C21" s="25"/>
      <c r="D21" s="78" t="s">
        <v>157</v>
      </c>
      <c r="E21" s="78"/>
      <c r="F21" s="78" t="s">
        <v>158</v>
      </c>
      <c r="G21" s="78"/>
      <c r="H21" s="78" t="s">
        <v>12</v>
      </c>
      <c r="I21" s="778"/>
      <c r="J21" s="778"/>
      <c r="K21" s="778"/>
      <c r="L21" s="778"/>
      <c r="M21" s="246"/>
    </row>
    <row r="22" spans="1:13">
      <c r="A22" s="285"/>
      <c r="B22" s="786"/>
      <c r="C22" s="784"/>
      <c r="D22" s="787"/>
      <c r="E22" s="778"/>
      <c r="F22" s="778"/>
      <c r="G22" s="778"/>
      <c r="H22" s="778"/>
      <c r="I22" s="778"/>
      <c r="J22" s="778"/>
      <c r="K22" s="778"/>
      <c r="L22" s="778"/>
      <c r="M22" s="246"/>
    </row>
    <row r="23" spans="1:13">
      <c r="A23" s="285"/>
      <c r="B23" s="783"/>
      <c r="C23" s="784"/>
      <c r="D23" s="789"/>
      <c r="E23" s="778"/>
      <c r="F23" s="790"/>
      <c r="G23" s="778"/>
      <c r="H23" s="138"/>
      <c r="I23" s="778"/>
      <c r="J23" s="778"/>
      <c r="K23" s="778"/>
      <c r="L23" s="778"/>
      <c r="M23" s="246"/>
    </row>
    <row r="24" spans="1:13" ht="13">
      <c r="A24" s="285"/>
      <c r="B24" s="24" t="s">
        <v>159</v>
      </c>
      <c r="C24" s="784"/>
      <c r="D24" s="787"/>
      <c r="E24" s="778"/>
      <c r="F24" s="778"/>
      <c r="G24" s="778"/>
      <c r="H24" s="138"/>
      <c r="I24" s="778"/>
      <c r="J24" s="778"/>
      <c r="K24" s="778"/>
      <c r="L24" s="778"/>
      <c r="M24" s="246"/>
    </row>
    <row r="25" spans="1:13" ht="13">
      <c r="A25" s="285"/>
      <c r="B25" s="786" t="s">
        <v>160</v>
      </c>
      <c r="C25" s="791"/>
      <c r="D25" s="918">
        <v>100000000</v>
      </c>
      <c r="E25" s="913"/>
      <c r="F25" s="917" t="s">
        <v>35</v>
      </c>
      <c r="G25" s="793"/>
      <c r="H25" s="792"/>
      <c r="I25" s="792"/>
      <c r="J25" s="792"/>
      <c r="K25" s="792"/>
      <c r="L25" s="778"/>
      <c r="M25" s="246"/>
    </row>
    <row r="26" spans="1:13">
      <c r="A26" s="285"/>
      <c r="B26" s="786" t="s">
        <v>161</v>
      </c>
      <c r="C26" s="784"/>
      <c r="D26" s="918">
        <v>100000000</v>
      </c>
      <c r="E26" s="912"/>
      <c r="F26" s="917" t="s">
        <v>35</v>
      </c>
      <c r="G26" s="778"/>
      <c r="H26" s="25"/>
      <c r="I26" s="778"/>
      <c r="J26" s="778"/>
      <c r="K26" s="778"/>
      <c r="L26" s="778"/>
      <c r="M26" s="246"/>
    </row>
    <row r="27" spans="1:13">
      <c r="A27" s="285"/>
      <c r="B27" s="786" t="s">
        <v>162</v>
      </c>
      <c r="C27" s="784"/>
      <c r="D27" s="918">
        <v>100000000</v>
      </c>
      <c r="E27" s="912"/>
      <c r="F27" s="917" t="s">
        <v>35</v>
      </c>
      <c r="G27" s="778"/>
      <c r="H27" s="778"/>
      <c r="I27" s="778"/>
      <c r="J27" s="778"/>
      <c r="K27" s="778"/>
      <c r="L27" s="778"/>
      <c r="M27" s="246"/>
    </row>
    <row r="28" spans="1:13">
      <c r="A28" s="285"/>
      <c r="B28" s="786"/>
      <c r="C28" s="784"/>
      <c r="D28" s="778"/>
      <c r="E28" s="778"/>
      <c r="F28" s="778"/>
      <c r="G28" s="778"/>
      <c r="H28" s="778"/>
      <c r="I28" s="778"/>
      <c r="J28" s="778"/>
      <c r="K28" s="778"/>
      <c r="L28" s="778"/>
      <c r="M28" s="246"/>
    </row>
    <row r="29" spans="1:13" ht="13">
      <c r="A29" s="285"/>
      <c r="B29" s="24" t="s">
        <v>255</v>
      </c>
      <c r="C29" s="784"/>
      <c r="D29" s="778"/>
      <c r="E29" s="778"/>
      <c r="F29" s="785"/>
      <c r="G29" s="778"/>
      <c r="H29" s="138" t="s">
        <v>43</v>
      </c>
      <c r="I29" s="778"/>
      <c r="J29" s="778"/>
      <c r="K29" s="778"/>
      <c r="L29" s="778"/>
      <c r="M29" s="246"/>
    </row>
    <row r="30" spans="1:13">
      <c r="A30" s="285"/>
      <c r="B30" s="25"/>
      <c r="C30" s="784"/>
      <c r="D30" s="778"/>
      <c r="E30" s="778"/>
      <c r="F30" s="785"/>
      <c r="G30" s="778"/>
      <c r="H30" s="138"/>
      <c r="I30" s="778"/>
      <c r="J30" s="778"/>
      <c r="K30" s="778"/>
      <c r="L30" s="778"/>
      <c r="M30" s="246"/>
    </row>
    <row r="31" spans="1:13" ht="13">
      <c r="A31" s="285"/>
      <c r="B31" s="24" t="s">
        <v>297</v>
      </c>
      <c r="C31" s="784"/>
      <c r="D31" s="778"/>
      <c r="E31" s="778"/>
      <c r="F31" s="785"/>
      <c r="G31" s="778"/>
      <c r="H31" s="138" t="s">
        <v>43</v>
      </c>
      <c r="I31" s="778"/>
      <c r="J31" s="778"/>
      <c r="K31" s="778"/>
      <c r="L31" s="778"/>
      <c r="M31" s="246"/>
    </row>
    <row r="32" spans="1:13">
      <c r="A32" s="285"/>
      <c r="B32" s="25"/>
      <c r="C32" s="784"/>
      <c r="D32" s="778"/>
      <c r="E32" s="778"/>
      <c r="F32" s="785"/>
      <c r="G32" s="778"/>
      <c r="H32" s="138"/>
      <c r="I32" s="778"/>
      <c r="J32" s="778"/>
      <c r="K32" s="778"/>
      <c r="L32" s="778"/>
      <c r="M32" s="246"/>
    </row>
    <row r="33" spans="1:13" ht="13">
      <c r="A33" s="285"/>
      <c r="B33" s="97" t="s">
        <v>298</v>
      </c>
      <c r="C33" s="784"/>
      <c r="D33" s="778"/>
      <c r="E33" s="778"/>
      <c r="F33" s="778"/>
      <c r="G33" s="778"/>
      <c r="H33" s="138"/>
      <c r="I33" s="778"/>
      <c r="J33" s="778"/>
      <c r="K33" s="778"/>
      <c r="L33" s="778"/>
      <c r="M33" s="246"/>
    </row>
    <row r="34" spans="1:13" ht="13">
      <c r="A34" s="285"/>
      <c r="B34" s="786" t="s">
        <v>254</v>
      </c>
      <c r="C34" s="784"/>
      <c r="D34" s="78" t="s">
        <v>157</v>
      </c>
      <c r="E34" s="778"/>
      <c r="F34" s="967">
        <v>45565</v>
      </c>
      <c r="G34" s="778"/>
      <c r="H34" s="778"/>
      <c r="I34" s="778"/>
      <c r="J34" s="778"/>
      <c r="K34" s="778"/>
      <c r="L34" s="778"/>
      <c r="M34" s="246"/>
    </row>
    <row r="35" spans="1:13">
      <c r="A35" s="285"/>
      <c r="B35" s="783" t="s">
        <v>628</v>
      </c>
      <c r="C35" s="784"/>
      <c r="D35" s="789">
        <v>3.2500000000000001E-2</v>
      </c>
      <c r="E35" s="778"/>
      <c r="F35" s="790">
        <v>3.3474809661640119E-2</v>
      </c>
      <c r="G35" s="778"/>
      <c r="H35" s="138" t="s">
        <v>1022</v>
      </c>
      <c r="I35" s="778"/>
      <c r="J35" s="778"/>
      <c r="K35" s="778"/>
      <c r="L35" s="778"/>
      <c r="M35" s="246"/>
    </row>
    <row r="36" spans="1:13" ht="10" customHeight="1">
      <c r="A36" s="285"/>
      <c r="C36" s="784"/>
      <c r="D36" s="789"/>
      <c r="E36" s="778"/>
      <c r="F36" s="85"/>
      <c r="G36" s="778"/>
      <c r="H36" s="138"/>
      <c r="I36" s="778"/>
      <c r="J36" s="778"/>
      <c r="K36" s="778"/>
      <c r="L36" s="778"/>
      <c r="M36" s="246"/>
    </row>
    <row r="37" spans="1:13" ht="13">
      <c r="A37" s="285"/>
      <c r="B37" s="1006" t="s">
        <v>1021</v>
      </c>
      <c r="C37" s="784"/>
      <c r="D37" s="789"/>
      <c r="E37" s="778"/>
      <c r="F37" s="968">
        <f>EOMONTH(F2,-1)</f>
        <v>45838</v>
      </c>
      <c r="G37" s="778"/>
      <c r="H37" s="138"/>
      <c r="I37" s="778"/>
      <c r="J37" s="778"/>
      <c r="K37" s="778"/>
      <c r="L37" s="778"/>
      <c r="M37" s="246"/>
    </row>
    <row r="38" spans="1:13">
      <c r="A38" s="285"/>
      <c r="B38" s="1006"/>
      <c r="C38" s="784"/>
      <c r="D38" s="789"/>
      <c r="E38" s="778"/>
      <c r="F38" s="969">
        <f>VLOOKUP(F4,'3.3 Defaults &amp; Recoveries p.p.'!B20:K100,10,FALSE)</f>
        <v>4.4932845930851888E-2</v>
      </c>
      <c r="G38" s="778"/>
      <c r="H38" s="138"/>
      <c r="I38" s="778"/>
      <c r="J38" s="778"/>
      <c r="K38" s="778"/>
      <c r="L38" s="778"/>
      <c r="M38" s="246"/>
    </row>
    <row r="39" spans="1:13" ht="10" customHeight="1">
      <c r="A39" s="285"/>
      <c r="B39" s="783"/>
      <c r="C39" s="784"/>
      <c r="D39" s="789"/>
      <c r="E39" s="778"/>
      <c r="F39" s="962"/>
      <c r="G39" s="778"/>
      <c r="H39" s="138"/>
      <c r="I39" s="778"/>
      <c r="J39" s="778"/>
      <c r="K39" s="778"/>
      <c r="L39" s="778"/>
      <c r="M39" s="246"/>
    </row>
    <row r="40" spans="1:13" ht="15" customHeight="1">
      <c r="A40" s="285"/>
      <c r="B40" s="786" t="s">
        <v>464</v>
      </c>
      <c r="C40" s="794"/>
      <c r="D40" s="919">
        <v>20000000</v>
      </c>
      <c r="E40" s="914"/>
      <c r="F40" s="919">
        <f>'3.2 Default Data'!F68+'3.2 Default Data'!F74</f>
        <v>19661096.159999996</v>
      </c>
      <c r="G40" s="72"/>
      <c r="H40" s="138" t="str">
        <f>IF(NOT(ISNUMBER(F40)),"no",IF(F40&gt;D40,"yes","no"))</f>
        <v>no</v>
      </c>
      <c r="I40" s="778"/>
      <c r="J40" s="778"/>
      <c r="K40" s="778"/>
      <c r="L40" s="778"/>
      <c r="M40" s="246"/>
    </row>
    <row r="41" spans="1:13" ht="27.5" customHeight="1">
      <c r="A41" s="285"/>
      <c r="B41" s="796" t="s">
        <v>469</v>
      </c>
      <c r="C41" s="797">
        <v>0.1</v>
      </c>
      <c r="D41" s="789"/>
      <c r="E41" s="778"/>
      <c r="F41" s="790">
        <f>'1. Portfolio Information'!F28/'1.1 Portfolio Information p.p.'!C15</f>
        <v>0.51291948449179037</v>
      </c>
      <c r="G41" s="778"/>
      <c r="H41" s="138" t="str">
        <f>IF(NOT(ISNUMBER(F41)),"no",IF(F41&lt;C41,"yes","no"))</f>
        <v>no</v>
      </c>
      <c r="I41" s="778"/>
      <c r="J41" s="778"/>
      <c r="K41" s="778"/>
      <c r="L41" s="778"/>
      <c r="M41" s="246"/>
    </row>
    <row r="42" spans="1:13" ht="16.5" customHeight="1">
      <c r="A42" s="285"/>
      <c r="B42" s="796" t="s">
        <v>470</v>
      </c>
      <c r="C42" s="797"/>
      <c r="D42" s="789">
        <v>3.5000000000000001E-3</v>
      </c>
      <c r="E42" s="778"/>
      <c r="F42" s="790">
        <f>'3.3 Defaults &amp; Recoveries p.p.'!L17</f>
        <v>2.8715732672024655E-3</v>
      </c>
      <c r="G42" s="778"/>
      <c r="H42" s="138" t="str">
        <f>IF(OR(F42&lt;D42,F42="n/a"),"no","yes")</f>
        <v>no</v>
      </c>
      <c r="I42" s="778"/>
      <c r="J42" s="778"/>
      <c r="K42" s="778"/>
      <c r="L42" s="778"/>
      <c r="M42" s="246"/>
    </row>
    <row r="43" spans="1:13" ht="15.5" customHeight="1">
      <c r="A43" s="285"/>
      <c r="B43" s="783" t="s">
        <v>453</v>
      </c>
      <c r="C43" s="784"/>
      <c r="D43" s="789"/>
      <c r="E43" s="778"/>
      <c r="F43" s="790"/>
      <c r="G43" s="778"/>
      <c r="H43" s="138" t="s">
        <v>43</v>
      </c>
      <c r="I43" s="778"/>
      <c r="J43" s="778"/>
      <c r="K43" s="778"/>
      <c r="L43" s="778"/>
      <c r="M43" s="246"/>
    </row>
    <row r="44" spans="1:13" ht="15.5" customHeight="1">
      <c r="A44" s="285"/>
      <c r="B44" s="96" t="s">
        <v>319</v>
      </c>
      <c r="C44" s="784"/>
      <c r="D44" s="778"/>
      <c r="E44" s="778"/>
      <c r="F44" s="778"/>
      <c r="G44" s="778"/>
      <c r="H44" s="138" t="s">
        <v>43</v>
      </c>
      <c r="I44" s="778"/>
      <c r="J44" s="778"/>
      <c r="K44" s="778"/>
      <c r="L44" s="778"/>
      <c r="M44" s="246"/>
    </row>
    <row r="45" spans="1:13" ht="15" customHeight="1">
      <c r="A45" s="285"/>
      <c r="B45" s="786" t="s">
        <v>321</v>
      </c>
      <c r="C45" s="784"/>
      <c r="D45" s="778"/>
      <c r="E45" s="778"/>
      <c r="F45" s="778"/>
      <c r="G45" s="778"/>
      <c r="H45" s="915" t="s">
        <v>43</v>
      </c>
      <c r="I45" s="778"/>
      <c r="J45" s="778"/>
      <c r="K45" s="778"/>
      <c r="L45" s="778"/>
      <c r="M45" s="246"/>
    </row>
    <row r="46" spans="1:13">
      <c r="A46" s="285"/>
      <c r="B46" s="786"/>
      <c r="C46" s="784"/>
      <c r="D46" s="778"/>
      <c r="E46" s="778"/>
      <c r="F46" s="778"/>
      <c r="G46" s="778"/>
      <c r="H46" s="778"/>
      <c r="I46" s="778"/>
      <c r="J46" s="778"/>
      <c r="K46" s="778"/>
      <c r="L46" s="778"/>
      <c r="M46" s="246"/>
    </row>
    <row r="47" spans="1:13" ht="13">
      <c r="A47" s="285"/>
      <c r="B47" s="24" t="s">
        <v>320</v>
      </c>
      <c r="C47" s="24"/>
      <c r="D47" s="798"/>
      <c r="E47" s="24"/>
      <c r="F47" s="799"/>
      <c r="G47" s="24"/>
      <c r="H47" s="138"/>
      <c r="I47" s="778"/>
      <c r="J47" s="778"/>
      <c r="K47" s="778"/>
      <c r="L47" s="778"/>
      <c r="M47" s="246"/>
    </row>
    <row r="48" spans="1:13" ht="13">
      <c r="A48" s="239"/>
      <c r="B48" s="786" t="s">
        <v>254</v>
      </c>
      <c r="C48" s="784"/>
      <c r="D48" s="25"/>
      <c r="E48" s="778"/>
      <c r="F48" s="778"/>
      <c r="G48" s="778"/>
      <c r="H48" s="778"/>
      <c r="I48" s="25"/>
      <c r="J48" s="800"/>
      <c r="K48" s="25"/>
      <c r="L48" s="801"/>
      <c r="M48" s="246"/>
    </row>
    <row r="49" spans="1:13">
      <c r="A49" s="239"/>
      <c r="B49" s="783" t="s">
        <v>627</v>
      </c>
      <c r="C49" s="784"/>
      <c r="D49" s="789">
        <v>0.02</v>
      </c>
      <c r="E49" s="778"/>
      <c r="F49" s="917" t="s">
        <v>35</v>
      </c>
      <c r="G49" s="778"/>
      <c r="H49" s="138"/>
      <c r="I49" s="25"/>
      <c r="J49" s="25"/>
      <c r="K49" s="25"/>
      <c r="L49" s="25"/>
      <c r="M49" s="246"/>
    </row>
    <row r="50" spans="1:13">
      <c r="A50" s="239"/>
      <c r="B50" s="802" t="s">
        <v>159</v>
      </c>
      <c r="C50" s="6"/>
      <c r="D50" s="803"/>
      <c r="E50" s="25"/>
      <c r="F50" s="804"/>
      <c r="G50" s="25"/>
      <c r="H50" s="138"/>
      <c r="I50" s="25"/>
      <c r="J50" s="25"/>
      <c r="K50" s="25"/>
      <c r="L50" s="25"/>
      <c r="M50" s="246"/>
    </row>
    <row r="51" spans="1:13" ht="13">
      <c r="A51" s="239"/>
      <c r="B51" s="25" t="s">
        <v>321</v>
      </c>
      <c r="C51" s="24"/>
      <c r="D51" s="798"/>
      <c r="E51" s="24"/>
      <c r="F51" s="799"/>
      <c r="G51" s="24"/>
      <c r="H51" s="138"/>
      <c r="I51" s="25"/>
      <c r="J51" s="800"/>
      <c r="K51" s="25"/>
      <c r="L51" s="800"/>
      <c r="M51" s="246"/>
    </row>
    <row r="52" spans="1:13" ht="13">
      <c r="A52" s="239"/>
      <c r="B52" s="25" t="s">
        <v>297</v>
      </c>
      <c r="C52" s="25"/>
      <c r="D52" s="25"/>
      <c r="E52" s="25"/>
      <c r="F52" s="25"/>
      <c r="G52" s="25"/>
      <c r="H52" s="6"/>
      <c r="I52" s="25"/>
      <c r="J52" s="800"/>
      <c r="K52" s="25"/>
      <c r="L52" s="800"/>
      <c r="M52" s="246"/>
    </row>
    <row r="53" spans="1:13" ht="13">
      <c r="A53" s="239"/>
      <c r="B53" s="25" t="s">
        <v>570</v>
      </c>
      <c r="C53" s="25"/>
      <c r="D53" s="795"/>
      <c r="E53" s="72"/>
      <c r="F53" s="795"/>
      <c r="G53" s="72"/>
      <c r="H53" s="138"/>
      <c r="I53" s="25"/>
      <c r="J53" s="805"/>
      <c r="K53" s="25"/>
      <c r="L53" s="805"/>
      <c r="M53" s="246"/>
    </row>
    <row r="54" spans="1:13" ht="13">
      <c r="A54" s="239"/>
      <c r="B54" s="786" t="s">
        <v>161</v>
      </c>
      <c r="C54" s="25"/>
      <c r="D54" s="1004">
        <v>2.5000000000000001E-3</v>
      </c>
      <c r="E54" s="25"/>
      <c r="F54" s="917" t="s">
        <v>35</v>
      </c>
      <c r="G54" s="25"/>
      <c r="H54" s="1005"/>
      <c r="I54" s="25"/>
      <c r="J54" s="806"/>
      <c r="K54" s="25"/>
      <c r="L54" s="694"/>
      <c r="M54" s="246"/>
    </row>
    <row r="55" spans="1:13">
      <c r="A55" s="239"/>
      <c r="B55" s="786" t="s">
        <v>162</v>
      </c>
      <c r="C55" s="25"/>
      <c r="D55" s="1005"/>
      <c r="E55" s="25"/>
      <c r="F55" s="917" t="s">
        <v>35</v>
      </c>
      <c r="G55" s="25"/>
      <c r="H55" s="1005"/>
      <c r="I55" s="25"/>
      <c r="J55" s="25"/>
      <c r="K55" s="25"/>
      <c r="L55" s="25"/>
      <c r="M55" s="246"/>
    </row>
    <row r="56" spans="1:13">
      <c r="A56" s="239"/>
      <c r="D56" s="328"/>
      <c r="F56" s="328"/>
      <c r="H56" s="25"/>
      <c r="I56" s="25"/>
      <c r="J56" s="25"/>
      <c r="K56" s="25"/>
      <c r="L56" s="25"/>
      <c r="M56" s="246"/>
    </row>
    <row r="57" spans="1:13" ht="18" customHeight="1">
      <c r="A57" s="239"/>
      <c r="B57" s="240"/>
      <c r="D57" s="328"/>
      <c r="F57" s="328"/>
      <c r="H57" s="25"/>
      <c r="I57" s="25"/>
      <c r="J57" s="25"/>
      <c r="K57" s="25"/>
      <c r="L57" s="25"/>
      <c r="M57" s="246"/>
    </row>
    <row r="58" spans="1:13" ht="12.75" customHeight="1">
      <c r="A58" s="239"/>
      <c r="D58" s="807"/>
      <c r="F58" s="328"/>
      <c r="H58" s="25"/>
      <c r="I58" s="25"/>
      <c r="J58" s="25"/>
      <c r="K58" s="25"/>
      <c r="L58" s="25"/>
      <c r="M58" s="246"/>
    </row>
    <row r="59" spans="1:13" ht="12.75" customHeight="1">
      <c r="A59" s="239"/>
      <c r="D59" s="807"/>
      <c r="F59" s="328"/>
      <c r="H59" s="25"/>
      <c r="I59" s="25"/>
      <c r="J59" s="25"/>
      <c r="K59" s="25"/>
      <c r="L59" s="25"/>
      <c r="M59" s="246"/>
    </row>
    <row r="60" spans="1:13">
      <c r="A60" s="239"/>
      <c r="D60" s="808"/>
      <c r="F60" s="328"/>
      <c r="H60" s="25"/>
      <c r="I60" s="25"/>
      <c r="J60" s="25"/>
      <c r="K60" s="25"/>
      <c r="L60" s="25"/>
      <c r="M60" s="246"/>
    </row>
    <row r="61" spans="1:13" ht="5.25" customHeight="1">
      <c r="A61" s="239"/>
      <c r="D61" s="809"/>
      <c r="F61" s="328"/>
      <c r="H61" s="25"/>
      <c r="I61" s="25"/>
      <c r="J61" s="25"/>
      <c r="K61" s="25"/>
      <c r="L61" s="25"/>
      <c r="M61" s="246"/>
    </row>
    <row r="62" spans="1:13">
      <c r="A62" s="239"/>
      <c r="B62" s="810" t="s">
        <v>573</v>
      </c>
      <c r="D62" s="809"/>
      <c r="F62" s="328"/>
      <c r="H62" s="25"/>
      <c r="I62" s="25"/>
      <c r="J62" s="25"/>
      <c r="K62" s="25"/>
      <c r="L62" s="25"/>
      <c r="M62" s="246"/>
    </row>
    <row r="63" spans="1:13">
      <c r="A63" s="348"/>
      <c r="B63" s="40"/>
      <c r="C63" s="811"/>
      <c r="D63" s="812"/>
      <c r="E63" s="812"/>
      <c r="F63" s="812"/>
      <c r="G63" s="812"/>
      <c r="H63" s="812"/>
      <c r="I63" s="812"/>
      <c r="J63" s="812"/>
      <c r="K63" s="812"/>
      <c r="L63" s="812"/>
      <c r="M63" s="319"/>
    </row>
    <row r="64" spans="1:13">
      <c r="D64" s="809"/>
      <c r="F64" s="328"/>
      <c r="H64" s="25"/>
      <c r="I64" s="25"/>
      <c r="J64" s="25"/>
      <c r="K64" s="25"/>
      <c r="L64" s="25"/>
    </row>
    <row r="65" spans="3:12">
      <c r="D65" s="809"/>
      <c r="F65" s="328"/>
      <c r="H65" s="25"/>
      <c r="I65" s="25"/>
      <c r="J65" s="25"/>
      <c r="K65" s="25"/>
      <c r="L65" s="25"/>
    </row>
    <row r="66" spans="3:12">
      <c r="D66" s="809"/>
      <c r="F66" s="328"/>
      <c r="H66" s="25"/>
      <c r="I66" s="25"/>
      <c r="J66" s="25"/>
      <c r="K66" s="25"/>
      <c r="L66" s="25"/>
    </row>
    <row r="67" spans="3:12">
      <c r="D67" s="813"/>
      <c r="F67" s="328"/>
      <c r="H67" s="25"/>
      <c r="I67" s="25"/>
      <c r="J67" s="25"/>
      <c r="K67" s="25"/>
      <c r="L67" s="25"/>
    </row>
    <row r="68" spans="3:12">
      <c r="D68" s="813"/>
      <c r="F68" s="328"/>
      <c r="H68" s="25"/>
      <c r="I68" s="25"/>
      <c r="J68" s="25"/>
      <c r="K68" s="25"/>
      <c r="L68" s="25"/>
    </row>
    <row r="69" spans="3:12">
      <c r="D69" s="809"/>
      <c r="H69" s="25"/>
      <c r="I69" s="25"/>
      <c r="J69" s="25"/>
      <c r="K69" s="25"/>
      <c r="L69" s="25"/>
    </row>
    <row r="70" spans="3:12">
      <c r="D70" s="809"/>
      <c r="H70" s="25"/>
      <c r="I70" s="25"/>
      <c r="J70" s="25"/>
      <c r="K70" s="25"/>
      <c r="L70" s="25"/>
    </row>
    <row r="71" spans="3:12" ht="12.75" customHeight="1">
      <c r="D71" s="328"/>
    </row>
    <row r="73" spans="3:12">
      <c r="H73" s="270"/>
    </row>
    <row r="74" spans="3:12">
      <c r="H74" s="270"/>
    </row>
    <row r="76" spans="3:12">
      <c r="C76" s="814"/>
      <c r="D76" s="815"/>
      <c r="F76" s="815"/>
      <c r="H76" s="270"/>
    </row>
    <row r="77" spans="3:12">
      <c r="C77" s="814"/>
      <c r="D77" s="815"/>
      <c r="F77" s="815"/>
    </row>
    <row r="79" spans="3:12">
      <c r="C79" s="814"/>
      <c r="D79" s="814"/>
      <c r="E79" s="814"/>
      <c r="F79" s="814"/>
    </row>
    <row r="81" spans="2:2">
      <c r="B81" s="25"/>
    </row>
    <row r="82" spans="2:2">
      <c r="B82" s="25"/>
    </row>
    <row r="83" spans="2:2">
      <c r="B83" s="25"/>
    </row>
  </sheetData>
  <mergeCells count="3">
    <mergeCell ref="D54:D55"/>
    <mergeCell ref="H54:H55"/>
    <mergeCell ref="B37:B38"/>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4">
    <cfRule type="cellIs" dxfId="2" priority="5" stopIfTrue="1" operator="equal">
      <formula>"yes"</formula>
    </cfRule>
  </conditionalFormatting>
  <conditionalFormatting sqref="H47:H51">
    <cfRule type="cellIs" dxfId="1" priority="7" stopIfTrue="1" operator="equal">
      <formula>"yes"</formula>
    </cfRule>
  </conditionalFormatting>
  <conditionalFormatting sqref="H53">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vt:lpstr>
      <vt:lpstr>calc_data</vt:lpstr>
      <vt:lpstr>calcdata_22</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2024-11-08T11:42:16Z</dcterms:created>
  <dcterms:modified xsi:type="dcterms:W3CDTF">2025-07-09T12:56:52Z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2024-11-08T15:58:37Z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35821cb7-2278-4dd2-835d-aea4ac56b115</vt:lpwstr>
  </property>
  <property fmtid="{D5CDD505-2E9C-101B-9397-08002B2CF9AE}" pid="8" name="MSIP_Label_41b88ec2-a72b-4523-9e84-0458a1764731_ContentBits">
    <vt:lpwstr>0</vt:lpwstr>
  </property>
</Properties>
</file>