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AE769206-5765-48E4-AC07-5828396F3C14}" xr6:coauthVersionLast="47" xr6:coauthVersionMax="47" xr10:uidLastSave="{00000000-0000-0000-0000-000000000000}"/>
  <bookViews>
    <workbookView xWindow="28680" yWindow="-120" windowWidth="51840" windowHeight="21120"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3" state="hidden" r:id="rId38"/>
    <sheet name="calc_data" sheetId="94" state="hidden" r:id="rId39"/>
    <sheet name="delinquency" sheetId="95" state="hidden" r:id="rId40"/>
    <sheet name="default" sheetId="96" state="hidden" r:id="rId41"/>
    <sheet name="portfolio" sheetId="97" state="hidden" r:id="rId42"/>
    <sheet name="rating" sheetId="98" state="hidden" r:id="rId43"/>
  </sheets>
  <externalReferences>
    <externalReference r:id="rId44"/>
    <externalReference r:id="rId45"/>
  </externalReferences>
  <definedNames>
    <definedName name="Assets">Daten!$B:$D</definedName>
    <definedName name="Assets_Daten">[1]Daten!$B:$E</definedName>
    <definedName name="calc_data">calc_data!$A$1:$E$243</definedName>
    <definedName name="calcdata">[2]calc_data!$B:$E</definedName>
    <definedName name="calcdata_22">calc_data!$B:$E</definedName>
    <definedName name="Counterparties">'21. Counterparties'!$B$2</definedName>
    <definedName name="daten">Daten!$A$1:$D$349</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Costs'!$A$1:$U$69</definedName>
    <definedName name="_xlnm.Print_Area" localSheetId="4">'2. Reserve Accounts'!$A$1:$K$48</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portfolio!$A$1:$G$36</definedName>
    <definedName name="portfolio_p.p">[1]portfolio!$B:$G</definedName>
    <definedName name="portfolio_p.p.">portfolio!$B:$G</definedName>
    <definedName name="rating">rating!$A$1:$S$18</definedName>
    <definedName name="ratings">rating!$B$1:$S$19</definedName>
    <definedName name="Santander">'24. Santander Consumer Bank'!$B$2</definedName>
    <definedName name="Swap2">'23. Swap Counterparty Data'!$B$2</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F4" i="79"/>
  <c r="D4" i="79"/>
  <c r="D3" i="79"/>
  <c r="B3" i="79"/>
  <c r="D2" i="79"/>
  <c r="B2" i="79"/>
  <c r="B76" i="78"/>
  <c r="I60" i="78"/>
  <c r="H60" i="78"/>
  <c r="G60" i="78"/>
  <c r="F60" i="78"/>
  <c r="E60" i="78"/>
  <c r="D60"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7" i="83"/>
  <c r="D67" i="83"/>
  <c r="S66" i="83"/>
  <c r="Q66" i="83"/>
  <c r="O66" i="83"/>
  <c r="M66" i="83"/>
  <c r="K66" i="83"/>
  <c r="I66" i="83"/>
  <c r="G66" i="83"/>
  <c r="E66" i="83"/>
  <c r="S65" i="83"/>
  <c r="Q65" i="83"/>
  <c r="O65" i="83"/>
  <c r="M65" i="83"/>
  <c r="K65" i="83"/>
  <c r="D65" i="83" s="1"/>
  <c r="I65" i="83"/>
  <c r="G65" i="83"/>
  <c r="E65" i="83"/>
  <c r="S64" i="83"/>
  <c r="Q64" i="83"/>
  <c r="O64" i="83"/>
  <c r="M64" i="83"/>
  <c r="K64" i="83"/>
  <c r="I64" i="83"/>
  <c r="G64" i="83"/>
  <c r="E64" i="83"/>
  <c r="S63" i="83"/>
  <c r="Q63" i="83"/>
  <c r="O63" i="83"/>
  <c r="M63" i="83"/>
  <c r="K63" i="83"/>
  <c r="I63" i="83"/>
  <c r="G63" i="83"/>
  <c r="E63" i="83"/>
  <c r="S62" i="83"/>
  <c r="Q62" i="83"/>
  <c r="O62" i="83"/>
  <c r="M62" i="83"/>
  <c r="K62" i="83"/>
  <c r="I62" i="83"/>
  <c r="G62" i="83"/>
  <c r="E62" i="83"/>
  <c r="D62" i="83" s="1"/>
  <c r="S61" i="83"/>
  <c r="Q61" i="83"/>
  <c r="O61" i="83"/>
  <c r="M61" i="83"/>
  <c r="K61" i="83"/>
  <c r="J44" i="84" s="1"/>
  <c r="I61" i="83"/>
  <c r="G61" i="83"/>
  <c r="E61"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60"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D21" i="69"/>
  <c r="H20" i="69"/>
  <c r="D20" i="69"/>
  <c r="H19" i="69"/>
  <c r="F19" i="69" s="1"/>
  <c r="D19" i="69"/>
  <c r="H18" i="69"/>
  <c r="F18" i="69" s="1"/>
  <c r="D18" i="69"/>
  <c r="H17" i="69"/>
  <c r="F17" i="69" s="1"/>
  <c r="E17" i="69"/>
  <c r="D17" i="69"/>
  <c r="H16" i="69"/>
  <c r="F16" i="69" s="1"/>
  <c r="D16" i="69"/>
  <c r="H15" i="69"/>
  <c r="F15" i="69" s="1"/>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F4"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F5" i="47"/>
  <c r="D5" i="47"/>
  <c r="D4" i="47"/>
  <c r="D3" i="47"/>
  <c r="B3" i="47"/>
  <c r="D2" i="47"/>
  <c r="B2" i="47"/>
  <c r="G23" i="46"/>
  <c r="H22" i="46" s="1"/>
  <c r="G22" i="46"/>
  <c r="E22" i="46"/>
  <c r="H21" i="46"/>
  <c r="H23" i="46" s="1"/>
  <c r="G21" i="46"/>
  <c r="E21" i="46"/>
  <c r="G16" i="46"/>
  <c r="H15" i="46" s="1"/>
  <c r="G15" i="46"/>
  <c r="E15" i="46"/>
  <c r="H14" i="46"/>
  <c r="H16" i="46" s="1"/>
  <c r="G14" i="46"/>
  <c r="E14" i="46"/>
  <c r="G7" i="46"/>
  <c r="E7" i="46"/>
  <c r="D7" i="46"/>
  <c r="I6" i="46"/>
  <c r="G6" i="46"/>
  <c r="E6" i="46"/>
  <c r="D6" i="46"/>
  <c r="D5" i="46"/>
  <c r="D4" i="46"/>
  <c r="D3" i="46"/>
  <c r="B3" i="46"/>
  <c r="D2" i="46"/>
  <c r="B2" i="46"/>
  <c r="G16" i="44"/>
  <c r="E16" i="44"/>
  <c r="G15" i="44"/>
  <c r="E15" i="44"/>
  <c r="G14" i="44"/>
  <c r="E14" i="44"/>
  <c r="G7" i="44"/>
  <c r="E7" i="44"/>
  <c r="D7" i="44"/>
  <c r="I6" i="44"/>
  <c r="G6" i="44"/>
  <c r="E6" i="44"/>
  <c r="D6" i="44"/>
  <c r="D5" i="44"/>
  <c r="F4" i="44"/>
  <c r="D4" i="44"/>
  <c r="D3" i="44"/>
  <c r="B3" i="44"/>
  <c r="D2" i="44"/>
  <c r="B2" i="44"/>
  <c r="G15" i="43"/>
  <c r="F15" i="43"/>
  <c r="E15" i="43"/>
  <c r="G14" i="43"/>
  <c r="G16" i="43" s="1"/>
  <c r="H14" i="43" s="1"/>
  <c r="F14" i="43"/>
  <c r="F16" i="43" s="1"/>
  <c r="E14" i="43"/>
  <c r="E16" i="43" s="1"/>
  <c r="G7" i="43"/>
  <c r="E7" i="43"/>
  <c r="D7" i="43"/>
  <c r="I6" i="43"/>
  <c r="G6" i="43"/>
  <c r="E6" i="43"/>
  <c r="D6" i="43"/>
  <c r="D5" i="43"/>
  <c r="D4" i="43"/>
  <c r="F3" i="43"/>
  <c r="D3" i="43"/>
  <c r="B3" i="43"/>
  <c r="D2" i="43"/>
  <c r="B2" i="43"/>
  <c r="G7" i="63"/>
  <c r="E7" i="63"/>
  <c r="D7" i="63"/>
  <c r="I6" i="63"/>
  <c r="G6" i="63"/>
  <c r="E6" i="63"/>
  <c r="D6" i="63"/>
  <c r="F5" i="63"/>
  <c r="D5" i="63"/>
  <c r="D4" i="63"/>
  <c r="F3"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5" i="41"/>
  <c r="H14" i="41"/>
  <c r="G14" i="41"/>
  <c r="F14" i="41"/>
  <c r="G7" i="41"/>
  <c r="E7" i="41"/>
  <c r="D7" i="41"/>
  <c r="I6" i="41"/>
  <c r="G6" i="41"/>
  <c r="E6" i="41"/>
  <c r="D6" i="41"/>
  <c r="D5" i="41"/>
  <c r="D4" i="41"/>
  <c r="D3" i="41"/>
  <c r="B3" i="41"/>
  <c r="D2" i="41"/>
  <c r="B2" i="41"/>
  <c r="G7" i="62"/>
  <c r="E7" i="62"/>
  <c r="D7" i="62"/>
  <c r="I6" i="62"/>
  <c r="G6" i="62"/>
  <c r="E6" i="62"/>
  <c r="D6" i="62"/>
  <c r="D5" i="62"/>
  <c r="F4" i="62"/>
  <c r="D4" i="62"/>
  <c r="D3" i="62"/>
  <c r="B3" i="62"/>
  <c r="D2" i="62"/>
  <c r="B2" i="62"/>
  <c r="G55" i="40"/>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H6" i="37"/>
  <c r="G6" i="37"/>
  <c r="E6" i="37"/>
  <c r="D6" i="37"/>
  <c r="D5" i="37"/>
  <c r="F4" i="37"/>
  <c r="D4" i="37"/>
  <c r="D3" i="37"/>
  <c r="B3" i="37"/>
  <c r="D2" i="37"/>
  <c r="B2" i="37"/>
  <c r="D46" i="84"/>
  <c r="P45" i="84"/>
  <c r="N45" i="84"/>
  <c r="L45" i="84"/>
  <c r="L46" i="84" s="1"/>
  <c r="J45" i="84"/>
  <c r="J46" i="84" s="1"/>
  <c r="H45" i="84"/>
  <c r="F45" i="84"/>
  <c r="D45" i="84"/>
  <c r="P44" i="84"/>
  <c r="N44" i="84"/>
  <c r="L44" i="84"/>
  <c r="H44" i="84"/>
  <c r="F44" i="84"/>
  <c r="D44" i="84"/>
  <c r="J41" i="84"/>
  <c r="C40" i="84"/>
  <c r="C38" i="84"/>
  <c r="H35" i="84"/>
  <c r="H33" i="84"/>
  <c r="D33" i="84"/>
  <c r="J32" i="84"/>
  <c r="J42" i="84" s="1"/>
  <c r="H32" i="84"/>
  <c r="H42" i="84" s="1"/>
  <c r="P31" i="84"/>
  <c r="N31" i="84"/>
  <c r="L31" i="84"/>
  <c r="J31" i="84"/>
  <c r="H31" i="84"/>
  <c r="F31" i="84"/>
  <c r="D31" i="84"/>
  <c r="C30" i="84"/>
  <c r="C29" i="84"/>
  <c r="P27" i="84"/>
  <c r="N27" i="84"/>
  <c r="L27" i="84"/>
  <c r="J27" i="84"/>
  <c r="H27" i="84"/>
  <c r="F27" i="84"/>
  <c r="D27" i="84"/>
  <c r="P24" i="84"/>
  <c r="J24" i="84"/>
  <c r="H24" i="84"/>
  <c r="F24" i="84"/>
  <c r="D24" i="84"/>
  <c r="D32" i="84" s="1"/>
  <c r="D42" i="84" s="1"/>
  <c r="N23" i="84"/>
  <c r="N24" i="84" s="1"/>
  <c r="L23" i="84"/>
  <c r="L24" i="84" s="1"/>
  <c r="L32" i="84" s="1"/>
  <c r="L42" i="84" s="1"/>
  <c r="J23" i="84"/>
  <c r="H23" i="84"/>
  <c r="F23" i="84"/>
  <c r="C22" i="84"/>
  <c r="P21" i="84"/>
  <c r="N21" i="84"/>
  <c r="L21" i="84"/>
  <c r="J21" i="84"/>
  <c r="H21" i="84"/>
  <c r="F21" i="84"/>
  <c r="D21" i="84"/>
  <c r="G7" i="84"/>
  <c r="D7" i="84"/>
  <c r="I6" i="84"/>
  <c r="G6" i="84"/>
  <c r="D6" i="84"/>
  <c r="D5" i="84"/>
  <c r="D4" i="84"/>
  <c r="F3" i="84"/>
  <c r="D3" i="84"/>
  <c r="B3" i="84"/>
  <c r="D2" i="84"/>
  <c r="B2" i="84"/>
  <c r="G7" i="85"/>
  <c r="D7" i="85"/>
  <c r="I6" i="85"/>
  <c r="G6" i="85"/>
  <c r="F6" i="85"/>
  <c r="D6" i="85"/>
  <c r="D5" i="85"/>
  <c r="F4" i="85"/>
  <c r="D4" i="85"/>
  <c r="D3" i="85"/>
  <c r="B3" i="85"/>
  <c r="D2" i="85"/>
  <c r="B2" i="85"/>
  <c r="G7" i="91"/>
  <c r="D7" i="91"/>
  <c r="I6" i="91"/>
  <c r="H6" i="91"/>
  <c r="G6" i="91"/>
  <c r="F6" i="91"/>
  <c r="D6" i="91"/>
  <c r="F5" i="91"/>
  <c r="D5" i="91"/>
  <c r="D4" i="91"/>
  <c r="F3"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F22" i="87" s="1"/>
  <c r="G7" i="87"/>
  <c r="D7" i="87"/>
  <c r="I6" i="87"/>
  <c r="G6" i="87"/>
  <c r="D6" i="87"/>
  <c r="D5" i="87"/>
  <c r="F4" i="87"/>
  <c r="D4" i="87"/>
  <c r="F3" i="87"/>
  <c r="D3" i="87"/>
  <c r="B3" i="87"/>
  <c r="D2" i="87"/>
  <c r="B2" i="87"/>
  <c r="I101" i="86"/>
  <c r="H101" i="86"/>
  <c r="G101" i="86"/>
  <c r="E101" i="86"/>
  <c r="D101" i="86"/>
  <c r="L100" i="86"/>
  <c r="J100" i="86"/>
  <c r="H100" i="86"/>
  <c r="E100" i="86"/>
  <c r="D100" i="86"/>
  <c r="C100" i="86"/>
  <c r="K99" i="86"/>
  <c r="J99" i="86"/>
  <c r="F99" i="86"/>
  <c r="E99" i="86"/>
  <c r="D99" i="86"/>
  <c r="K98" i="86"/>
  <c r="J98" i="86"/>
  <c r="I98" i="86"/>
  <c r="G98" i="86"/>
  <c r="F98" i="86"/>
  <c r="L97" i="86"/>
  <c r="K97" i="86"/>
  <c r="J97" i="86"/>
  <c r="G97" i="86"/>
  <c r="F97" i="86"/>
  <c r="E97" i="86"/>
  <c r="L96" i="86"/>
  <c r="J96" i="86"/>
  <c r="H96" i="86"/>
  <c r="G96" i="86"/>
  <c r="F96" i="86"/>
  <c r="C96" i="86"/>
  <c r="L95" i="86"/>
  <c r="J95" i="86"/>
  <c r="G95" i="86"/>
  <c r="F95" i="86"/>
  <c r="D95" i="86"/>
  <c r="C95" i="86"/>
  <c r="L94" i="86"/>
  <c r="H94" i="86"/>
  <c r="G94" i="86"/>
  <c r="F94" i="86"/>
  <c r="D94" i="86"/>
  <c r="C94" i="86"/>
  <c r="K93" i="86"/>
  <c r="J93" i="86"/>
  <c r="I93" i="86"/>
  <c r="E93" i="86"/>
  <c r="D93" i="86"/>
  <c r="C93" i="86"/>
  <c r="K92" i="86"/>
  <c r="J92" i="86"/>
  <c r="H92" i="86"/>
  <c r="G92" i="86"/>
  <c r="F92" i="86"/>
  <c r="L91" i="86"/>
  <c r="K91" i="86"/>
  <c r="J91" i="86"/>
  <c r="H91" i="86"/>
  <c r="G91" i="86"/>
  <c r="E91" i="86"/>
  <c r="D91" i="86"/>
  <c r="L90" i="86"/>
  <c r="I90" i="86"/>
  <c r="H90" i="86"/>
  <c r="G90" i="86"/>
  <c r="E90" i="86"/>
  <c r="D90" i="86"/>
  <c r="L89" i="86"/>
  <c r="J89" i="86"/>
  <c r="I89" i="86"/>
  <c r="F89" i="86"/>
  <c r="E89" i="86"/>
  <c r="D89" i="86"/>
  <c r="L88" i="86"/>
  <c r="K88" i="86"/>
  <c r="H88" i="86"/>
  <c r="G88" i="86"/>
  <c r="F88" i="86"/>
  <c r="C88" i="86"/>
  <c r="L87" i="86"/>
  <c r="K87" i="86"/>
  <c r="I87" i="86"/>
  <c r="H87" i="86"/>
  <c r="E87" i="86"/>
  <c r="D87" i="86"/>
  <c r="C87" i="86"/>
  <c r="J86" i="86"/>
  <c r="I86" i="86"/>
  <c r="H86" i="86"/>
  <c r="F86" i="86"/>
  <c r="D86" i="86"/>
  <c r="L85" i="86"/>
  <c r="K85" i="86"/>
  <c r="J85" i="86"/>
  <c r="G85" i="86"/>
  <c r="F85" i="86"/>
  <c r="E85" i="86"/>
  <c r="L84" i="86"/>
  <c r="K84" i="86"/>
  <c r="I84" i="86"/>
  <c r="H84" i="86"/>
  <c r="G84" i="86"/>
  <c r="D84" i="86"/>
  <c r="C84" i="86"/>
  <c r="L83" i="86"/>
  <c r="I83" i="86"/>
  <c r="H83" i="86"/>
  <c r="F83" i="86"/>
  <c r="E83" i="86"/>
  <c r="D83" i="86"/>
  <c r="K82" i="86"/>
  <c r="J82" i="86"/>
  <c r="H82" i="86"/>
  <c r="F82" i="86"/>
  <c r="E82" i="86"/>
  <c r="C82" i="86"/>
  <c r="L81" i="86"/>
  <c r="K81" i="86"/>
  <c r="H81" i="86"/>
  <c r="F81" i="86"/>
  <c r="E81" i="86"/>
  <c r="C81" i="86"/>
  <c r="L80" i="86"/>
  <c r="J80" i="86"/>
  <c r="I80" i="86"/>
  <c r="H80" i="86"/>
  <c r="D80" i="86"/>
  <c r="C80" i="86"/>
  <c r="L79" i="86"/>
  <c r="J79" i="86"/>
  <c r="I79" i="86"/>
  <c r="G79" i="86"/>
  <c r="F79" i="86"/>
  <c r="E79" i="86"/>
  <c r="K78" i="86"/>
  <c r="J78" i="86"/>
  <c r="I78" i="86"/>
  <c r="G78" i="86"/>
  <c r="F78" i="86"/>
  <c r="D78" i="86"/>
  <c r="C78" i="86"/>
  <c r="L77" i="86"/>
  <c r="H77" i="86"/>
  <c r="G77" i="86"/>
  <c r="F77" i="86"/>
  <c r="D77" i="86"/>
  <c r="C77" i="86"/>
  <c r="K76" i="86"/>
  <c r="J76" i="86"/>
  <c r="H76" i="86"/>
  <c r="E76" i="86"/>
  <c r="D76" i="86"/>
  <c r="C76" i="86"/>
  <c r="K75" i="86"/>
  <c r="J75" i="86"/>
  <c r="H75" i="86"/>
  <c r="F75" i="86"/>
  <c r="E75" i="86"/>
  <c r="L74" i="86"/>
  <c r="K74" i="86"/>
  <c r="J74" i="86"/>
  <c r="H74" i="86"/>
  <c r="G74" i="86"/>
  <c r="D74" i="86"/>
  <c r="C74" i="86"/>
  <c r="L73" i="86"/>
  <c r="I73" i="86"/>
  <c r="H73" i="86"/>
  <c r="G73" i="86"/>
  <c r="E73" i="86"/>
  <c r="D73" i="86"/>
  <c r="K72" i="86"/>
  <c r="J72" i="86"/>
  <c r="I72" i="86"/>
  <c r="F72" i="86"/>
  <c r="E72" i="86"/>
  <c r="D72" i="86"/>
  <c r="L71" i="86"/>
  <c r="J71" i="86"/>
  <c r="H71" i="86"/>
  <c r="G71" i="86"/>
  <c r="F71" i="86"/>
  <c r="C71" i="86"/>
  <c r="L70" i="86"/>
  <c r="K70" i="86"/>
  <c r="H70" i="86"/>
  <c r="G70" i="86"/>
  <c r="E70" i="86"/>
  <c r="D70" i="86"/>
  <c r="C70" i="86"/>
  <c r="J69" i="86"/>
  <c r="I69" i="86"/>
  <c r="H69" i="86"/>
  <c r="E69" i="86"/>
  <c r="D69" i="86"/>
  <c r="L68" i="86"/>
  <c r="K68" i="86"/>
  <c r="J68" i="86"/>
  <c r="G68" i="86"/>
  <c r="F68" i="86"/>
  <c r="D68" i="86"/>
  <c r="L67" i="86"/>
  <c r="K67" i="86"/>
  <c r="I67" i="86"/>
  <c r="H67" i="86"/>
  <c r="G67" i="86"/>
  <c r="D67" i="86"/>
  <c r="L66" i="86"/>
  <c r="K66" i="86"/>
  <c r="I66" i="86"/>
  <c r="H66" i="86"/>
  <c r="F66" i="86"/>
  <c r="E66" i="86"/>
  <c r="D66" i="86"/>
  <c r="J65" i="86"/>
  <c r="I65" i="86"/>
  <c r="H65" i="86"/>
  <c r="F65" i="86"/>
  <c r="E65" i="86"/>
  <c r="C65" i="86"/>
  <c r="L64" i="86"/>
  <c r="K64" i="86"/>
  <c r="G64" i="86"/>
  <c r="F64" i="86"/>
  <c r="E64" i="86"/>
  <c r="C64" i="86"/>
  <c r="L63" i="86"/>
  <c r="J63" i="86"/>
  <c r="I63" i="86"/>
  <c r="H63" i="86"/>
  <c r="D63" i="86"/>
  <c r="C63" i="86"/>
  <c r="L62" i="86"/>
  <c r="J62" i="86"/>
  <c r="I62" i="86"/>
  <c r="G62" i="86"/>
  <c r="F62" i="86"/>
  <c r="D62" i="86"/>
  <c r="K61" i="86"/>
  <c r="J61" i="86"/>
  <c r="I61" i="86"/>
  <c r="G61" i="86"/>
  <c r="F61" i="86"/>
  <c r="D61" i="86"/>
  <c r="L60" i="86"/>
  <c r="K60" i="86"/>
  <c r="H60" i="86"/>
  <c r="G60" i="86"/>
  <c r="F60" i="86"/>
  <c r="D60" i="86"/>
  <c r="C60" i="86"/>
  <c r="J59" i="86"/>
  <c r="I59" i="86"/>
  <c r="H59" i="86"/>
  <c r="E59" i="86"/>
  <c r="D59" i="86"/>
  <c r="C59" i="86"/>
  <c r="K58" i="86"/>
  <c r="J58" i="86"/>
  <c r="G58" i="86"/>
  <c r="F58" i="86"/>
  <c r="E58" i="86"/>
  <c r="L57" i="86"/>
  <c r="K57" i="86"/>
  <c r="J57" i="86"/>
  <c r="H57" i="86"/>
  <c r="F57" i="86"/>
  <c r="D57" i="86"/>
  <c r="C57" i="86"/>
  <c r="G56" i="86"/>
  <c r="L56" i="86" s="1"/>
  <c r="D56" i="86"/>
  <c r="C56" i="86"/>
  <c r="F55" i="86"/>
  <c r="E55" i="86"/>
  <c r="D55" i="86"/>
  <c r="G54" i="86"/>
  <c r="F54" i="86"/>
  <c r="K54" i="86" s="1"/>
  <c r="C54" i="86"/>
  <c r="L53" i="86"/>
  <c r="J53" i="86"/>
  <c r="G53" i="86"/>
  <c r="E53" i="86"/>
  <c r="D53" i="86"/>
  <c r="C53" i="86"/>
  <c r="G52" i="86"/>
  <c r="E52" i="86"/>
  <c r="D52" i="86"/>
  <c r="F51" i="86"/>
  <c r="E51" i="86"/>
  <c r="D51" i="86"/>
  <c r="L50" i="86"/>
  <c r="G50" i="86"/>
  <c r="C50" i="86"/>
  <c r="F49" i="86"/>
  <c r="E49" i="86"/>
  <c r="D49" i="86"/>
  <c r="F48" i="86"/>
  <c r="E48" i="86"/>
  <c r="C48" i="86"/>
  <c r="G47" i="86"/>
  <c r="F47" i="86"/>
  <c r="E47" i="86"/>
  <c r="J47" i="86" s="1"/>
  <c r="C47" i="86"/>
  <c r="L47" i="86" s="1"/>
  <c r="L46" i="86"/>
  <c r="G46" i="86"/>
  <c r="D46" i="86"/>
  <c r="C46" i="86"/>
  <c r="F45" i="86"/>
  <c r="E45" i="86"/>
  <c r="D45" i="86"/>
  <c r="G44" i="86"/>
  <c r="F44" i="86"/>
  <c r="C44" i="86"/>
  <c r="G43" i="86"/>
  <c r="F43" i="86"/>
  <c r="D43" i="86"/>
  <c r="J42" i="86"/>
  <c r="I42" i="86"/>
  <c r="E42" i="86"/>
  <c r="D42" i="86"/>
  <c r="C42" i="86"/>
  <c r="G41" i="86"/>
  <c r="F41" i="86"/>
  <c r="E41" i="86"/>
  <c r="K40" i="86"/>
  <c r="G40" i="86"/>
  <c r="L40" i="86" s="1"/>
  <c r="F40" i="86"/>
  <c r="D40" i="86"/>
  <c r="C40" i="86"/>
  <c r="F39" i="86"/>
  <c r="D39" i="86"/>
  <c r="C39" i="86"/>
  <c r="K38" i="86"/>
  <c r="I38" i="86"/>
  <c r="F38" i="86"/>
  <c r="D38" i="86"/>
  <c r="C38" i="86"/>
  <c r="G37" i="86"/>
  <c r="F37" i="86"/>
  <c r="J36" i="86"/>
  <c r="G36" i="86"/>
  <c r="L36" i="86" s="1"/>
  <c r="E36" i="86"/>
  <c r="D36" i="86"/>
  <c r="C36" i="86"/>
  <c r="G35" i="86"/>
  <c r="E35" i="86"/>
  <c r="D35" i="86"/>
  <c r="F34" i="86"/>
  <c r="E34" i="86"/>
  <c r="D34" i="86"/>
  <c r="F33" i="86"/>
  <c r="K33" i="86" s="1"/>
  <c r="C33" i="86"/>
  <c r="K32" i="86"/>
  <c r="F32" i="86"/>
  <c r="D32" i="86"/>
  <c r="I32" i="86" s="1"/>
  <c r="C32" i="86"/>
  <c r="F31" i="86"/>
  <c r="E31" i="86"/>
  <c r="G30" i="86"/>
  <c r="F30" i="86"/>
  <c r="K30" i="86" s="1"/>
  <c r="E30" i="86"/>
  <c r="J30" i="86" s="1"/>
  <c r="C30" i="86"/>
  <c r="L30" i="86" s="1"/>
  <c r="G29" i="86"/>
  <c r="L29" i="86" s="1"/>
  <c r="D29" i="86"/>
  <c r="C29" i="86"/>
  <c r="I29" i="86" s="1"/>
  <c r="F28" i="86"/>
  <c r="E28" i="86"/>
  <c r="D28" i="86"/>
  <c r="F27" i="86"/>
  <c r="E27" i="86"/>
  <c r="J27" i="86" s="1"/>
  <c r="C27" i="86"/>
  <c r="G26" i="86"/>
  <c r="F26" i="86"/>
  <c r="K26" i="86" s="1"/>
  <c r="C26" i="86"/>
  <c r="E25" i="86"/>
  <c r="D25" i="86"/>
  <c r="G24" i="86"/>
  <c r="F24" i="86"/>
  <c r="E24" i="86"/>
  <c r="L23" i="86"/>
  <c r="G23" i="86"/>
  <c r="F23" i="86"/>
  <c r="D23" i="86"/>
  <c r="I23" i="86" s="1"/>
  <c r="C23" i="86"/>
  <c r="L22" i="86"/>
  <c r="G22" i="86"/>
  <c r="F22" i="86"/>
  <c r="D22" i="86"/>
  <c r="C22" i="86"/>
  <c r="G7" i="86"/>
  <c r="D7" i="86"/>
  <c r="I6" i="86"/>
  <c r="H6" i="86"/>
  <c r="G6" i="86"/>
  <c r="F6" i="86"/>
  <c r="D6" i="86"/>
  <c r="F5" i="86"/>
  <c r="D5" i="86"/>
  <c r="F4" i="86"/>
  <c r="D4" i="86"/>
  <c r="F3" i="86"/>
  <c r="D3" i="86"/>
  <c r="B3" i="86"/>
  <c r="D2" i="86"/>
  <c r="B2" i="86"/>
  <c r="D43" i="57"/>
  <c r="D42" i="57"/>
  <c r="D41" i="57"/>
  <c r="D38" i="57"/>
  <c r="D37" i="57"/>
  <c r="F36" i="57"/>
  <c r="D34" i="57"/>
  <c r="D33" i="57"/>
  <c r="D32" i="57"/>
  <c r="D29" i="57"/>
  <c r="D28" i="57"/>
  <c r="F27" i="57"/>
  <c r="D25" i="57"/>
  <c r="D24" i="57"/>
  <c r="D23" i="57"/>
  <c r="D20" i="57"/>
  <c r="D19" i="57"/>
  <c r="G7" i="57"/>
  <c r="E7" i="57"/>
  <c r="D7" i="57"/>
  <c r="I6" i="57"/>
  <c r="H6" i="57"/>
  <c r="G6" i="57"/>
  <c r="E6" i="57"/>
  <c r="D6" i="57"/>
  <c r="F5" i="57"/>
  <c r="D5" i="57"/>
  <c r="D4" i="57"/>
  <c r="F3" i="57"/>
  <c r="D3" i="57"/>
  <c r="B3" i="57"/>
  <c r="F2" i="57"/>
  <c r="D2" i="57"/>
  <c r="B2" i="57"/>
  <c r="F94" i="92"/>
  <c r="E94" i="92"/>
  <c r="D94" i="92"/>
  <c r="G93" i="92"/>
  <c r="F93" i="92"/>
  <c r="G91" i="92"/>
  <c r="D91" i="92"/>
  <c r="C90" i="92"/>
  <c r="E89" i="92"/>
  <c r="G87" i="92"/>
  <c r="E87" i="92"/>
  <c r="G86" i="92"/>
  <c r="F86" i="92"/>
  <c r="E86" i="92"/>
  <c r="C86" i="92"/>
  <c r="G85" i="92"/>
  <c r="F82" i="92"/>
  <c r="E82" i="92"/>
  <c r="D82" i="92"/>
  <c r="F81" i="92"/>
  <c r="C80" i="92"/>
  <c r="F79" i="92"/>
  <c r="C79" i="92"/>
  <c r="G78" i="92"/>
  <c r="F78" i="92"/>
  <c r="E75" i="92"/>
  <c r="D75" i="92"/>
  <c r="G74" i="92"/>
  <c r="F74" i="92"/>
  <c r="E74" i="92"/>
  <c r="G73" i="92"/>
  <c r="E72" i="92"/>
  <c r="C72" i="92"/>
  <c r="E71" i="92"/>
  <c r="E70" i="92"/>
  <c r="G68" i="92"/>
  <c r="D68" i="92"/>
  <c r="C68" i="92"/>
  <c r="F67" i="92"/>
  <c r="E67" i="92"/>
  <c r="D67" i="92"/>
  <c r="F66" i="92"/>
  <c r="D65" i="92"/>
  <c r="G63" i="92"/>
  <c r="E63" i="92"/>
  <c r="D63" i="92"/>
  <c r="F61" i="92"/>
  <c r="C61" i="92"/>
  <c r="G60" i="92"/>
  <c r="E60" i="92"/>
  <c r="D60" i="92"/>
  <c r="C60" i="92"/>
  <c r="C57" i="92"/>
  <c r="G56" i="92"/>
  <c r="F56" i="92"/>
  <c r="D56" i="92"/>
  <c r="C56" i="92"/>
  <c r="E54" i="92"/>
  <c r="G53" i="92"/>
  <c r="F53" i="92"/>
  <c r="D53" i="92"/>
  <c r="G50" i="92"/>
  <c r="E50" i="92"/>
  <c r="G49" i="92"/>
  <c r="F49" i="92"/>
  <c r="E49" i="92"/>
  <c r="C49" i="92"/>
  <c r="G48" i="92"/>
  <c r="D47" i="92"/>
  <c r="F46" i="92"/>
  <c r="F45" i="92"/>
  <c r="C45" i="92"/>
  <c r="F43" i="92"/>
  <c r="D43" i="92"/>
  <c r="F42" i="92"/>
  <c r="E42" i="92"/>
  <c r="D42" i="92"/>
  <c r="G41" i="92"/>
  <c r="F41" i="92"/>
  <c r="G38" i="92"/>
  <c r="F38" i="92"/>
  <c r="E38" i="92"/>
  <c r="G37" i="92"/>
  <c r="E36" i="92"/>
  <c r="C36" i="92"/>
  <c r="E35" i="92"/>
  <c r="D35" i="92"/>
  <c r="C35" i="92"/>
  <c r="D32" i="92"/>
  <c r="C32" i="92"/>
  <c r="F31" i="92"/>
  <c r="E31" i="92"/>
  <c r="D31" i="92"/>
  <c r="F30" i="92"/>
  <c r="D29" i="92"/>
  <c r="G28" i="92"/>
  <c r="D28" i="92"/>
  <c r="D27" i="92"/>
  <c r="F25" i="92"/>
  <c r="C25" i="92"/>
  <c r="G24" i="92"/>
  <c r="E24" i="92"/>
  <c r="D24" i="92"/>
  <c r="C24" i="92"/>
  <c r="E23" i="92"/>
  <c r="C22" i="92"/>
  <c r="F20" i="92"/>
  <c r="D20" i="92"/>
  <c r="C20" i="92"/>
  <c r="E18" i="92"/>
  <c r="G17" i="92"/>
  <c r="F17" i="92"/>
  <c r="D17" i="92"/>
  <c r="C17" i="92"/>
  <c r="G16" i="92"/>
  <c r="G7" i="92"/>
  <c r="E7" i="92"/>
  <c r="D7" i="92"/>
  <c r="I6" i="92"/>
  <c r="H6" i="92"/>
  <c r="G6" i="92"/>
  <c r="E6" i="92"/>
  <c r="D6" i="92"/>
  <c r="F5" i="92"/>
  <c r="D5" i="92"/>
  <c r="F4" i="92"/>
  <c r="D4" i="92"/>
  <c r="D3" i="92"/>
  <c r="B3" i="92"/>
  <c r="F2" i="92"/>
  <c r="D2" i="92"/>
  <c r="B2" i="92"/>
  <c r="J32" i="70"/>
  <c r="F32" i="70"/>
  <c r="C32" i="70"/>
  <c r="J30" i="70"/>
  <c r="F30" i="70"/>
  <c r="J28" i="70"/>
  <c r="F28" i="70"/>
  <c r="J26" i="70"/>
  <c r="F26" i="70"/>
  <c r="J24" i="70"/>
  <c r="F24" i="70"/>
  <c r="J22" i="70"/>
  <c r="F22" i="70"/>
  <c r="J20" i="70"/>
  <c r="F20" i="70"/>
  <c r="J15" i="70"/>
  <c r="F15" i="70"/>
  <c r="C15" i="70"/>
  <c r="G7" i="70"/>
  <c r="E7" i="70"/>
  <c r="D7" i="70"/>
  <c r="I6" i="70"/>
  <c r="H6" i="70"/>
  <c r="G6" i="70"/>
  <c r="F6" i="70"/>
  <c r="E6" i="70"/>
  <c r="D6" i="70"/>
  <c r="F5" i="70"/>
  <c r="D5" i="70"/>
  <c r="H4" i="70"/>
  <c r="F4" i="70"/>
  <c r="D4" i="70"/>
  <c r="F3" i="70"/>
  <c r="D3" i="70"/>
  <c r="B3" i="70"/>
  <c r="F2" i="70"/>
  <c r="D2" i="70"/>
  <c r="B2" i="70"/>
  <c r="H6" i="56"/>
  <c r="F6" i="56"/>
  <c r="F6" i="65" s="1"/>
  <c r="F5" i="56"/>
  <c r="F4" i="56"/>
  <c r="F4" i="84" s="1"/>
  <c r="F3" i="56"/>
  <c r="F2" i="56"/>
  <c r="C24" i="57" l="1"/>
  <c r="K43" i="86"/>
  <c r="F40" i="85"/>
  <c r="F6" i="42"/>
  <c r="I39" i="86"/>
  <c r="F18" i="37"/>
  <c r="F18" i="42"/>
  <c r="H6" i="90"/>
  <c r="H6" i="43"/>
  <c r="H6" i="41"/>
  <c r="H6" i="71"/>
  <c r="H6" i="66"/>
  <c r="H6" i="65"/>
  <c r="H6" i="44"/>
  <c r="H6" i="47"/>
  <c r="H6" i="83"/>
  <c r="H6" i="50"/>
  <c r="J6" i="82"/>
  <c r="I6" i="78"/>
  <c r="H6" i="49"/>
  <c r="H6" i="64"/>
  <c r="H6" i="61"/>
  <c r="H6" i="84"/>
  <c r="H6" i="46"/>
  <c r="H6" i="69"/>
  <c r="H6" i="42"/>
  <c r="H6" i="79"/>
  <c r="H6" i="67"/>
  <c r="J6" i="72"/>
  <c r="H6" i="89"/>
  <c r="H6" i="40"/>
  <c r="H6" i="85"/>
  <c r="H6" i="87"/>
  <c r="H6" i="62"/>
  <c r="J6" i="56"/>
  <c r="H6" i="48"/>
  <c r="H6" i="63"/>
  <c r="H42" i="86"/>
  <c r="N51" i="84"/>
  <c r="H27" i="37"/>
  <c r="H19" i="49"/>
  <c r="F6" i="89"/>
  <c r="F6" i="69"/>
  <c r="F6" i="63"/>
  <c r="F6" i="62"/>
  <c r="F6" i="37"/>
  <c r="F6" i="83"/>
  <c r="F6" i="90"/>
  <c r="F6" i="43"/>
  <c r="F6" i="41"/>
  <c r="F6" i="49"/>
  <c r="F6" i="46"/>
  <c r="H6" i="72"/>
  <c r="F6" i="79"/>
  <c r="H6" i="82"/>
  <c r="G6" i="78"/>
  <c r="F6" i="66"/>
  <c r="F6" i="44"/>
  <c r="F6" i="48"/>
  <c r="F6" i="61"/>
  <c r="F6" i="84"/>
  <c r="F6" i="71"/>
  <c r="F6" i="47"/>
  <c r="F6" i="67"/>
  <c r="F6" i="64"/>
  <c r="F6" i="40"/>
  <c r="F6" i="50"/>
  <c r="F6" i="87"/>
  <c r="F6" i="57"/>
  <c r="F6" i="92"/>
  <c r="L26" i="86"/>
  <c r="K37" i="86"/>
  <c r="F7" i="56"/>
  <c r="G92" i="92"/>
  <c r="E90" i="92"/>
  <c r="C88" i="92"/>
  <c r="F85" i="92"/>
  <c r="D83" i="92"/>
  <c r="G80" i="92"/>
  <c r="E78" i="92"/>
  <c r="C76" i="92"/>
  <c r="E92" i="92"/>
  <c r="G89" i="92"/>
  <c r="D87" i="92"/>
  <c r="F84" i="92"/>
  <c r="C82" i="92"/>
  <c r="E79" i="92"/>
  <c r="G76" i="92"/>
  <c r="D74" i="92"/>
  <c r="G71" i="92"/>
  <c r="E69" i="92"/>
  <c r="C67" i="92"/>
  <c r="F64" i="92"/>
  <c r="D62" i="92"/>
  <c r="G59" i="92"/>
  <c r="E57" i="92"/>
  <c r="C55" i="92"/>
  <c r="F52" i="92"/>
  <c r="D50" i="92"/>
  <c r="G47" i="92"/>
  <c r="E45" i="92"/>
  <c r="C43" i="92"/>
  <c r="F40" i="92"/>
  <c r="D38" i="92"/>
  <c r="G35" i="92"/>
  <c r="E33" i="92"/>
  <c r="C31" i="92"/>
  <c r="F28" i="92"/>
  <c r="D26" i="92"/>
  <c r="G23" i="92"/>
  <c r="E21" i="92"/>
  <c r="C19" i="92"/>
  <c r="F16" i="92"/>
  <c r="G94" i="92"/>
  <c r="D92" i="92"/>
  <c r="F89" i="92"/>
  <c r="C87" i="92"/>
  <c r="E84" i="92"/>
  <c r="G81" i="92"/>
  <c r="D79" i="92"/>
  <c r="F76" i="92"/>
  <c r="C74" i="92"/>
  <c r="F71" i="92"/>
  <c r="D69" i="92"/>
  <c r="G66" i="92"/>
  <c r="E64" i="92"/>
  <c r="C62" i="92"/>
  <c r="F59" i="92"/>
  <c r="D57" i="92"/>
  <c r="G54" i="92"/>
  <c r="E52" i="92"/>
  <c r="C50" i="92"/>
  <c r="F47" i="92"/>
  <c r="D45" i="92"/>
  <c r="G42" i="92"/>
  <c r="E40" i="92"/>
  <c r="C38" i="92"/>
  <c r="F35" i="92"/>
  <c r="D33" i="92"/>
  <c r="G30" i="92"/>
  <c r="E28" i="92"/>
  <c r="C26" i="92"/>
  <c r="F23" i="92"/>
  <c r="D21" i="92"/>
  <c r="G18" i="92"/>
  <c r="E16" i="92"/>
  <c r="C94" i="92"/>
  <c r="E91" i="92"/>
  <c r="G88" i="92"/>
  <c r="D86" i="92"/>
  <c r="F83" i="92"/>
  <c r="C81" i="92"/>
  <c r="D78" i="92"/>
  <c r="F75" i="92"/>
  <c r="D73" i="92"/>
  <c r="G70" i="92"/>
  <c r="E68" i="92"/>
  <c r="C66" i="92"/>
  <c r="F63" i="92"/>
  <c r="D61" i="92"/>
  <c r="G58" i="92"/>
  <c r="E56" i="92"/>
  <c r="C54" i="92"/>
  <c r="F51" i="92"/>
  <c r="D49" i="92"/>
  <c r="G46" i="92"/>
  <c r="E44" i="92"/>
  <c r="C42" i="92"/>
  <c r="F39" i="92"/>
  <c r="D37" i="92"/>
  <c r="G34" i="92"/>
  <c r="E32" i="92"/>
  <c r="C30" i="92"/>
  <c r="F27" i="92"/>
  <c r="D25" i="92"/>
  <c r="G22" i="92"/>
  <c r="E20" i="92"/>
  <c r="C18" i="92"/>
  <c r="F15" i="92"/>
  <c r="E93" i="92"/>
  <c r="G90" i="92"/>
  <c r="D88" i="92"/>
  <c r="E85" i="92"/>
  <c r="G82" i="92"/>
  <c r="D80" i="92"/>
  <c r="F77" i="92"/>
  <c r="C75" i="92"/>
  <c r="F72" i="92"/>
  <c r="D70" i="92"/>
  <c r="G67" i="92"/>
  <c r="E65" i="92"/>
  <c r="C63" i="92"/>
  <c r="F60" i="92"/>
  <c r="D58" i="92"/>
  <c r="G55" i="92"/>
  <c r="E53" i="92"/>
  <c r="C51" i="92"/>
  <c r="F48" i="92"/>
  <c r="D46" i="92"/>
  <c r="G43" i="92"/>
  <c r="E41" i="92"/>
  <c r="C39" i="92"/>
  <c r="F36" i="92"/>
  <c r="D34" i="92"/>
  <c r="G31" i="92"/>
  <c r="E29" i="92"/>
  <c r="C27" i="92"/>
  <c r="F24" i="92"/>
  <c r="D22" i="92"/>
  <c r="G19" i="92"/>
  <c r="E17" i="92"/>
  <c r="C15" i="92"/>
  <c r="F41" i="85" s="1"/>
  <c r="D93" i="92"/>
  <c r="D89" i="92"/>
  <c r="D85" i="92"/>
  <c r="E81" i="92"/>
  <c r="E77" i="92"/>
  <c r="F73" i="92"/>
  <c r="C70" i="92"/>
  <c r="E66" i="92"/>
  <c r="G62" i="92"/>
  <c r="D59" i="92"/>
  <c r="F55" i="92"/>
  <c r="C52" i="92"/>
  <c r="E48" i="92"/>
  <c r="J18" i="70" s="1"/>
  <c r="J17" i="70" s="1"/>
  <c r="G44" i="92"/>
  <c r="D41" i="92"/>
  <c r="F37" i="92"/>
  <c r="C34" i="92"/>
  <c r="E30" i="92"/>
  <c r="G26" i="92"/>
  <c r="D23" i="92"/>
  <c r="F19" i="92"/>
  <c r="C16" i="92"/>
  <c r="C93" i="92"/>
  <c r="C89" i="92"/>
  <c r="C85" i="92"/>
  <c r="D81" i="92"/>
  <c r="D77" i="92"/>
  <c r="E73" i="92"/>
  <c r="G69" i="92"/>
  <c r="D66" i="92"/>
  <c r="F62" i="92"/>
  <c r="C59" i="92"/>
  <c r="E55" i="92"/>
  <c r="G51" i="92"/>
  <c r="D48" i="92"/>
  <c r="F44" i="92"/>
  <c r="C41" i="92"/>
  <c r="G33" i="92"/>
  <c r="D30" i="92"/>
  <c r="F26" i="92"/>
  <c r="C23" i="92"/>
  <c r="E19" i="92"/>
  <c r="G15" i="92"/>
  <c r="G84" i="92"/>
  <c r="E62" i="92"/>
  <c r="D44" i="92"/>
  <c r="G29" i="92"/>
  <c r="E15" i="92"/>
  <c r="E88" i="92"/>
  <c r="E80" i="92"/>
  <c r="E76" i="92"/>
  <c r="G72" i="92"/>
  <c r="C69" i="92"/>
  <c r="F65" i="92"/>
  <c r="E58" i="92"/>
  <c r="F54" i="92"/>
  <c r="E47" i="92"/>
  <c r="C44" i="92"/>
  <c r="D40" i="92"/>
  <c r="G36" i="92"/>
  <c r="F29" i="92"/>
  <c r="G25" i="92"/>
  <c r="F18" i="92"/>
  <c r="E37" i="92"/>
  <c r="F92" i="92"/>
  <c r="F80" i="92"/>
  <c r="C73" i="92"/>
  <c r="G65" i="92"/>
  <c r="F58" i="92"/>
  <c r="E51" i="92"/>
  <c r="C48" i="92"/>
  <c r="C37" i="92"/>
  <c r="F33" i="92"/>
  <c r="F22" i="92"/>
  <c r="E22" i="92"/>
  <c r="F88" i="92"/>
  <c r="C77" i="92"/>
  <c r="F69" i="92"/>
  <c r="D55" i="92"/>
  <c r="G40" i="92"/>
  <c r="E26" i="92"/>
  <c r="D19" i="92"/>
  <c r="D84" i="92"/>
  <c r="G61" i="92"/>
  <c r="C33" i="92"/>
  <c r="C92" i="92"/>
  <c r="D51" i="92"/>
  <c r="D15" i="92"/>
  <c r="F91" i="92"/>
  <c r="F87" i="92"/>
  <c r="G83" i="92"/>
  <c r="G79" i="92"/>
  <c r="G75" i="92"/>
  <c r="D72" i="92"/>
  <c r="F68" i="92"/>
  <c r="C65" i="92"/>
  <c r="E61" i="92"/>
  <c r="G57" i="92"/>
  <c r="D54" i="92"/>
  <c r="F50" i="92"/>
  <c r="C47" i="92"/>
  <c r="E43" i="92"/>
  <c r="G39" i="92"/>
  <c r="D36" i="92"/>
  <c r="F32" i="92"/>
  <c r="C29" i="92"/>
  <c r="E25" i="92"/>
  <c r="G21" i="92"/>
  <c r="D18" i="92"/>
  <c r="G20" i="92"/>
  <c r="E27" i="92"/>
  <c r="G32" i="92"/>
  <c r="D39" i="92"/>
  <c r="G45" i="92"/>
  <c r="D52" i="92"/>
  <c r="F57" i="92"/>
  <c r="C64" i="92"/>
  <c r="F70" i="92"/>
  <c r="D76" i="92"/>
  <c r="C83" i="92"/>
  <c r="D90" i="92"/>
  <c r="H7" i="56"/>
  <c r="C21" i="92"/>
  <c r="G27" i="92"/>
  <c r="E34" i="92"/>
  <c r="E39" i="92"/>
  <c r="C46" i="92"/>
  <c r="G52" i="92"/>
  <c r="C58" i="92"/>
  <c r="D64" i="92"/>
  <c r="C71" i="92"/>
  <c r="G77" i="92"/>
  <c r="E83" i="92"/>
  <c r="F90" i="92"/>
  <c r="D16" i="92"/>
  <c r="F21" i="92"/>
  <c r="C28" i="92"/>
  <c r="F34" i="92"/>
  <c r="C40" i="92"/>
  <c r="E46" i="92"/>
  <c r="C53" i="92"/>
  <c r="E59" i="92"/>
  <c r="G64" i="92"/>
  <c r="D71" i="92"/>
  <c r="C78" i="92"/>
  <c r="C84" i="92"/>
  <c r="C91" i="92"/>
  <c r="L24" i="86"/>
  <c r="I56" i="86"/>
  <c r="H56" i="86"/>
  <c r="P33" i="84"/>
  <c r="P41" i="84"/>
  <c r="N46" i="84"/>
  <c r="F63" i="37"/>
  <c r="F23" i="40"/>
  <c r="F15" i="41"/>
  <c r="H15" i="41"/>
  <c r="E16" i="41"/>
  <c r="P46" i="84"/>
  <c r="F19" i="48"/>
  <c r="I35" i="86"/>
  <c r="F32" i="84"/>
  <c r="F42" i="84" s="1"/>
  <c r="F38" i="37"/>
  <c r="F2" i="90"/>
  <c r="F2" i="43"/>
  <c r="F2" i="41"/>
  <c r="F2" i="71"/>
  <c r="F2" i="66"/>
  <c r="H2" i="82"/>
  <c r="H2" i="72"/>
  <c r="F2" i="79"/>
  <c r="G2" i="78"/>
  <c r="F2" i="65"/>
  <c r="F2" i="44"/>
  <c r="F2" i="47"/>
  <c r="F2" i="89"/>
  <c r="F2" i="67"/>
  <c r="F2" i="83"/>
  <c r="F2" i="69"/>
  <c r="F2" i="64"/>
  <c r="F2" i="85"/>
  <c r="F37" i="85" s="1"/>
  <c r="F2" i="48"/>
  <c r="F2" i="42"/>
  <c r="F2" i="62"/>
  <c r="F2" i="63"/>
  <c r="F2" i="40"/>
  <c r="F2" i="84"/>
  <c r="F2" i="61"/>
  <c r="F2" i="91"/>
  <c r="F2" i="86"/>
  <c r="F2" i="37"/>
  <c r="F2" i="46"/>
  <c r="J48" i="86"/>
  <c r="F2" i="87"/>
  <c r="F23" i="49"/>
  <c r="F51" i="84"/>
  <c r="L51" i="84"/>
  <c r="H51" i="84"/>
  <c r="J51" i="84"/>
  <c r="E31" i="42"/>
  <c r="F28" i="42" s="1"/>
  <c r="H44" i="40"/>
  <c r="H47" i="40"/>
  <c r="H14" i="40"/>
  <c r="H23" i="40"/>
  <c r="H35" i="40"/>
  <c r="H20" i="40"/>
  <c r="H16" i="43"/>
  <c r="K27" i="86"/>
  <c r="K44" i="86"/>
  <c r="H26" i="40"/>
  <c r="H32" i="40"/>
  <c r="H50" i="40"/>
  <c r="F2" i="49"/>
  <c r="F5" i="64"/>
  <c r="F5" i="61"/>
  <c r="F5" i="67"/>
  <c r="F5" i="89"/>
  <c r="F5" i="48"/>
  <c r="F5" i="40"/>
  <c r="F5" i="71"/>
  <c r="F5" i="66"/>
  <c r="F5" i="65"/>
  <c r="H5" i="72"/>
  <c r="F5" i="62"/>
  <c r="H5" i="82"/>
  <c r="G5" i="78"/>
  <c r="F5" i="41"/>
  <c r="F5" i="50"/>
  <c r="F5" i="49"/>
  <c r="F5" i="69"/>
  <c r="F5" i="83"/>
  <c r="F5" i="44"/>
  <c r="F5" i="79"/>
  <c r="F5" i="43"/>
  <c r="F5" i="46"/>
  <c r="F5" i="84"/>
  <c r="F5" i="90"/>
  <c r="F5" i="87"/>
  <c r="F5" i="42"/>
  <c r="F5" i="37"/>
  <c r="F5" i="85"/>
  <c r="F18" i="70"/>
  <c r="F34" i="70" s="1"/>
  <c r="C27" i="84"/>
  <c r="J33" i="84"/>
  <c r="P32" i="84"/>
  <c r="P42" i="84" s="1"/>
  <c r="L33" i="84"/>
  <c r="L41" i="84"/>
  <c r="L43" i="84" s="1"/>
  <c r="J43" i="84"/>
  <c r="F25" i="37"/>
  <c r="H30" i="37"/>
  <c r="F2" i="50"/>
  <c r="H36" i="40"/>
  <c r="E20" i="69"/>
  <c r="E18" i="69"/>
  <c r="E16" i="69"/>
  <c r="E14" i="69"/>
  <c r="E19" i="69"/>
  <c r="K101" i="86"/>
  <c r="I100" i="86"/>
  <c r="G99" i="86"/>
  <c r="E98" i="86"/>
  <c r="C97" i="86"/>
  <c r="K95" i="86"/>
  <c r="I94" i="86"/>
  <c r="G93" i="86"/>
  <c r="E92" i="86"/>
  <c r="C91" i="86"/>
  <c r="K89" i="86"/>
  <c r="I88" i="86"/>
  <c r="G87" i="86"/>
  <c r="E86" i="86"/>
  <c r="C85" i="86"/>
  <c r="K83" i="86"/>
  <c r="I82" i="86"/>
  <c r="G81" i="86"/>
  <c r="E80" i="86"/>
  <c r="C79" i="86"/>
  <c r="K77" i="86"/>
  <c r="I76" i="86"/>
  <c r="G75" i="86"/>
  <c r="E74" i="86"/>
  <c r="C73" i="86"/>
  <c r="K71" i="86"/>
  <c r="I70" i="86"/>
  <c r="G69" i="86"/>
  <c r="E68" i="86"/>
  <c r="C67" i="86"/>
  <c r="K65" i="86"/>
  <c r="I64" i="86"/>
  <c r="G63" i="86"/>
  <c r="E62" i="86"/>
  <c r="C61" i="86"/>
  <c r="K59" i="86"/>
  <c r="I58" i="86"/>
  <c r="G57" i="86"/>
  <c r="E56" i="86"/>
  <c r="J56" i="86" s="1"/>
  <c r="C55" i="86"/>
  <c r="J55" i="86" s="1"/>
  <c r="G51" i="86"/>
  <c r="L51" i="86" s="1"/>
  <c r="E50" i="86"/>
  <c r="J50" i="86" s="1"/>
  <c r="C49" i="86"/>
  <c r="K47" i="86"/>
  <c r="I46" i="86"/>
  <c r="G45" i="86"/>
  <c r="L45" i="86" s="1"/>
  <c r="E44" i="86"/>
  <c r="J44" i="86" s="1"/>
  <c r="C43" i="86"/>
  <c r="K41" i="86"/>
  <c r="I40" i="86"/>
  <c r="G39" i="86"/>
  <c r="L39" i="86" s="1"/>
  <c r="E38" i="86"/>
  <c r="J38" i="86" s="1"/>
  <c r="C37" i="86"/>
  <c r="K35" i="86"/>
  <c r="I34" i="86"/>
  <c r="G33" i="86"/>
  <c r="L33" i="86" s="1"/>
  <c r="E32" i="86"/>
  <c r="H32" i="86" s="1"/>
  <c r="C31" i="86"/>
  <c r="H31" i="86" s="1"/>
  <c r="K29" i="86"/>
  <c r="G27" i="86"/>
  <c r="E26" i="86"/>
  <c r="C25" i="86"/>
  <c r="J25" i="86" s="1"/>
  <c r="K23" i="86"/>
  <c r="I22" i="86"/>
  <c r="K100" i="86"/>
  <c r="H99" i="86"/>
  <c r="D98" i="86"/>
  <c r="K96" i="86"/>
  <c r="H95" i="86"/>
  <c r="E23" i="86"/>
  <c r="J23" i="86" s="1"/>
  <c r="K25" i="86"/>
  <c r="D27" i="86"/>
  <c r="I27" i="86" s="1"/>
  <c r="G28" i="86"/>
  <c r="D31" i="86"/>
  <c r="G32" i="86"/>
  <c r="L32" i="86" s="1"/>
  <c r="J33" i="86"/>
  <c r="C35" i="86"/>
  <c r="H35" i="86" s="1"/>
  <c r="F36" i="86"/>
  <c r="I37" i="86"/>
  <c r="L38" i="86"/>
  <c r="E40" i="86"/>
  <c r="J40" i="86" s="1"/>
  <c r="D44" i="86"/>
  <c r="I44" i="86" s="1"/>
  <c r="D48" i="86"/>
  <c r="I48" i="86" s="1"/>
  <c r="G49" i="86"/>
  <c r="C52" i="86"/>
  <c r="H52" i="86" s="1"/>
  <c r="F53" i="86"/>
  <c r="H53" i="86" s="1"/>
  <c r="I54" i="86"/>
  <c r="E57" i="86"/>
  <c r="H58" i="86"/>
  <c r="L59" i="86"/>
  <c r="E61" i="86"/>
  <c r="H62" i="86"/>
  <c r="K63" i="86"/>
  <c r="D65" i="86"/>
  <c r="G66" i="86"/>
  <c r="J67" i="86"/>
  <c r="C69" i="86"/>
  <c r="F70" i="86"/>
  <c r="I71" i="86"/>
  <c r="L72" i="86"/>
  <c r="F74" i="86"/>
  <c r="I75" i="86"/>
  <c r="L76" i="86"/>
  <c r="E78" i="86"/>
  <c r="H79" i="86"/>
  <c r="K80" i="86"/>
  <c r="D82" i="86"/>
  <c r="G83" i="86"/>
  <c r="J84" i="86"/>
  <c r="C86" i="86"/>
  <c r="F87" i="86"/>
  <c r="J88" i="86"/>
  <c r="C90" i="86"/>
  <c r="F91" i="86"/>
  <c r="I92" i="86"/>
  <c r="L93" i="86"/>
  <c r="E95" i="86"/>
  <c r="I96" i="86"/>
  <c r="C98" i="86"/>
  <c r="I99" i="86"/>
  <c r="C101" i="86"/>
  <c r="H28" i="37"/>
  <c r="F4" i="46"/>
  <c r="F4" i="57"/>
  <c r="E22" i="86"/>
  <c r="H22" i="86" s="1"/>
  <c r="D26" i="86"/>
  <c r="H26" i="86" s="1"/>
  <c r="H27" i="86"/>
  <c r="K28" i="86"/>
  <c r="D30" i="86"/>
  <c r="I30" i="86" s="1"/>
  <c r="G31" i="86"/>
  <c r="L31" i="86" s="1"/>
  <c r="J32" i="86"/>
  <c r="C34" i="86"/>
  <c r="K34" i="86" s="1"/>
  <c r="F35" i="86"/>
  <c r="I36" i="86"/>
  <c r="E39" i="86"/>
  <c r="H39" i="86" s="1"/>
  <c r="L41" i="86"/>
  <c r="E43" i="86"/>
  <c r="J43" i="86" s="1"/>
  <c r="H44" i="86"/>
  <c r="K45" i="86"/>
  <c r="D47" i="86"/>
  <c r="I47" i="86" s="1"/>
  <c r="G48" i="86"/>
  <c r="L48" i="86" s="1"/>
  <c r="C51" i="86"/>
  <c r="F52" i="86"/>
  <c r="I53" i="86"/>
  <c r="L54" i="86"/>
  <c r="F56" i="86"/>
  <c r="I57" i="86"/>
  <c r="L58" i="86"/>
  <c r="E60" i="86"/>
  <c r="H61" i="86"/>
  <c r="K62" i="86"/>
  <c r="D64" i="86"/>
  <c r="G65" i="86"/>
  <c r="J66" i="86"/>
  <c r="C68" i="86"/>
  <c r="F69" i="86"/>
  <c r="J70" i="86"/>
  <c r="C72" i="86"/>
  <c r="F73" i="86"/>
  <c r="I74" i="86"/>
  <c r="L75" i="86"/>
  <c r="E77" i="86"/>
  <c r="H78" i="86"/>
  <c r="K79" i="86"/>
  <c r="D81" i="86"/>
  <c r="G82" i="86"/>
  <c r="J83" i="86"/>
  <c r="D85" i="86"/>
  <c r="G86" i="86"/>
  <c r="J87" i="86"/>
  <c r="C89" i="86"/>
  <c r="F90" i="86"/>
  <c r="I91" i="86"/>
  <c r="L92" i="86"/>
  <c r="E94" i="86"/>
  <c r="I95" i="86"/>
  <c r="D97" i="86"/>
  <c r="H98" i="86"/>
  <c r="L99" i="86"/>
  <c r="F101" i="86"/>
  <c r="N41" i="84"/>
  <c r="N33" i="84"/>
  <c r="H24" i="37"/>
  <c r="H43" i="37"/>
  <c r="F25" i="42"/>
  <c r="F15" i="44"/>
  <c r="F14" i="44"/>
  <c r="F29" i="48"/>
  <c r="D51" i="84"/>
  <c r="C33" i="84"/>
  <c r="C25" i="57" s="1"/>
  <c r="D35" i="84"/>
  <c r="G42" i="48"/>
  <c r="H40" i="48" s="1"/>
  <c r="E30" i="50"/>
  <c r="F29" i="50" s="1"/>
  <c r="G4" i="78"/>
  <c r="F3" i="50"/>
  <c r="F3" i="49"/>
  <c r="F3" i="46"/>
  <c r="F3" i="89"/>
  <c r="F3" i="48"/>
  <c r="F3" i="40"/>
  <c r="F3" i="79"/>
  <c r="H3" i="72"/>
  <c r="H3" i="82"/>
  <c r="G3" i="78"/>
  <c r="F3" i="71"/>
  <c r="F3" i="65"/>
  <c r="F3" i="42"/>
  <c r="F3" i="37"/>
  <c r="F3" i="83"/>
  <c r="F3" i="44"/>
  <c r="F3" i="64"/>
  <c r="F3" i="67"/>
  <c r="F3" i="69"/>
  <c r="F3" i="66"/>
  <c r="F3" i="90"/>
  <c r="F3" i="61"/>
  <c r="F3" i="47"/>
  <c r="F3" i="41"/>
  <c r="F3" i="92"/>
  <c r="D21" i="57"/>
  <c r="J22" i="86"/>
  <c r="C24" i="86"/>
  <c r="J24" i="86" s="1"/>
  <c r="F25" i="86"/>
  <c r="I26" i="86"/>
  <c r="L27" i="86"/>
  <c r="E29" i="86"/>
  <c r="H29" i="86" s="1"/>
  <c r="H30" i="86"/>
  <c r="D33" i="86"/>
  <c r="G34" i="86"/>
  <c r="L34" i="86" s="1"/>
  <c r="D37" i="86"/>
  <c r="G38" i="86"/>
  <c r="J39" i="86"/>
  <c r="C41" i="86"/>
  <c r="J41" i="86" s="1"/>
  <c r="F42" i="86"/>
  <c r="K42" i="86" s="1"/>
  <c r="I43" i="86"/>
  <c r="L44" i="86"/>
  <c r="E46" i="86"/>
  <c r="J46" i="86" s="1"/>
  <c r="K48" i="86"/>
  <c r="D50" i="86"/>
  <c r="D54" i="86"/>
  <c r="G55" i="86"/>
  <c r="L55" i="86" s="1"/>
  <c r="C58" i="86"/>
  <c r="F59" i="86"/>
  <c r="I60" i="86"/>
  <c r="L61" i="86"/>
  <c r="E63" i="86"/>
  <c r="H64" i="86"/>
  <c r="L65" i="86"/>
  <c r="E67" i="86"/>
  <c r="H68" i="86"/>
  <c r="K69" i="86"/>
  <c r="D71" i="86"/>
  <c r="G72" i="86"/>
  <c r="J73" i="86"/>
  <c r="C75" i="86"/>
  <c r="F76" i="86"/>
  <c r="I77" i="86"/>
  <c r="L78" i="86"/>
  <c r="F80" i="86"/>
  <c r="I81" i="86"/>
  <c r="L82" i="86"/>
  <c r="E84" i="86"/>
  <c r="H85" i="86"/>
  <c r="K86" i="86"/>
  <c r="D88" i="86"/>
  <c r="G89" i="86"/>
  <c r="J90" i="86"/>
  <c r="C92" i="86"/>
  <c r="F93" i="86"/>
  <c r="J94" i="86"/>
  <c r="D96" i="86"/>
  <c r="H97" i="86"/>
  <c r="L98" i="86"/>
  <c r="F100" i="86"/>
  <c r="J101" i="86"/>
  <c r="F28" i="87"/>
  <c r="F3" i="85"/>
  <c r="H34" i="84"/>
  <c r="F21" i="37"/>
  <c r="F60" i="37"/>
  <c r="H29" i="40"/>
  <c r="G30" i="50"/>
  <c r="H21" i="50" s="1"/>
  <c r="F4" i="47"/>
  <c r="F4" i="64"/>
  <c r="F4" i="61"/>
  <c r="F4" i="71"/>
  <c r="F4" i="69"/>
  <c r="F4" i="66"/>
  <c r="F4" i="48"/>
  <c r="F4" i="42"/>
  <c r="F4" i="40"/>
  <c r="F4" i="83"/>
  <c r="F4" i="67"/>
  <c r="F4" i="43"/>
  <c r="F4" i="41"/>
  <c r="H4" i="82"/>
  <c r="F4" i="90"/>
  <c r="F4" i="65"/>
  <c r="F4" i="63"/>
  <c r="H4" i="72"/>
  <c r="F4" i="89"/>
  <c r="F4" i="91"/>
  <c r="K22" i="86"/>
  <c r="D24" i="86"/>
  <c r="I24" i="86" s="1"/>
  <c r="G25" i="86"/>
  <c r="L25" i="86" s="1"/>
  <c r="J26" i="86"/>
  <c r="C28" i="86"/>
  <c r="F29" i="86"/>
  <c r="E33" i="86"/>
  <c r="H34" i="86"/>
  <c r="L35" i="86"/>
  <c r="E37" i="86"/>
  <c r="J37" i="86" s="1"/>
  <c r="H38" i="86"/>
  <c r="K39" i="86"/>
  <c r="D41" i="86"/>
  <c r="I41" i="86" s="1"/>
  <c r="G42" i="86"/>
  <c r="L42" i="86" s="1"/>
  <c r="C45" i="86"/>
  <c r="H45" i="86" s="1"/>
  <c r="F46" i="86"/>
  <c r="K46" i="86" s="1"/>
  <c r="F50" i="86"/>
  <c r="K50" i="86" s="1"/>
  <c r="I51" i="86"/>
  <c r="E54" i="86"/>
  <c r="J54" i="86" s="1"/>
  <c r="H55" i="86"/>
  <c r="K56" i="86"/>
  <c r="D58" i="86"/>
  <c r="G59" i="86"/>
  <c r="J60" i="86"/>
  <c r="C62" i="86"/>
  <c r="F63" i="86"/>
  <c r="J64" i="86"/>
  <c r="C66" i="86"/>
  <c r="F67" i="86"/>
  <c r="I68" i="86"/>
  <c r="L69" i="86"/>
  <c r="E71" i="86"/>
  <c r="H72" i="86"/>
  <c r="K73" i="86"/>
  <c r="D75" i="86"/>
  <c r="G76" i="86"/>
  <c r="J77" i="86"/>
  <c r="D79" i="86"/>
  <c r="G80" i="86"/>
  <c r="J81" i="86"/>
  <c r="C83" i="86"/>
  <c r="F84" i="86"/>
  <c r="I85" i="86"/>
  <c r="L86" i="86"/>
  <c r="E88" i="86"/>
  <c r="H89" i="86"/>
  <c r="K90" i="86"/>
  <c r="D92" i="86"/>
  <c r="H93" i="86"/>
  <c r="K94" i="86"/>
  <c r="E96" i="86"/>
  <c r="I97" i="86"/>
  <c r="C99" i="86"/>
  <c r="G100" i="86"/>
  <c r="L101" i="86"/>
  <c r="H21" i="37"/>
  <c r="F36" i="37"/>
  <c r="H24" i="40"/>
  <c r="F3" i="62"/>
  <c r="F27" i="42"/>
  <c r="H15" i="43"/>
  <c r="E55" i="40"/>
  <c r="F53" i="40" s="1"/>
  <c r="H19" i="40"/>
  <c r="H41" i="40"/>
  <c r="H52" i="40"/>
  <c r="E16" i="46"/>
  <c r="F14" i="46" s="1"/>
  <c r="F21" i="48"/>
  <c r="F4" i="50"/>
  <c r="H41" i="84"/>
  <c r="H43" i="84" s="1"/>
  <c r="F29" i="40"/>
  <c r="F34" i="40"/>
  <c r="H36" i="48"/>
  <c r="F25" i="40"/>
  <c r="F41" i="40"/>
  <c r="E15" i="69"/>
  <c r="H36" i="37"/>
  <c r="H45" i="37"/>
  <c r="H22" i="40"/>
  <c r="H27" i="40"/>
  <c r="H48" i="40"/>
  <c r="F24" i="42"/>
  <c r="E29" i="49"/>
  <c r="H64" i="37"/>
  <c r="H31" i="40"/>
  <c r="F36" i="40"/>
  <c r="H14" i="44"/>
  <c r="H16" i="44" s="1"/>
  <c r="H15" i="44"/>
  <c r="E28" i="47"/>
  <c r="F14" i="47" s="1"/>
  <c r="F41" i="48"/>
  <c r="F20" i="69"/>
  <c r="I20" i="69"/>
  <c r="F27" i="48"/>
  <c r="F37" i="48"/>
  <c r="F27" i="37"/>
  <c r="H31" i="37"/>
  <c r="H18" i="40"/>
  <c r="H28" i="40"/>
  <c r="H38" i="40"/>
  <c r="D61" i="83"/>
  <c r="D64" i="83"/>
  <c r="F41" i="84"/>
  <c r="F43" i="84" s="1"/>
  <c r="F39" i="37"/>
  <c r="H15" i="40"/>
  <c r="G28" i="47"/>
  <c r="H20" i="47" s="1"/>
  <c r="F27" i="49"/>
  <c r="H22" i="37"/>
  <c r="F26" i="37"/>
  <c r="F32" i="40"/>
  <c r="H40" i="40"/>
  <c r="H53" i="40"/>
  <c r="F20" i="40"/>
  <c r="H54" i="40"/>
  <c r="G31" i="42"/>
  <c r="F20" i="48"/>
  <c r="F14" i="69"/>
  <c r="H21" i="69"/>
  <c r="D41" i="84"/>
  <c r="D43" i="84" s="1"/>
  <c r="E65" i="37"/>
  <c r="H16" i="40"/>
  <c r="F30" i="40"/>
  <c r="H51" i="40"/>
  <c r="F22" i="42"/>
  <c r="H16" i="48"/>
  <c r="G29" i="49"/>
  <c r="H15" i="49" s="1"/>
  <c r="H43" i="40"/>
  <c r="F19" i="42"/>
  <c r="F17" i="48"/>
  <c r="H34" i="48"/>
  <c r="F24" i="50"/>
  <c r="N32" i="84"/>
  <c r="N42" i="84" s="1"/>
  <c r="H46" i="84"/>
  <c r="G65" i="37"/>
  <c r="H48" i="37" s="1"/>
  <c r="H17" i="40"/>
  <c r="H39" i="40"/>
  <c r="F16" i="42"/>
  <c r="H17" i="48"/>
  <c r="F35" i="48"/>
  <c r="F20" i="50"/>
  <c r="H24" i="50"/>
  <c r="F26" i="40"/>
  <c r="H42" i="40"/>
  <c r="H46" i="40"/>
  <c r="E42" i="48"/>
  <c r="F25" i="48" s="1"/>
  <c r="D63" i="83"/>
  <c r="F46" i="84"/>
  <c r="F14" i="40"/>
  <c r="H30" i="40"/>
  <c r="H34" i="40"/>
  <c r="E23" i="46"/>
  <c r="F15" i="48"/>
  <c r="F32" i="48"/>
  <c r="F15" i="49"/>
  <c r="I15" i="69"/>
  <c r="I18" i="69"/>
  <c r="D66" i="83"/>
  <c r="H21" i="40"/>
  <c r="H25" i="40"/>
  <c r="H33" i="40"/>
  <c r="H37" i="40"/>
  <c r="H45" i="40"/>
  <c r="H49" i="40"/>
  <c r="H25" i="48"/>
  <c r="H37" i="48"/>
  <c r="H18" i="49"/>
  <c r="F26" i="48"/>
  <c r="F38" i="48"/>
  <c r="F33" i="84"/>
  <c r="H33" i="48" l="1"/>
  <c r="F15" i="50"/>
  <c r="F50" i="40"/>
  <c r="F21" i="40"/>
  <c r="H27" i="47"/>
  <c r="L52" i="86"/>
  <c r="K100" i="91"/>
  <c r="I99" i="91"/>
  <c r="G98" i="91"/>
  <c r="E97" i="91"/>
  <c r="C96" i="91"/>
  <c r="K94" i="91"/>
  <c r="I93" i="91"/>
  <c r="G92" i="91"/>
  <c r="E91" i="91"/>
  <c r="D100" i="91"/>
  <c r="K98" i="91"/>
  <c r="H97" i="91"/>
  <c r="E96" i="91"/>
  <c r="L94" i="91"/>
  <c r="H93" i="91"/>
  <c r="E92" i="91"/>
  <c r="L90" i="91"/>
  <c r="J89" i="91"/>
  <c r="H88" i="91"/>
  <c r="F87" i="91"/>
  <c r="D86" i="91"/>
  <c r="K99" i="91"/>
  <c r="F98" i="91"/>
  <c r="L96" i="91"/>
  <c r="H95" i="91"/>
  <c r="D94" i="91"/>
  <c r="J92" i="91"/>
  <c r="F91" i="91"/>
  <c r="L89" i="91"/>
  <c r="I88" i="91"/>
  <c r="E87" i="91"/>
  <c r="L85" i="91"/>
  <c r="J84" i="91"/>
  <c r="H83" i="91"/>
  <c r="F82" i="91"/>
  <c r="D81" i="91"/>
  <c r="L79" i="91"/>
  <c r="L99" i="91"/>
  <c r="E98" i="91"/>
  <c r="J96" i="91"/>
  <c r="E95" i="91"/>
  <c r="J93" i="91"/>
  <c r="C92" i="91"/>
  <c r="H90" i="91"/>
  <c r="D89" i="91"/>
  <c r="J87" i="91"/>
  <c r="F86" i="91"/>
  <c r="L84" i="91"/>
  <c r="I83" i="91"/>
  <c r="E82" i="91"/>
  <c r="L80" i="91"/>
  <c r="L100" i="91"/>
  <c r="F99" i="91"/>
  <c r="K97" i="91"/>
  <c r="F96" i="91"/>
  <c r="I94" i="91"/>
  <c r="D93" i="91"/>
  <c r="I91" i="91"/>
  <c r="D90" i="91"/>
  <c r="J88" i="91"/>
  <c r="D87" i="91"/>
  <c r="J85" i="91"/>
  <c r="G84" i="91"/>
  <c r="D83" i="91"/>
  <c r="K81" i="91"/>
  <c r="H80" i="91"/>
  <c r="E79" i="91"/>
  <c r="C78" i="91"/>
  <c r="K76" i="91"/>
  <c r="I75" i="91"/>
  <c r="G74" i="91"/>
  <c r="E73" i="91"/>
  <c r="C72" i="91"/>
  <c r="K70" i="91"/>
  <c r="I69" i="91"/>
  <c r="G68" i="91"/>
  <c r="E67" i="91"/>
  <c r="C66" i="91"/>
  <c r="K64" i="91"/>
  <c r="I63" i="91"/>
  <c r="G62" i="91"/>
  <c r="E61" i="91"/>
  <c r="C60" i="91"/>
  <c r="K58" i="91"/>
  <c r="I57" i="91"/>
  <c r="G56" i="91"/>
  <c r="E55" i="91"/>
  <c r="C54" i="91"/>
  <c r="H29" i="87" s="1"/>
  <c r="G99" i="91"/>
  <c r="I97" i="91"/>
  <c r="J95" i="91"/>
  <c r="L93" i="91"/>
  <c r="L91" i="91"/>
  <c r="E90" i="91"/>
  <c r="F88" i="91"/>
  <c r="J86" i="91"/>
  <c r="D85" i="91"/>
  <c r="G83" i="91"/>
  <c r="L81" i="91"/>
  <c r="F80" i="91"/>
  <c r="L78" i="91"/>
  <c r="I77" i="91"/>
  <c r="F76" i="91"/>
  <c r="C75" i="91"/>
  <c r="J73" i="91"/>
  <c r="G72" i="91"/>
  <c r="D71" i="91"/>
  <c r="K69" i="91"/>
  <c r="H68" i="91"/>
  <c r="D67" i="91"/>
  <c r="K65" i="91"/>
  <c r="H64" i="91"/>
  <c r="E63" i="91"/>
  <c r="L61" i="91"/>
  <c r="I60" i="91"/>
  <c r="F59" i="91"/>
  <c r="C58" i="91"/>
  <c r="J56" i="91"/>
  <c r="G55" i="91"/>
  <c r="D54" i="91"/>
  <c r="K52" i="91"/>
  <c r="I51" i="91"/>
  <c r="G50" i="91"/>
  <c r="E49" i="91"/>
  <c r="C48" i="91"/>
  <c r="K46" i="91"/>
  <c r="I45" i="91"/>
  <c r="G44" i="91"/>
  <c r="E43" i="91"/>
  <c r="C42" i="91"/>
  <c r="K40" i="91"/>
  <c r="I39" i="91"/>
  <c r="G38" i="91"/>
  <c r="E37" i="91"/>
  <c r="C36" i="91"/>
  <c r="K34" i="91"/>
  <c r="I33" i="91"/>
  <c r="G32" i="91"/>
  <c r="E31" i="91"/>
  <c r="C30" i="91"/>
  <c r="K28" i="91"/>
  <c r="I27" i="91"/>
  <c r="G26" i="91"/>
  <c r="E25" i="91"/>
  <c r="C24" i="91"/>
  <c r="K22" i="91"/>
  <c r="H21" i="91"/>
  <c r="J100" i="91"/>
  <c r="L98" i="91"/>
  <c r="K96" i="91"/>
  <c r="J94" i="91"/>
  <c r="K92" i="91"/>
  <c r="J90" i="91"/>
  <c r="L88" i="91"/>
  <c r="L86" i="91"/>
  <c r="E85" i="91"/>
  <c r="F83" i="91"/>
  <c r="I81" i="91"/>
  <c r="C80" i="91"/>
  <c r="H78" i="91"/>
  <c r="D77" i="91"/>
  <c r="J75" i="91"/>
  <c r="E74" i="91"/>
  <c r="K72" i="91"/>
  <c r="G71" i="91"/>
  <c r="C70" i="91"/>
  <c r="I68" i="91"/>
  <c r="C67" i="91"/>
  <c r="I65" i="91"/>
  <c r="E64" i="91"/>
  <c r="K62" i="91"/>
  <c r="G61" i="91"/>
  <c r="L59" i="91"/>
  <c r="H58" i="91"/>
  <c r="D57" i="91"/>
  <c r="J55" i="91"/>
  <c r="F54" i="91"/>
  <c r="H51" i="91"/>
  <c r="E50" i="91"/>
  <c r="I47" i="91"/>
  <c r="F46" i="91"/>
  <c r="C45" i="91"/>
  <c r="J43" i="91"/>
  <c r="G42" i="91"/>
  <c r="D41" i="91"/>
  <c r="L41" i="91" s="1"/>
  <c r="K39" i="91"/>
  <c r="H38" i="91"/>
  <c r="D37" i="91"/>
  <c r="K35" i="91"/>
  <c r="H34" i="91"/>
  <c r="E33" i="91"/>
  <c r="L31" i="91"/>
  <c r="I30" i="91"/>
  <c r="F29" i="91"/>
  <c r="C28" i="91"/>
  <c r="J26" i="91"/>
  <c r="G25" i="91"/>
  <c r="D24" i="91"/>
  <c r="J22" i="91"/>
  <c r="G100" i="91"/>
  <c r="D98" i="91"/>
  <c r="L95" i="91"/>
  <c r="K93" i="91"/>
  <c r="H91" i="91"/>
  <c r="G89" i="91"/>
  <c r="H87" i="91"/>
  <c r="G85" i="91"/>
  <c r="J83" i="91"/>
  <c r="H81" i="91"/>
  <c r="J79" i="91"/>
  <c r="E78" i="91"/>
  <c r="I76" i="91"/>
  <c r="D75" i="91"/>
  <c r="H73" i="91"/>
  <c r="L71" i="91"/>
  <c r="G70" i="91"/>
  <c r="L68" i="91"/>
  <c r="G67" i="91"/>
  <c r="J65" i="91"/>
  <c r="D64" i="91"/>
  <c r="I62" i="91"/>
  <c r="C61" i="91"/>
  <c r="H59" i="91"/>
  <c r="L57" i="91"/>
  <c r="F56" i="91"/>
  <c r="K54" i="91"/>
  <c r="F53" i="91"/>
  <c r="L51" i="91"/>
  <c r="H50" i="91"/>
  <c r="C49" i="91"/>
  <c r="H47" i="91"/>
  <c r="D46" i="91"/>
  <c r="L46" i="91" s="1"/>
  <c r="J44" i="91"/>
  <c r="F43" i="91"/>
  <c r="K41" i="91"/>
  <c r="G40" i="91"/>
  <c r="C39" i="91"/>
  <c r="I37" i="91"/>
  <c r="E36" i="91"/>
  <c r="J34" i="91"/>
  <c r="F33" i="91"/>
  <c r="K31" i="91"/>
  <c r="G30" i="91"/>
  <c r="C29" i="91"/>
  <c r="H27" i="91"/>
  <c r="D26" i="91"/>
  <c r="J24" i="91"/>
  <c r="F23" i="91"/>
  <c r="K21" i="91"/>
  <c r="J98" i="91"/>
  <c r="H96" i="91"/>
  <c r="F94" i="91"/>
  <c r="D92" i="91"/>
  <c r="K89" i="91"/>
  <c r="L87" i="91"/>
  <c r="K85" i="91"/>
  <c r="C84" i="91"/>
  <c r="D82" i="91"/>
  <c r="E80" i="91"/>
  <c r="I78" i="91"/>
  <c r="C77" i="91"/>
  <c r="G75" i="91"/>
  <c r="L73" i="91"/>
  <c r="F72" i="91"/>
  <c r="J70" i="91"/>
  <c r="E69" i="91"/>
  <c r="J67" i="91"/>
  <c r="E66" i="91"/>
  <c r="I64" i="91"/>
  <c r="C63" i="91"/>
  <c r="H61" i="91"/>
  <c r="K59" i="91"/>
  <c r="F58" i="91"/>
  <c r="K56" i="91"/>
  <c r="D55" i="91"/>
  <c r="I53" i="91"/>
  <c r="E52" i="91"/>
  <c r="K50" i="91"/>
  <c r="G49" i="91"/>
  <c r="H46" i="91"/>
  <c r="D45" i="91"/>
  <c r="I43" i="91"/>
  <c r="E42" i="91"/>
  <c r="J40" i="91"/>
  <c r="F39" i="91"/>
  <c r="H36" i="91"/>
  <c r="D35" i="91"/>
  <c r="J33" i="91"/>
  <c r="E32" i="91"/>
  <c r="K30" i="91"/>
  <c r="G29" i="91"/>
  <c r="H26" i="91"/>
  <c r="C25" i="91"/>
  <c r="I23" i="91"/>
  <c r="E22" i="91"/>
  <c r="H99" i="91"/>
  <c r="C97" i="91"/>
  <c r="E94" i="91"/>
  <c r="G91" i="91"/>
  <c r="C89" i="91"/>
  <c r="H86" i="91"/>
  <c r="E84" i="91"/>
  <c r="C82" i="91"/>
  <c r="I79" i="91"/>
  <c r="K77" i="91"/>
  <c r="C76" i="91"/>
  <c r="D74" i="91"/>
  <c r="E72" i="91"/>
  <c r="F70" i="91"/>
  <c r="F68" i="91"/>
  <c r="I66" i="91"/>
  <c r="L64" i="91"/>
  <c r="L62" i="91"/>
  <c r="L60" i="91"/>
  <c r="D59" i="91"/>
  <c r="F57" i="91"/>
  <c r="H55" i="91"/>
  <c r="H53" i="91"/>
  <c r="K51" i="91"/>
  <c r="C50" i="91"/>
  <c r="G48" i="91"/>
  <c r="J46" i="91"/>
  <c r="D43" i="91"/>
  <c r="H41" i="91"/>
  <c r="D38" i="91"/>
  <c r="G36" i="91"/>
  <c r="I34" i="91"/>
  <c r="F31" i="91"/>
  <c r="I29" i="91"/>
  <c r="K27" i="91"/>
  <c r="C26" i="91"/>
  <c r="G24" i="91"/>
  <c r="I22" i="91"/>
  <c r="C21" i="91"/>
  <c r="K25" i="91"/>
  <c r="E99" i="91"/>
  <c r="I96" i="91"/>
  <c r="C94" i="91"/>
  <c r="D91" i="91"/>
  <c r="K88" i="91"/>
  <c r="G86" i="91"/>
  <c r="D84" i="91"/>
  <c r="J81" i="91"/>
  <c r="H79" i="91"/>
  <c r="J77" i="91"/>
  <c r="L75" i="91"/>
  <c r="C74" i="91"/>
  <c r="D72" i="91"/>
  <c r="E70" i="91"/>
  <c r="E68" i="91"/>
  <c r="H66" i="91"/>
  <c r="J64" i="91"/>
  <c r="J62" i="91"/>
  <c r="K60" i="91"/>
  <c r="C59" i="91"/>
  <c r="E57" i="91"/>
  <c r="F55" i="91"/>
  <c r="G53" i="91"/>
  <c r="J51" i="91"/>
  <c r="F48" i="91"/>
  <c r="I46" i="91"/>
  <c r="K44" i="91"/>
  <c r="C43" i="91"/>
  <c r="G41" i="91"/>
  <c r="J39" i="91"/>
  <c r="C38" i="91"/>
  <c r="F36" i="91"/>
  <c r="G34" i="91"/>
  <c r="K32" i="91"/>
  <c r="D31" i="91"/>
  <c r="H29" i="91"/>
  <c r="J27" i="91"/>
  <c r="F24" i="91"/>
  <c r="H22" i="91"/>
  <c r="D99" i="91"/>
  <c r="G93" i="91"/>
  <c r="C91" i="91"/>
  <c r="G88" i="91"/>
  <c r="E86" i="91"/>
  <c r="L83" i="91"/>
  <c r="G81" i="91"/>
  <c r="H77" i="91"/>
  <c r="K75" i="91"/>
  <c r="K73" i="91"/>
  <c r="K71" i="91"/>
  <c r="D68" i="91"/>
  <c r="G66" i="91"/>
  <c r="H62" i="91"/>
  <c r="L58" i="91"/>
  <c r="E53" i="91"/>
  <c r="E48" i="91"/>
  <c r="F41" i="91"/>
  <c r="K37" i="91"/>
  <c r="F34" i="91"/>
  <c r="C31" i="91"/>
  <c r="E24" i="91"/>
  <c r="G96" i="91"/>
  <c r="G79" i="91"/>
  <c r="D70" i="91"/>
  <c r="G64" i="91"/>
  <c r="J60" i="91"/>
  <c r="C57" i="91"/>
  <c r="C55" i="91"/>
  <c r="G51" i="91"/>
  <c r="K49" i="91"/>
  <c r="G46" i="91"/>
  <c r="I44" i="91"/>
  <c r="H39" i="91"/>
  <c r="D36" i="91"/>
  <c r="L36" i="91" s="1"/>
  <c r="J32" i="91"/>
  <c r="E29" i="91"/>
  <c r="G27" i="91"/>
  <c r="G22" i="91"/>
  <c r="H98" i="91"/>
  <c r="I95" i="91"/>
  <c r="C93" i="91"/>
  <c r="G90" i="91"/>
  <c r="C88" i="91"/>
  <c r="H85" i="91"/>
  <c r="C83" i="91"/>
  <c r="C81" i="91"/>
  <c r="C79" i="91"/>
  <c r="E77" i="91"/>
  <c r="E75" i="91"/>
  <c r="F73" i="91"/>
  <c r="H71" i="91"/>
  <c r="H69" i="91"/>
  <c r="K67" i="91"/>
  <c r="L65" i="91"/>
  <c r="L63" i="91"/>
  <c r="D62" i="91"/>
  <c r="F60" i="91"/>
  <c r="G58" i="91"/>
  <c r="H56" i="91"/>
  <c r="I54" i="91"/>
  <c r="J52" i="91"/>
  <c r="D51" i="91"/>
  <c r="H49" i="91"/>
  <c r="J47" i="91"/>
  <c r="E44" i="91"/>
  <c r="I42" i="91"/>
  <c r="D39" i="91"/>
  <c r="L39" i="91" s="1"/>
  <c r="G37" i="91"/>
  <c r="I35" i="91"/>
  <c r="C34" i="91"/>
  <c r="F32" i="91"/>
  <c r="H30" i="91"/>
  <c r="J28" i="91"/>
  <c r="D27" i="91"/>
  <c r="H25" i="91"/>
  <c r="J23" i="91"/>
  <c r="C22" i="91"/>
  <c r="F100" i="91"/>
  <c r="J97" i="91"/>
  <c r="D95" i="91"/>
  <c r="H92" i="91"/>
  <c r="I89" i="91"/>
  <c r="G87" i="91"/>
  <c r="K84" i="91"/>
  <c r="J82" i="91"/>
  <c r="I80" i="91"/>
  <c r="G78" i="91"/>
  <c r="H76" i="91"/>
  <c r="J74" i="91"/>
  <c r="L72" i="91"/>
  <c r="C71" i="91"/>
  <c r="D69" i="91"/>
  <c r="F67" i="91"/>
  <c r="F65" i="91"/>
  <c r="H63" i="91"/>
  <c r="J61" i="91"/>
  <c r="J59" i="91"/>
  <c r="K57" i="91"/>
  <c r="C56" i="91"/>
  <c r="E54" i="91"/>
  <c r="G52" i="91"/>
  <c r="J50" i="91"/>
  <c r="K48" i="91"/>
  <c r="E47" i="91"/>
  <c r="H45" i="91"/>
  <c r="L43" i="91"/>
  <c r="D42" i="91"/>
  <c r="L42" i="91" s="1"/>
  <c r="F40" i="91"/>
  <c r="J38" i="91"/>
  <c r="F35" i="91"/>
  <c r="H33" i="91"/>
  <c r="J31" i="91"/>
  <c r="D30" i="91"/>
  <c r="G28" i="91"/>
  <c r="K26" i="91"/>
  <c r="E23" i="91"/>
  <c r="G21" i="91"/>
  <c r="E100" i="91"/>
  <c r="G97" i="91"/>
  <c r="C95" i="91"/>
  <c r="F92" i="91"/>
  <c r="H89" i="91"/>
  <c r="C87" i="91"/>
  <c r="I84" i="91"/>
  <c r="F97" i="91"/>
  <c r="K91" i="91"/>
  <c r="K86" i="91"/>
  <c r="I82" i="91"/>
  <c r="K78" i="91"/>
  <c r="H75" i="91"/>
  <c r="I72" i="91"/>
  <c r="F69" i="91"/>
  <c r="D66" i="91"/>
  <c r="D63" i="91"/>
  <c r="I59" i="91"/>
  <c r="E56" i="91"/>
  <c r="D53" i="91"/>
  <c r="L53" i="91" s="1"/>
  <c r="F50" i="91"/>
  <c r="F47" i="91"/>
  <c r="F44" i="91"/>
  <c r="I41" i="91"/>
  <c r="I38" i="91"/>
  <c r="H35" i="91"/>
  <c r="I32" i="91"/>
  <c r="K29" i="91"/>
  <c r="K23" i="91"/>
  <c r="D21" i="91"/>
  <c r="D97" i="91"/>
  <c r="J91" i="91"/>
  <c r="I86" i="91"/>
  <c r="H82" i="91"/>
  <c r="J78" i="91"/>
  <c r="F75" i="91"/>
  <c r="H72" i="91"/>
  <c r="C69" i="91"/>
  <c r="H65" i="91"/>
  <c r="F62" i="91"/>
  <c r="G59" i="91"/>
  <c r="D56" i="91"/>
  <c r="C53" i="91"/>
  <c r="D50" i="91"/>
  <c r="L50" i="91" s="1"/>
  <c r="D47" i="91"/>
  <c r="L47" i="91" s="1"/>
  <c r="D44" i="91"/>
  <c r="E41" i="91"/>
  <c r="F38" i="91"/>
  <c r="G35" i="91"/>
  <c r="H32" i="91"/>
  <c r="L32" i="91" s="1"/>
  <c r="J29" i="91"/>
  <c r="I26" i="91"/>
  <c r="H23" i="91"/>
  <c r="D96" i="91"/>
  <c r="K90" i="91"/>
  <c r="C86" i="91"/>
  <c r="G82" i="91"/>
  <c r="F78" i="91"/>
  <c r="L74" i="91"/>
  <c r="J71" i="91"/>
  <c r="K68" i="91"/>
  <c r="G65" i="91"/>
  <c r="E62" i="91"/>
  <c r="E59" i="91"/>
  <c r="I52" i="91"/>
  <c r="J49" i="91"/>
  <c r="C47" i="91"/>
  <c r="C44" i="91"/>
  <c r="C41" i="91"/>
  <c r="E38" i="91"/>
  <c r="E35" i="91"/>
  <c r="D32" i="91"/>
  <c r="D29" i="91"/>
  <c r="L29" i="91" s="1"/>
  <c r="F26" i="91"/>
  <c r="G23" i="91"/>
  <c r="K95" i="91"/>
  <c r="I90" i="91"/>
  <c r="I85" i="91"/>
  <c r="F81" i="91"/>
  <c r="D78" i="91"/>
  <c r="K74" i="91"/>
  <c r="I71" i="91"/>
  <c r="J68" i="91"/>
  <c r="E65" i="91"/>
  <c r="C62" i="91"/>
  <c r="J58" i="91"/>
  <c r="K55" i="91"/>
  <c r="F38" i="85" s="1"/>
  <c r="H52" i="91"/>
  <c r="I49" i="91"/>
  <c r="K43" i="91"/>
  <c r="I40" i="91"/>
  <c r="J37" i="91"/>
  <c r="C35" i="91"/>
  <c r="C32" i="91"/>
  <c r="L28" i="91"/>
  <c r="E26" i="91"/>
  <c r="D23" i="91"/>
  <c r="L23" i="91" s="1"/>
  <c r="I100" i="91"/>
  <c r="G95" i="91"/>
  <c r="F90" i="91"/>
  <c r="F85" i="91"/>
  <c r="E81" i="91"/>
  <c r="L77" i="91"/>
  <c r="I74" i="91"/>
  <c r="F71" i="91"/>
  <c r="C68" i="91"/>
  <c r="D65" i="91"/>
  <c r="K61" i="91"/>
  <c r="I58" i="91"/>
  <c r="I55" i="91"/>
  <c r="F52" i="91"/>
  <c r="F49" i="91"/>
  <c r="E46" i="91"/>
  <c r="H43" i="91"/>
  <c r="H40" i="91"/>
  <c r="H37" i="91"/>
  <c r="L37" i="91" s="1"/>
  <c r="I31" i="91"/>
  <c r="I28" i="91"/>
  <c r="J25" i="91"/>
  <c r="C23" i="91"/>
  <c r="C100" i="91"/>
  <c r="H94" i="91"/>
  <c r="F89" i="91"/>
  <c r="H84" i="91"/>
  <c r="J80" i="91"/>
  <c r="F77" i="91"/>
  <c r="F74" i="91"/>
  <c r="L70" i="91"/>
  <c r="I67" i="91"/>
  <c r="F64" i="91"/>
  <c r="F61" i="91"/>
  <c r="D58" i="91"/>
  <c r="J54" i="91"/>
  <c r="C52" i="91"/>
  <c r="J48" i="91"/>
  <c r="K45" i="91"/>
  <c r="K42" i="91"/>
  <c r="D40" i="91"/>
  <c r="C37" i="91"/>
  <c r="D34" i="91"/>
  <c r="L34" i="91" s="1"/>
  <c r="G31" i="91"/>
  <c r="F28" i="91"/>
  <c r="F25" i="91"/>
  <c r="F22" i="91"/>
  <c r="I98" i="91"/>
  <c r="E93" i="91"/>
  <c r="D88" i="91"/>
  <c r="E83" i="91"/>
  <c r="K79" i="91"/>
  <c r="G76" i="91"/>
  <c r="D73" i="91"/>
  <c r="L69" i="91"/>
  <c r="K66" i="91"/>
  <c r="J63" i="91"/>
  <c r="G60" i="91"/>
  <c r="G57" i="91"/>
  <c r="C51" i="91"/>
  <c r="D48" i="91"/>
  <c r="L48" i="91" s="1"/>
  <c r="F93" i="91"/>
  <c r="K82" i="91"/>
  <c r="I73" i="91"/>
  <c r="J66" i="91"/>
  <c r="E58" i="91"/>
  <c r="E51" i="91"/>
  <c r="E45" i="91"/>
  <c r="L38" i="91"/>
  <c r="D33" i="91"/>
  <c r="L33" i="91" s="1"/>
  <c r="E27" i="91"/>
  <c r="F21" i="91"/>
  <c r="F51" i="91"/>
  <c r="L92" i="91"/>
  <c r="K80" i="91"/>
  <c r="G73" i="91"/>
  <c r="F66" i="91"/>
  <c r="J57" i="91"/>
  <c r="H44" i="91"/>
  <c r="K38" i="91"/>
  <c r="C33" i="91"/>
  <c r="C27" i="91"/>
  <c r="E21" i="91"/>
  <c r="I92" i="91"/>
  <c r="G80" i="91"/>
  <c r="C73" i="91"/>
  <c r="C65" i="91"/>
  <c r="H57" i="91"/>
  <c r="I50" i="91"/>
  <c r="G43" i="91"/>
  <c r="F37" i="91"/>
  <c r="H31" i="91"/>
  <c r="I25" i="91"/>
  <c r="H100" i="91"/>
  <c r="E88" i="91"/>
  <c r="D79" i="91"/>
  <c r="I70" i="91"/>
  <c r="G63" i="91"/>
  <c r="F42" i="91"/>
  <c r="F30" i="91"/>
  <c r="I24" i="91"/>
  <c r="C99" i="91"/>
  <c r="I87" i="91"/>
  <c r="L76" i="91"/>
  <c r="I61" i="91"/>
  <c r="G54" i="91"/>
  <c r="G47" i="91"/>
  <c r="J41" i="91"/>
  <c r="J76" i="91"/>
  <c r="H28" i="91"/>
  <c r="G94" i="91"/>
  <c r="L66" i="91"/>
  <c r="F45" i="91"/>
  <c r="E39" i="91"/>
  <c r="G33" i="91"/>
  <c r="F27" i="91"/>
  <c r="I21" i="91"/>
  <c r="I36" i="91"/>
  <c r="C85" i="91"/>
  <c r="G69" i="91"/>
  <c r="D61" i="91"/>
  <c r="K53" i="91"/>
  <c r="E40" i="91"/>
  <c r="D60" i="91"/>
  <c r="C90" i="91"/>
  <c r="D80" i="91"/>
  <c r="J72" i="91"/>
  <c r="C64" i="91"/>
  <c r="L56" i="91"/>
  <c r="D49" i="91"/>
  <c r="L49" i="91" s="1"/>
  <c r="J42" i="91"/>
  <c r="K36" i="91"/>
  <c r="D25" i="91"/>
  <c r="L25" i="91" s="1"/>
  <c r="H48" i="91"/>
  <c r="J35" i="91"/>
  <c r="C46" i="91"/>
  <c r="H74" i="91"/>
  <c r="E89" i="91"/>
  <c r="F79" i="91"/>
  <c r="E71" i="91"/>
  <c r="K63" i="91"/>
  <c r="I56" i="91"/>
  <c r="I48" i="91"/>
  <c r="H42" i="91"/>
  <c r="J36" i="91"/>
  <c r="J30" i="91"/>
  <c r="K24" i="91"/>
  <c r="C98" i="91"/>
  <c r="E34" i="91"/>
  <c r="L82" i="91"/>
  <c r="J99" i="91"/>
  <c r="K87" i="91"/>
  <c r="G77" i="91"/>
  <c r="H70" i="91"/>
  <c r="F63" i="91"/>
  <c r="H54" i="91"/>
  <c r="L54" i="91" s="1"/>
  <c r="K47" i="91"/>
  <c r="E30" i="91"/>
  <c r="H24" i="91"/>
  <c r="L24" i="91" s="1"/>
  <c r="J69" i="91"/>
  <c r="L97" i="91"/>
  <c r="F84" i="91"/>
  <c r="E76" i="91"/>
  <c r="L67" i="91"/>
  <c r="H60" i="91"/>
  <c r="J53" i="91"/>
  <c r="J45" i="91"/>
  <c r="C40" i="91"/>
  <c r="E28" i="91"/>
  <c r="D22" i="91"/>
  <c r="F95" i="91"/>
  <c r="K83" i="91"/>
  <c r="D76" i="91"/>
  <c r="H67" i="91"/>
  <c r="E60" i="91"/>
  <c r="D52" i="91"/>
  <c r="L52" i="91" s="1"/>
  <c r="G45" i="91"/>
  <c r="G39" i="91"/>
  <c r="K33" i="91"/>
  <c r="D28" i="91"/>
  <c r="J21" i="91"/>
  <c r="F24" i="40"/>
  <c r="F14" i="50"/>
  <c r="H58" i="37"/>
  <c r="F39" i="48"/>
  <c r="F16" i="40"/>
  <c r="G15" i="41"/>
  <c r="H48" i="86"/>
  <c r="H23" i="50"/>
  <c r="H19" i="50"/>
  <c r="H28" i="50"/>
  <c r="H18" i="50"/>
  <c r="F18" i="40"/>
  <c r="E69" i="37"/>
  <c r="F62" i="37"/>
  <c r="F49" i="37"/>
  <c r="F52" i="37"/>
  <c r="F64" i="37"/>
  <c r="F57" i="37"/>
  <c r="F53" i="37"/>
  <c r="F46" i="37"/>
  <c r="F55" i="37"/>
  <c r="F47" i="37"/>
  <c r="F40" i="37"/>
  <c r="F33" i="37"/>
  <c r="F56" i="37"/>
  <c r="F43" i="37"/>
  <c r="F23" i="37"/>
  <c r="F51" i="37"/>
  <c r="F17" i="37"/>
  <c r="F31" i="37"/>
  <c r="F50" i="37"/>
  <c r="F35" i="37"/>
  <c r="F37" i="37"/>
  <c r="F14" i="37"/>
  <c r="F30" i="37"/>
  <c r="F61" i="37"/>
  <c r="F19" i="37"/>
  <c r="F34" i="37"/>
  <c r="F22" i="37"/>
  <c r="F58" i="37"/>
  <c r="F59" i="37"/>
  <c r="F41" i="37"/>
  <c r="F54" i="37"/>
  <c r="F20" i="37"/>
  <c r="G20" i="69"/>
  <c r="F22" i="49"/>
  <c r="F25" i="49"/>
  <c r="F19" i="49"/>
  <c r="F28" i="49"/>
  <c r="F16" i="49"/>
  <c r="F21" i="49"/>
  <c r="F20" i="49"/>
  <c r="F14" i="49"/>
  <c r="F29" i="49" s="1"/>
  <c r="H29" i="48"/>
  <c r="H51" i="37"/>
  <c r="J52" i="86"/>
  <c r="H35" i="48"/>
  <c r="H15" i="37"/>
  <c r="F28" i="40"/>
  <c r="H22" i="42"/>
  <c r="H25" i="42"/>
  <c r="H15" i="42"/>
  <c r="H28" i="42"/>
  <c r="H18" i="42"/>
  <c r="H30" i="42"/>
  <c r="H27" i="42"/>
  <c r="H23" i="42"/>
  <c r="H24" i="42"/>
  <c r="H16" i="42"/>
  <c r="H19" i="42"/>
  <c r="H21" i="42"/>
  <c r="H29" i="42"/>
  <c r="H14" i="42"/>
  <c r="H47" i="86"/>
  <c r="F23" i="50"/>
  <c r="H20" i="42"/>
  <c r="F17" i="50"/>
  <c r="L49" i="86"/>
  <c r="F15" i="46"/>
  <c r="F16" i="46" s="1"/>
  <c r="H19" i="37"/>
  <c r="I31" i="86"/>
  <c r="H37" i="86"/>
  <c r="H22" i="50"/>
  <c r="H55" i="40"/>
  <c r="F35" i="84"/>
  <c r="F34" i="84"/>
  <c r="H27" i="48"/>
  <c r="H39" i="48"/>
  <c r="F44" i="40"/>
  <c r="F23" i="48"/>
  <c r="H22" i="49"/>
  <c r="F26" i="50"/>
  <c r="H29" i="50"/>
  <c r="H24" i="48"/>
  <c r="F29" i="37"/>
  <c r="D34" i="84"/>
  <c r="N34" i="84"/>
  <c r="N35" i="84"/>
  <c r="H40" i="86"/>
  <c r="K24" i="86"/>
  <c r="F54" i="40"/>
  <c r="J29" i="86"/>
  <c r="I52" i="86"/>
  <c r="F17" i="49"/>
  <c r="J7" i="82"/>
  <c r="J7" i="72"/>
  <c r="H7" i="79"/>
  <c r="I7" i="78"/>
  <c r="H7" i="64"/>
  <c r="H7" i="61"/>
  <c r="H7" i="67"/>
  <c r="H7" i="48"/>
  <c r="H7" i="40"/>
  <c r="H7" i="71"/>
  <c r="H7" i="66"/>
  <c r="H7" i="89"/>
  <c r="H7" i="69"/>
  <c r="H7" i="83"/>
  <c r="H7" i="62"/>
  <c r="H7" i="44"/>
  <c r="H7" i="43"/>
  <c r="H7" i="41"/>
  <c r="H7" i="90"/>
  <c r="H7" i="42"/>
  <c r="H7" i="46"/>
  <c r="H7" i="49"/>
  <c r="H7" i="50"/>
  <c r="H7" i="47"/>
  <c r="H7" i="91"/>
  <c r="H7" i="85"/>
  <c r="H7" i="87"/>
  <c r="H7" i="86"/>
  <c r="H7" i="63"/>
  <c r="H7" i="37"/>
  <c r="H7" i="57"/>
  <c r="H7" i="65"/>
  <c r="H7" i="92"/>
  <c r="H7" i="84"/>
  <c r="H7" i="70"/>
  <c r="H16" i="41"/>
  <c r="E17" i="41"/>
  <c r="F16" i="41"/>
  <c r="G16" i="41" s="1"/>
  <c r="I49" i="86"/>
  <c r="H49" i="86"/>
  <c r="H25" i="50"/>
  <c r="H14" i="48"/>
  <c r="H21" i="49"/>
  <c r="H16" i="50"/>
  <c r="H31" i="48"/>
  <c r="I14" i="69"/>
  <c r="I21" i="69" s="1"/>
  <c r="I17" i="69"/>
  <c r="I16" i="69"/>
  <c r="I19" i="69"/>
  <c r="H18" i="48"/>
  <c r="F18" i="49"/>
  <c r="F19" i="50"/>
  <c r="C33" i="57"/>
  <c r="C42" i="57"/>
  <c r="C35" i="84"/>
  <c r="F36" i="70" s="1"/>
  <c r="N43" i="84"/>
  <c r="H23" i="86"/>
  <c r="F37" i="40"/>
  <c r="L28" i="86"/>
  <c r="H25" i="86"/>
  <c r="K53" i="86"/>
  <c r="H38" i="48"/>
  <c r="L34" i="84"/>
  <c r="L35" i="84"/>
  <c r="P43" i="84"/>
  <c r="J6" i="65"/>
  <c r="J6" i="44"/>
  <c r="J6" i="50"/>
  <c r="J6" i="49"/>
  <c r="J6" i="46"/>
  <c r="J6" i="67"/>
  <c r="J6" i="42"/>
  <c r="L6" i="82"/>
  <c r="K6" i="78"/>
  <c r="J6" i="83"/>
  <c r="J6" i="69"/>
  <c r="J6" i="47"/>
  <c r="L6" i="72"/>
  <c r="J6" i="79"/>
  <c r="J6" i="63"/>
  <c r="J6" i="62"/>
  <c r="J6" i="90"/>
  <c r="J6" i="48"/>
  <c r="J6" i="64"/>
  <c r="J6" i="43"/>
  <c r="J6" i="71"/>
  <c r="J6" i="61"/>
  <c r="J6" i="85"/>
  <c r="J6" i="66"/>
  <c r="J6" i="84"/>
  <c r="J6" i="89"/>
  <c r="J6" i="40"/>
  <c r="J6" i="37"/>
  <c r="J6" i="86"/>
  <c r="J6" i="70"/>
  <c r="J6" i="41"/>
  <c r="J6" i="91"/>
  <c r="J6" i="57"/>
  <c r="J6" i="87"/>
  <c r="J6" i="92"/>
  <c r="F44" i="37"/>
  <c r="J34" i="86"/>
  <c r="I33" i="86"/>
  <c r="H33" i="86"/>
  <c r="H7" i="82"/>
  <c r="H7" i="72"/>
  <c r="F7" i="79"/>
  <c r="G7" i="78"/>
  <c r="F7" i="47"/>
  <c r="F7" i="64"/>
  <c r="F7" i="61"/>
  <c r="F7" i="89"/>
  <c r="F7" i="83"/>
  <c r="F7" i="71"/>
  <c r="F7" i="50"/>
  <c r="F7" i="37"/>
  <c r="F7" i="65"/>
  <c r="F7" i="46"/>
  <c r="F7" i="42"/>
  <c r="F7" i="66"/>
  <c r="F7" i="40"/>
  <c r="F7" i="44"/>
  <c r="F7" i="67"/>
  <c r="F7" i="84"/>
  <c r="F7" i="41"/>
  <c r="F7" i="90"/>
  <c r="F7" i="62"/>
  <c r="F7" i="63"/>
  <c r="F7" i="48"/>
  <c r="F7" i="57"/>
  <c r="F7" i="69"/>
  <c r="F7" i="70"/>
  <c r="F7" i="49"/>
  <c r="F7" i="91"/>
  <c r="F7" i="86"/>
  <c r="F7" i="85"/>
  <c r="F7" i="87"/>
  <c r="F7" i="43"/>
  <c r="F7" i="92"/>
  <c r="F22" i="50"/>
  <c r="F52" i="40"/>
  <c r="F39" i="40"/>
  <c r="F43" i="40"/>
  <c r="F49" i="40"/>
  <c r="F48" i="40"/>
  <c r="F33" i="40"/>
  <c r="F51" i="40"/>
  <c r="F46" i="40"/>
  <c r="F19" i="40"/>
  <c r="F45" i="40"/>
  <c r="E59" i="40"/>
  <c r="F42" i="40"/>
  <c r="F31" i="40"/>
  <c r="F17" i="70"/>
  <c r="H19" i="48"/>
  <c r="H26" i="50"/>
  <c r="F26" i="47"/>
  <c r="F16" i="37"/>
  <c r="F34" i="48"/>
  <c r="F30" i="48"/>
  <c r="F40" i="48"/>
  <c r="F36" i="48"/>
  <c r="F22" i="48"/>
  <c r="F31" i="48"/>
  <c r="F18" i="48"/>
  <c r="F33" i="48"/>
  <c r="F28" i="48"/>
  <c r="F16" i="48"/>
  <c r="F22" i="40"/>
  <c r="F35" i="40"/>
  <c r="F21" i="69"/>
  <c r="G14" i="69" s="1"/>
  <c r="F14" i="48"/>
  <c r="H17" i="50"/>
  <c r="F24" i="49"/>
  <c r="F26" i="49"/>
  <c r="I45" i="86"/>
  <c r="J45" i="86"/>
  <c r="H54" i="86"/>
  <c r="L37" i="86"/>
  <c r="H57" i="37"/>
  <c r="K55" i="86"/>
  <c r="I55" i="86"/>
  <c r="F27" i="40"/>
  <c r="F29" i="42"/>
  <c r="F20" i="42"/>
  <c r="F15" i="42"/>
  <c r="F30" i="42"/>
  <c r="F17" i="42"/>
  <c r="F26" i="42"/>
  <c r="F21" i="42"/>
  <c r="F14" i="42"/>
  <c r="F23" i="42"/>
  <c r="H63" i="37"/>
  <c r="P34" i="84"/>
  <c r="P35" i="84"/>
  <c r="E21" i="69"/>
  <c r="H30" i="48"/>
  <c r="F21" i="46"/>
  <c r="F22" i="46"/>
  <c r="F17" i="40"/>
  <c r="H41" i="48"/>
  <c r="F25" i="47"/>
  <c r="F22" i="47"/>
  <c r="F19" i="47"/>
  <c r="F16" i="47"/>
  <c r="F23" i="47"/>
  <c r="F15" i="47"/>
  <c r="F28" i="47" s="1"/>
  <c r="F24" i="47"/>
  <c r="F27" i="47"/>
  <c r="F20" i="47"/>
  <c r="F18" i="47"/>
  <c r="F17" i="47"/>
  <c r="F21" i="47"/>
  <c r="H26" i="42"/>
  <c r="H55" i="37"/>
  <c r="H28" i="86"/>
  <c r="J28" i="86"/>
  <c r="K52" i="86"/>
  <c r="F42" i="37"/>
  <c r="H41" i="86"/>
  <c r="F15" i="40"/>
  <c r="F55" i="40" s="1"/>
  <c r="F24" i="37"/>
  <c r="F45" i="37"/>
  <c r="F48" i="37"/>
  <c r="I25" i="86"/>
  <c r="H19" i="47"/>
  <c r="H22" i="47"/>
  <c r="H15" i="47"/>
  <c r="H26" i="47"/>
  <c r="H21" i="47"/>
  <c r="H14" i="47"/>
  <c r="H16" i="47"/>
  <c r="H25" i="47"/>
  <c r="H24" i="47"/>
  <c r="H23" i="47"/>
  <c r="F28" i="50"/>
  <c r="F16" i="50"/>
  <c r="F25" i="50"/>
  <c r="K36" i="86"/>
  <c r="H36" i="86"/>
  <c r="H32" i="48"/>
  <c r="H20" i="48"/>
  <c r="H26" i="48"/>
  <c r="H22" i="48"/>
  <c r="H21" i="48"/>
  <c r="F21" i="50"/>
  <c r="F27" i="50"/>
  <c r="H27" i="50"/>
  <c r="F47" i="40"/>
  <c r="H62" i="37"/>
  <c r="H59" i="37"/>
  <c r="H56" i="37"/>
  <c r="H53" i="37"/>
  <c r="H50" i="37"/>
  <c r="H47" i="37"/>
  <c r="H44" i="37"/>
  <c r="H41" i="37"/>
  <c r="H38" i="37"/>
  <c r="H35" i="37"/>
  <c r="H32" i="37"/>
  <c r="H29" i="37"/>
  <c r="H26" i="37"/>
  <c r="H23" i="37"/>
  <c r="H20" i="37"/>
  <c r="H17" i="37"/>
  <c r="H14" i="37"/>
  <c r="H60" i="37"/>
  <c r="H49" i="37"/>
  <c r="H61" i="37"/>
  <c r="H39" i="37"/>
  <c r="H54" i="37"/>
  <c r="H46" i="37"/>
  <c r="H16" i="37"/>
  <c r="H18" i="37"/>
  <c r="H34" i="37"/>
  <c r="H52" i="37"/>
  <c r="H37" i="37"/>
  <c r="H42" i="37"/>
  <c r="H28" i="48"/>
  <c r="H15" i="48"/>
  <c r="F38" i="40"/>
  <c r="H17" i="42"/>
  <c r="H40" i="37"/>
  <c r="H20" i="50"/>
  <c r="H51" i="86"/>
  <c r="J35" i="86"/>
  <c r="F24" i="48"/>
  <c r="K51" i="86"/>
  <c r="J51" i="86"/>
  <c r="F18" i="50"/>
  <c r="H33" i="37"/>
  <c r="H24" i="86"/>
  <c r="I28" i="86"/>
  <c r="H43" i="86"/>
  <c r="L43" i="86"/>
  <c r="F28" i="37"/>
  <c r="J35" i="84"/>
  <c r="J34" i="84"/>
  <c r="P51" i="84"/>
  <c r="F32" i="37"/>
  <c r="H25" i="37"/>
  <c r="F15" i="37"/>
  <c r="H17" i="47"/>
  <c r="K31" i="86"/>
  <c r="H15" i="50"/>
  <c r="H27" i="49"/>
  <c r="H24" i="49"/>
  <c r="H28" i="49"/>
  <c r="H25" i="49"/>
  <c r="H14" i="49"/>
  <c r="H20" i="49"/>
  <c r="H23" i="49"/>
  <c r="H26" i="49"/>
  <c r="H17" i="49"/>
  <c r="H16" i="49"/>
  <c r="H18" i="47"/>
  <c r="H14" i="50"/>
  <c r="I50" i="86"/>
  <c r="H50" i="86"/>
  <c r="F40" i="40"/>
  <c r="F16" i="44"/>
  <c r="J49" i="86"/>
  <c r="H23" i="48"/>
  <c r="C28" i="57"/>
  <c r="C19" i="57"/>
  <c r="C37" i="57"/>
  <c r="J31" i="86"/>
  <c r="H46" i="86"/>
  <c r="K49" i="86"/>
  <c r="L22" i="91" l="1"/>
  <c r="L45" i="91"/>
  <c r="L44" i="91"/>
  <c r="L35" i="91"/>
  <c r="L55" i="91"/>
  <c r="L40" i="91"/>
  <c r="L30" i="91"/>
  <c r="L27" i="91"/>
  <c r="L26" i="91"/>
  <c r="L17" i="91"/>
  <c r="F42" i="85" s="1"/>
  <c r="F23" i="46"/>
  <c r="F42" i="48"/>
  <c r="H31" i="42"/>
  <c r="F30" i="50"/>
  <c r="H28" i="47"/>
  <c r="H42" i="48"/>
  <c r="G15" i="69"/>
  <c r="G21" i="69" s="1"/>
  <c r="G18" i="69"/>
  <c r="G17" i="69"/>
  <c r="G16" i="69"/>
  <c r="G19" i="69"/>
  <c r="H65" i="37"/>
  <c r="F65" i="37"/>
  <c r="H17" i="41"/>
  <c r="E18" i="41"/>
  <c r="F17" i="41"/>
  <c r="H30" i="50"/>
  <c r="F31" i="42"/>
  <c r="H29" i="49"/>
  <c r="F18" i="41" l="1"/>
  <c r="G18" i="41" s="1"/>
  <c r="E19" i="41"/>
  <c r="H18" i="41"/>
  <c r="G17" i="41"/>
  <c r="H19" i="41" l="1"/>
  <c r="E20" i="41"/>
  <c r="F19" i="41"/>
  <c r="G19" i="41" s="1"/>
  <c r="H20" i="41" l="1"/>
  <c r="E21" i="41"/>
  <c r="F20" i="41"/>
  <c r="G20" i="41" s="1"/>
  <c r="F21" i="41" l="1"/>
  <c r="G21" i="41" s="1"/>
  <c r="E22" i="41"/>
  <c r="H21" i="41"/>
  <c r="H22" i="41" l="1"/>
  <c r="F22" i="41"/>
  <c r="G22" i="41" s="1"/>
  <c r="E23" i="41"/>
  <c r="H23" i="41" l="1"/>
  <c r="E24" i="41"/>
  <c r="F23" i="41"/>
  <c r="G23" i="41" s="1"/>
  <c r="F24" i="41" l="1"/>
  <c r="G24" i="41" s="1"/>
  <c r="E25" i="41"/>
  <c r="H24" i="41"/>
  <c r="H25" i="41" l="1"/>
  <c r="E26" i="41"/>
  <c r="F25" i="41"/>
  <c r="G25" i="41" s="1"/>
  <c r="H26" i="41" l="1"/>
  <c r="F26" i="41"/>
  <c r="G26" i="41" s="1"/>
  <c r="E27" i="41"/>
  <c r="F27" i="41" l="1"/>
  <c r="G27" i="41" s="1"/>
  <c r="H27" i="41"/>
  <c r="E28" i="41"/>
  <c r="H28" i="41" l="1"/>
  <c r="F28" i="41"/>
  <c r="G28" i="41" s="1"/>
  <c r="E29" i="41"/>
  <c r="H29" i="41" l="1"/>
  <c r="E30" i="41"/>
  <c r="F29" i="41"/>
  <c r="G29" i="41" s="1"/>
  <c r="F30" i="41" l="1"/>
  <c r="G30" i="41" s="1"/>
  <c r="H30" i="41"/>
  <c r="E31" i="41"/>
  <c r="H31" i="41" l="1"/>
  <c r="F31" i="41"/>
  <c r="G31" i="41" s="1"/>
  <c r="E32" i="41"/>
  <c r="H32" i="41" l="1"/>
  <c r="E33" i="41"/>
  <c r="F32" i="41"/>
  <c r="G32" i="41" s="1"/>
  <c r="F33" i="41" l="1"/>
  <c r="G33" i="41" s="1"/>
  <c r="E34" i="41"/>
  <c r="H33" i="41"/>
  <c r="H34" i="41" l="1"/>
  <c r="E35" i="41"/>
  <c r="F34" i="41"/>
  <c r="G34" i="41" s="1"/>
  <c r="H35" i="41" l="1"/>
  <c r="F35" i="41"/>
  <c r="G35" i="41" s="1"/>
  <c r="E36" i="41"/>
  <c r="F36" i="41" l="1"/>
  <c r="G36" i="41" s="1"/>
  <c r="E37" i="41"/>
  <c r="H36" i="41"/>
  <c r="H37" i="41" l="1"/>
  <c r="E38" i="41"/>
  <c r="F37" i="41"/>
  <c r="G37" i="41" s="1"/>
  <c r="H38" i="41" l="1"/>
  <c r="H39" i="41" s="1"/>
  <c r="F38" i="41"/>
  <c r="G38" i="41" l="1"/>
  <c r="G39" i="41" s="1"/>
  <c r="F39" i="41"/>
</calcChain>
</file>

<file path=xl/sharedStrings.xml><?xml version="1.0" encoding="utf-8"?>
<sst xmlns="http://schemas.openxmlformats.org/spreadsheetml/2006/main" count="2888" uniqueCount="1681">
  <si>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</si>
  <si>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</si>
  <si>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</si>
  <si>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</si>
  <si>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</si>
  <si>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</si>
  <si>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</si>
  <si>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</si>
  <si>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</si>
  <si>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</si>
  <si>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</si>
  <si>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</si>
  <si>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</si>
  <si>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</si>
  <si>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</si>
  <si>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</si>
  <si>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</si>
  <si>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</si>
  <si>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</si>
  <si>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</si>
  <si>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</si>
  <si>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</si>
  <si>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</si>
  <si>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</si>
  <si>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</si>
  <si>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</si>
  <si>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</si>
  <si>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</si>
  <si>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</si>
  <si>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</si>
  <si>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</si>
  <si>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</si>
  <si>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</si>
  <si>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</si>
  <si>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</si>
  <si>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</si>
  <si>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</si>
  <si>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</si>
  <si>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</si>
  <si>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</si>
  <si>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</si>
  <si>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</si>
  <si>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</si>
  <si>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</si>
  <si>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</si>
  <si>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</si>
  <si>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</si>
  <si>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</si>
  <si>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</si>
  <si>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</si>
  <si>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</si>
  <si>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</si>
  <si>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</si>
  <si>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</si>
  <si>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</si>
  <si>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</si>
  <si>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</si>
  <si>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</si>
  <si>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</si>
  <si>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</si>
  <si>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</si>
  <si>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</si>
  <si>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</si>
  <si>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</si>
  <si>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</si>
  <si>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</si>
  <si>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</si>
  <si>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</si>
  <si>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</si>
  <si>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</si>
  <si>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</si>
  <si>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</si>
  <si>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</si>
  <si>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</si>
  <si>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</si>
  <si>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</si>
  <si>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</si>
  <si>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</si>
  <si>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</si>
  <si>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</si>
  <si>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</si>
  <si>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</si>
  <si>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</si>
  <si>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</si>
  <si>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</si>
  <si>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</si>
  <si>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</si>
  <si>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</si>
  <si>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</si>
  <si>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</si>
  <si>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</si>
  <si>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</si>
  <si>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</si>
  <si>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</si>
  <si>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</si>
  <si>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</si>
  <si>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</si>
  <si>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</si>
  <si>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</si>
  <si>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</si>
  <si>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</si>
  <si>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</si>
  <si>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</si>
  <si>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</si>
  <si>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</si>
  <si>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</si>
  <si>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</si>
  <si>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</si>
  <si>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</si>
  <si>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</si>
  <si>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</si>
  <si>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</si>
  <si>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</si>
  <si>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</si>
  <si>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</si>
  <si>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</si>
  <si>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</si>
  <si>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</si>
  <si>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</si>
  <si>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</si>
  <si>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</si>
  <si>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</si>
  <si>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</si>
  <si>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</si>
  <si>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</si>
  <si>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</si>
  <si>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</si>
  <si>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</si>
  <si>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</si>
  <si>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</si>
  <si>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</si>
  <si>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</si>
  <si>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</si>
  <si>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</si>
  <si>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</si>
  <si>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</si>
  <si>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</si>
  <si>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</si>
  <si>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</si>
  <si>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</si>
  <si>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</si>
  <si>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</si>
  <si>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</si>
  <si>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</si>
  <si>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</si>
  <si>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</si>
  <si>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</si>
  <si>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</si>
  <si>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</si>
  <si>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</si>
  <si>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</si>
  <si>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</si>
  <si>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</si>
  <si>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</si>
  <si>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</si>
  <si>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</si>
  <si>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</si>
  <si>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</si>
  <si>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</si>
  <si>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</si>
  <si>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</si>
  <si>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</si>
  <si>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</si>
  <si>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</si>
  <si>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</si>
  <si>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</si>
  <si>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</si>
  <si>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</si>
  <si>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</si>
  <si>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</si>
  <si>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</si>
  <si>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</si>
  <si>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</si>
  <si>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</si>
  <si>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</si>
  <si>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</si>
  <si>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</si>
  <si>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</si>
  <si>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</si>
  <si>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</si>
  <si>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</si>
  <si>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</si>
  <si>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</si>
  <si>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</si>
  <si>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</si>
  <si>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</si>
  <si>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</si>
  <si>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</si>
  <si>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</si>
  <si>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</si>
  <si>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</si>
  <si>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</si>
  <si>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</si>
  <si>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</si>
  <si>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</si>
  <si>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</si>
  <si>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</si>
  <si>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</si>
  <si>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</si>
  <si>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</si>
  <si>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</si>
  <si>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</si>
  <si>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</si>
  <si>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</si>
  <si>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</si>
  <si>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</si>
  <si>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</si>
  <si>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</si>
  <si>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</si>
  <si>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</si>
  <si>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</si>
  <si>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</si>
  <si>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</si>
  <si>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</si>
  <si>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</si>
  <si>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</si>
  <si>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</si>
  <si>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</si>
  <si>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</si>
  <si>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</si>
  <si>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</si>
  <si>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</si>
  <si>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</si>
  <si>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</si>
  <si>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</si>
  <si>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</si>
  <si>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</si>
  <si>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</si>
  <si>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</si>
  <si>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</si>
  <si>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</si>
  <si>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</si>
  <si>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</si>
  <si>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</si>
  <si>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</si>
  <si>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</si>
  <si>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</si>
  <si>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</si>
  <si>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</si>
  <si>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</si>
  <si>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</si>
  <si>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</si>
  <si>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</si>
  <si>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</si>
  <si>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</si>
  <si>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</si>
  <si>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</si>
  <si>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</si>
  <si>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</si>
  <si>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</si>
  <si>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</si>
  <si>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</si>
  <si>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</si>
  <si>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</si>
  <si>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</si>
  <si>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</si>
  <si>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</si>
  <si>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</si>
  <si>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</si>
  <si>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</si>
  <si>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</si>
  <si>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</si>
  <si>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</si>
  <si>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</si>
  <si>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</si>
  <si>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</si>
  <si>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</si>
  <si>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</si>
  <si>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</si>
  <si>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</si>
  <si>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</si>
  <si>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</si>
  <si>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</si>
  <si>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</si>
  <si>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</si>
  <si>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</si>
  <si>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</si>
  <si>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</si>
  <si>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</si>
  <si>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</si>
  <si>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</si>
  <si>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</si>
  <si>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</si>
  <si>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</si>
  <si>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</si>
  <si>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</si>
  <si>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</si>
  <si>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</si>
  <si>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</si>
  <si>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</si>
  <si>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</si>
  <si>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</si>
  <si>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</si>
  <si>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</si>
  <si>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</si>
  <si>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</si>
  <si>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</si>
  <si>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</si>
  <si>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</si>
  <si>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</si>
  <si>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</si>
  <si>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</si>
  <si>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</si>
  <si>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</si>
  <si>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</si>
  <si>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</si>
  <si>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</si>
  <si>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</si>
  <si>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</si>
  <si>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</si>
  <si>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</si>
  <si>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</si>
  <si>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</si>
  <si>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</si>
  <si>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</si>
  <si>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</si>
  <si>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</si>
  <si>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</si>
  <si>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</si>
  <si>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</si>
  <si>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</si>
  <si>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</si>
  <si>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</si>
  <si>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</si>
  <si>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</si>
  <si>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</si>
  <si>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</si>
  <si>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</si>
  <si>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</si>
  <si>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</si>
  <si>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</si>
  <si>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</si>
  <si>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</si>
  <si>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</si>
  <si>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</si>
  <si>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</si>
  <si>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</si>
  <si>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</si>
  <si>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</si>
  <si>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</si>
  <si>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</si>
  <si>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</si>
  <si>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</si>
  <si>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</si>
  <si>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</si>
  <si>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</si>
  <si>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</si>
  <si>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</si>
  <si>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</si>
  <si>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</si>
  <si>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</si>
  <si>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</si>
  <si>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</si>
  <si>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</si>
  <si>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</si>
  <si>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</si>
  <si>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</si>
  <si>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</si>
  <si>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</si>
  <si>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</si>
  <si>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</si>
  <si>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</si>
  <si>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</si>
  <si>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</si>
  <si>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</si>
  <si>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</si>
  <si>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</si>
  <si>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</si>
  <si>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</si>
  <si>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</si>
  <si>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</si>
  <si>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</si>
  <si>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</si>
  <si>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</si>
  <si>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</si>
  <si>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</si>
  <si>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</si>
  <si>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</si>
  <si>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</si>
  <si>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</si>
  <si>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</si>
  <si>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</si>
  <si>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</si>
  <si>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</si>
  <si>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</si>
  <si>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</si>
  <si>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</si>
  <si>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</si>
  <si>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</si>
  <si>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</si>
  <si>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</si>
  <si>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</si>
  <si>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</si>
  <si>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</si>
  <si>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</si>
  <si>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</si>
  <si>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</si>
  <si>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</si>
  <si>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</si>
  <si>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</si>
  <si>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</si>
  <si>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</si>
  <si>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</si>
  <si>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</si>
  <si>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</si>
  <si>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</si>
  <si>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</si>
  <si>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</si>
  <si>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</si>
  <si>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</si>
  <si>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</si>
  <si>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</si>
  <si>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</si>
  <si>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</si>
  <si>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</si>
  <si>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</si>
  <si>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</si>
  <si>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</si>
  <si>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</si>
  <si>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</si>
  <si>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</si>
  <si>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</si>
  <si>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</si>
  <si>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</si>
  <si>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</si>
  <si>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</si>
  <si>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</si>
  <si>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</si>
  <si>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</si>
  <si>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</si>
  <si>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</si>
  <si>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</si>
  <si>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</si>
  <si>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</si>
  <si>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</si>
  <si>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</si>
  <si>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</si>
  <si>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</si>
  <si>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</si>
  <si>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</si>
  <si>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</si>
  <si>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</si>
  <si>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</si>
  <si>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</si>
  <si>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</si>
  <si>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</si>
  <si>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</si>
  <si>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</si>
  <si>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</si>
  <si>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</si>
  <si>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</si>
  <si>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</si>
  <si>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</si>
  <si>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</si>
  <si>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</si>
  <si>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</si>
  <si>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</si>
  <si>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</si>
  <si>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</si>
  <si>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</si>
  <si>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</si>
  <si>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</si>
  <si>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</si>
  <si>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</si>
  <si>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</si>
  <si>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</si>
  <si>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</si>
  <si>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</si>
  <si>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</si>
  <si>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</si>
  <si>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</si>
  <si>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</si>
  <si>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</si>
  <si>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</si>
  <si>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</si>
  <si>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</si>
  <si>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</si>
  <si>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</si>
  <si>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</si>
  <si>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</si>
  <si>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</si>
  <si>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</si>
  <si>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</si>
  <si>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</si>
  <si>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</si>
  <si>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</si>
  <si>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</si>
  <si>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</si>
  <si>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</si>
  <si>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</si>
  <si>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</si>
  <si>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</si>
  <si>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</si>
  <si>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</si>
  <si>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</si>
  <si>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</si>
  <si>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</si>
  <si>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</si>
  <si>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</si>
  <si>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</si>
  <si>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</si>
  <si>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</si>
  <si>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</si>
  <si>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</si>
  <si>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</si>
  <si>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</si>
  <si>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</si>
  <si>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</si>
  <si>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</si>
  <si>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</si>
  <si>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</si>
  <si>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</si>
  <si>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</si>
  <si>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</si>
  <si>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</si>
  <si>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</si>
  <si>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</si>
  <si>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</si>
  <si>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</si>
  <si>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</si>
  <si>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</si>
  <si>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</si>
  <si>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</si>
  <si>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</si>
  <si>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</si>
  <si>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</si>
  <si>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</si>
  <si>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</si>
  <si>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</si>
  <si>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</si>
  <si>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</si>
  <si>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</si>
  <si>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</si>
  <si>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</si>
  <si>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</si>
  <si>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</si>
  <si>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</si>
  <si>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</si>
  <si>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</si>
  <si>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</si>
  <si>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</si>
  <si>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</si>
  <si>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</si>
  <si>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</si>
  <si>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</si>
  <si>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</si>
  <si>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</si>
  <si>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</si>
  <si>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</si>
  <si>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</si>
  <si>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</si>
  <si>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</si>
  <si>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</si>
  <si>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</si>
  <si>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</si>
  <si>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</si>
  <si>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</si>
  <si>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</si>
  <si>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</si>
  <si>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</si>
  <si>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</si>
  <si>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</si>
  <si>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</si>
  <si>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</si>
  <si>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</si>
  <si>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</si>
  <si>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</si>
  <si>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</si>
  <si>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</si>
  <si>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</si>
  <si>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</si>
  <si>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</si>
  <si>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</si>
  <si>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</si>
  <si>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</si>
  <si>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</si>
  <si>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</si>
  <si>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</si>
  <si>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</si>
  <si>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</si>
  <si>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</si>
  <si>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</si>
  <si>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</si>
  <si>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</si>
  <si>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</si>
  <si>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</si>
  <si>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</si>
  <si>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</si>
  <si>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</si>
  <si>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</si>
  <si>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</si>
  <si>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</si>
  <si>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</si>
  <si>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</si>
  <si>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</si>
  <si>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</si>
  <si>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</si>
  <si>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</si>
  <si>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</si>
  <si>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</si>
  <si>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</si>
  <si>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</si>
  <si>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</si>
  <si>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</si>
  <si>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</si>
  <si>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</si>
  <si>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F2</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</si>
  <si>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</si>
  <si>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</si>
  <si>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</si>
  <si>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</si>
  <si>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</si>
  <si>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</si>
  <si>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</si>
  <si>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</si>
  <si>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</si>
  <si>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</si>
  <si>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</si>
  <si>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</si>
  <si>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</si>
  <si>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</si>
  <si>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</si>
  <si>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</si>
  <si>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</si>
  <si>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</si>
  <si>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</si>
  <si>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</si>
  <si>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</si>
  <si>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xml:space="preserve">- from the Payment Date in Nov 2023 until (and including) the Payment Date in Oct 2024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</si>
  <si>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</si>
  <si>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</si>
  <si>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</si>
  <si>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Amortising</t>
  </si>
  <si>
    <t>IDCONTR_PACK</t>
  </si>
  <si>
    <t>RANGE</t>
  </si>
  <si>
    <t>_FREQ_</t>
  </si>
  <si>
    <t>RANGEVAL</t>
  </si>
  <si>
    <t>PACKAGE</t>
  </si>
  <si>
    <t>VARIABLE</t>
  </si>
  <si>
    <t>NUM</t>
  </si>
  <si>
    <t>DATE</t>
  </si>
  <si>
    <t>STRG</t>
  </si>
  <si>
    <t>F4</t>
  </si>
  <si>
    <t>F5</t>
  </si>
  <si>
    <t>F6</t>
  </si>
  <si>
    <t>F7</t>
  </si>
  <si>
    <t>F8</t>
  </si>
  <si>
    <t>F9</t>
  </si>
  <si>
    <t>F10</t>
  </si>
  <si>
    <t>POOL</t>
  </si>
  <si>
    <t>COUNTERPARTY</t>
  </si>
  <si>
    <t>RTG_MDY_ST_CRA</t>
  </si>
  <si>
    <t>RTG_FITCH_SEN_UNSECURED</t>
  </si>
  <si>
    <t>RTG_FITCH_SHORT_TERM</t>
  </si>
  <si>
    <t>RTG_DATE</t>
  </si>
  <si>
    <t>ABS_RAT</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</si>
  <si>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</si>
  <si>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</si>
  <si>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</si>
  <si>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</si>
  <si>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</si>
  <si>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</si>
  <si>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</si>
  <si>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</si>
  <si>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</si>
  <si>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</si>
  <si>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</si>
  <si>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</si>
  <si>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</si>
  <si>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</si>
  <si>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</si>
  <si>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</si>
  <si>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</si>
  <si>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</si>
  <si>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</si>
  <si>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</si>
  <si>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</si>
  <si>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</si>
  <si>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</si>
  <si>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</si>
  <si>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</si>
  <si>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</si>
  <si>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</si>
  <si>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</si>
  <si>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</si>
  <si>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</si>
  <si>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</si>
  <si>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</si>
  <si>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</si>
  <si>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</si>
  <si>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</si>
  <si>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</si>
  <si>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</si>
  <si>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</si>
  <si>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</si>
  <si>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</si>
  <si>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</si>
  <si>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</si>
  <si>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</si>
  <si>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</si>
  <si>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</si>
  <si>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</si>
  <si>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</si>
  <si>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</si>
  <si>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</si>
  <si>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</si>
  <si>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</si>
  <si>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</si>
  <si>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</si>
  <si>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</si>
  <si>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</si>
  <si>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</si>
  <si>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</si>
  <si>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</si>
  <si>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</si>
  <si>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</si>
  <si>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</si>
  <si>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</si>
  <si>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</si>
  <si>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</si>
  <si>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</si>
  <si>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</si>
  <si>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</si>
  <si>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</si>
  <si>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</si>
  <si>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</si>
  <si>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</si>
  <si>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</si>
  <si>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</si>
  <si>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</si>
  <si>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</si>
  <si>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</si>
  <si>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</si>
  <si>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</si>
  <si>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</si>
  <si>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</si>
  <si>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</si>
  <si>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</si>
  <si>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</si>
  <si>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</si>
  <si>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</si>
  <si>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</si>
  <si>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</si>
  <si>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</si>
  <si>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</si>
  <si>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</si>
  <si>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</si>
  <si>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</si>
  <si>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</si>
  <si>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</si>
  <si>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</si>
  <si>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</si>
  <si>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</si>
  <si>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</si>
  <si>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</si>
  <si>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</si>
  <si>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</si>
  <si>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</si>
  <si>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</si>
  <si>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</si>
  <si>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</si>
  <si>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portfolio_34</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</si>
  <si>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</si>
  <si>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</si>
  <si>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</si>
  <si>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</si>
  <si>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</si>
  <si>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</si>
  <si>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</si>
  <si>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</si>
  <si>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</si>
  <si>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</si>
  <si>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</si>
  <si>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</si>
  <si>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</si>
  <si>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</si>
  <si>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</si>
  <si>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</si>
  <si>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</si>
  <si>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</si>
  <si>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</si>
  <si>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</si>
  <si>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</si>
  <si>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</si>
  <si>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</si>
  <si>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</si>
  <si>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</si>
  <si>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</si>
  <si>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</si>
  <si>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</si>
  <si>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</si>
  <si>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</si>
  <si>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</si>
  <si>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</si>
  <si>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</si>
  <si>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</si>
  <si>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</si>
  <si>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</si>
  <si>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</si>
  <si>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</si>
  <si>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</si>
  <si>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</si>
  <si>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</si>
  <si>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</si>
  <si>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</si>
  <si>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</si>
  <si>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</si>
  <si>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</si>
  <si>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</si>
  <si>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</si>
  <si>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</si>
  <si>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</si>
  <si>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</si>
  <si>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</si>
  <si>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</si>
  <si>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</si>
  <si>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</si>
  <si>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</si>
  <si>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</si>
  <si>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</si>
  <si>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</si>
  <si>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</si>
  <si>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</si>
  <si>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</si>
  <si>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</si>
  <si>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</si>
  <si>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</si>
  <si>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</si>
  <si>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</si>
  <si>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</si>
  <si>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</si>
  <si>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</si>
  <si>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</si>
  <si>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</si>
  <si>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</si>
  <si>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</si>
  <si>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</si>
  <si>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</si>
  <si>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</si>
  <si>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</si>
  <si>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</si>
  <si>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</si>
  <si>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</si>
  <si>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</si>
  <si>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</si>
  <si>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</si>
  <si>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</si>
  <si>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</si>
  <si>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</si>
  <si>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</si>
  <si>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</si>
  <si>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</si>
  <si>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</si>
  <si>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</si>
  <si>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</si>
  <si>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</si>
  <si>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</si>
  <si>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</si>
  <si>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</si>
  <si>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</si>
  <si>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</si>
  <si>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</si>
  <si>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</si>
  <si>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</si>
  <si>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</si>
  <si>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</si>
  <si>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</si>
  <si>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</si>
  <si>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</si>
  <si>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</si>
  <si>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</si>
  <si>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</si>
  <si>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</si>
  <si>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</si>
  <si>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</si>
  <si>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</si>
  <si>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</si>
  <si>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</si>
  <si>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</si>
  <si>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</si>
  <si>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</si>
  <si>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</si>
  <si>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</si>
  <si>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</si>
  <si>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</si>
  <si>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</si>
  <si>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</si>
  <si>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</si>
  <si>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</si>
  <si>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</si>
  <si>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</si>
  <si>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</si>
  <si>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</si>
  <si>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</si>
  <si>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</si>
  <si>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</si>
  <si>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</si>
  <si>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</si>
  <si>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</si>
  <si>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</si>
  <si>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</si>
  <si>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</si>
  <si>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</si>
  <si>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</si>
  <si>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</si>
  <si>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</si>
  <si>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</si>
  <si>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</si>
  <si>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</si>
  <si>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</si>
  <si>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</si>
  <si>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</si>
  <si>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</si>
  <si>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</si>
  <si>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</si>
  <si>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</si>
  <si>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</si>
  <si>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</si>
  <si>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</si>
  <si>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</si>
  <si>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</si>
  <si>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</si>
  <si>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</si>
  <si>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</si>
  <si>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</si>
  <si>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</si>
  <si>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</si>
  <si>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</si>
  <si>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</si>
  <si>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</si>
  <si>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</si>
  <si>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</si>
  <si>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</si>
  <si>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</si>
  <si>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</si>
  <si>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</si>
  <si>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</si>
  <si>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</si>
  <si>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</si>
  <si>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</si>
  <si>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</si>
  <si>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</si>
  <si>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</si>
  <si>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</si>
  <si>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</si>
  <si>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</si>
  <si>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</si>
  <si>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</si>
  <si>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</si>
  <si>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</si>
  <si>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</si>
  <si>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</si>
  <si>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</si>
  <si>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</si>
  <si>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</si>
  <si>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</si>
  <si>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</si>
  <si>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</si>
  <si>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</si>
  <si>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</si>
  <si>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</si>
  <si>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</si>
  <si>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</si>
  <si>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</si>
  <si>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</si>
  <si>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</si>
  <si>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</si>
  <si>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</si>
  <si>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</si>
  <si>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</si>
  <si>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</si>
  <si>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</si>
  <si>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</si>
  <si>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</si>
  <si>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</si>
  <si>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</si>
  <si>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</si>
  <si>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</si>
  <si>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</si>
  <si>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</si>
  <si>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</si>
  <si>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</si>
  <si>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</si>
  <si>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</si>
  <si>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</si>
  <si>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</si>
  <si>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</si>
  <si>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</si>
  <si>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</si>
  <si>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</si>
  <si>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</si>
  <si>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</si>
  <si>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72:74</t>
  </si>
  <si>
    <t>75:77</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</si>
  <si>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</si>
  <si>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</si>
  <si>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</si>
  <si>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</si>
  <si>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</si>
  <si>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</si>
  <si>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</si>
  <si>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</si>
  <si>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</si>
  <si>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</si>
  <si>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</si>
  <si>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</si>
  <si>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</si>
  <si>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</si>
  <si>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</si>
  <si>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</si>
  <si>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</si>
  <si>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</si>
  <si>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</si>
  <si>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</si>
  <si>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</si>
  <si>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r>
      <t>Contact Details</t>
    </r>
    <r>
      <rPr>
        <sz val="14"/>
        <color rgb="FF000000"/>
        <rFont val="Arial"/>
        <family val="2"/>
      </rPr>
      <t xml:space="preserve"> </t>
    </r>
  </si>
  <si>
    <t>Team ABS</t>
  </si>
  <si>
    <r>
      <t>abs_ger@santander.de</t>
    </r>
    <r>
      <rPr>
        <sz val="10"/>
        <color rgb="FF000000"/>
        <rFont val="Arial"/>
        <family val="2"/>
      </rPr>
      <t xml:space="preserve"> </t>
    </r>
  </si>
  <si>
    <t>69:71</t>
  </si>
  <si>
    <t>13:</t>
  </si>
  <si>
    <t>81:</t>
  </si>
  <si>
    <t>- current Value</t>
  </si>
  <si>
    <t>yes</t>
  </si>
  <si>
    <t>Excess Spread equals WA Portfolio Yield minus Fixed Swap Rate minus WA Notes Margin.</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</si>
  <si>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</si>
  <si>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</si>
  <si>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</si>
  <si>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</si>
  <si>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0000038</t>
  </si>
  <si>
    <t xml:space="preserve">     38</t>
  </si>
  <si>
    <t>Initial</t>
  </si>
  <si>
    <t>OUTSTANDING</t>
  </si>
  <si>
    <t>SCHEDULED</t>
  </si>
  <si>
    <t>PREPAYMENTS</t>
  </si>
  <si>
    <t>COLLECTIONS</t>
  </si>
  <si>
    <t>RATE</t>
  </si>
  <si>
    <t>RTG_DBRS_SENIOR_UNSECURED</t>
  </si>
  <si>
    <t>RTG_DBRS_LT_BANK_DEPOSITS</t>
  </si>
  <si>
    <t>RTG_DBRS_ST</t>
  </si>
  <si>
    <t>RTG_DBRS_OUTLOOK</t>
  </si>
  <si>
    <t>Saxony</t>
  </si>
  <si>
    <t>portfolio_26</t>
  </si>
  <si>
    <t>portfolio_27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</si>
  <si>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</si>
  <si>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</si>
  <si>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</si>
  <si>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</si>
  <si>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</si>
  <si>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</si>
  <si>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</si>
  <si>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</si>
  <si>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</si>
  <si>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</si>
  <si>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</si>
  <si>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</si>
  <si>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</si>
  <si>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</si>
  <si>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</si>
  <si>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</si>
  <si>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</si>
  <si>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</si>
  <si>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</si>
  <si>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</si>
  <si>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</si>
  <si>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</si>
  <si>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</si>
  <si>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</si>
  <si>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</si>
  <si>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</si>
  <si>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</si>
  <si>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</si>
  <si>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</si>
  <si>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</si>
  <si>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</si>
  <si>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</si>
  <si>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</si>
  <si>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</si>
  <si>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</si>
  <si>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</si>
  <si>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</si>
  <si>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</si>
  <si>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</si>
  <si>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</si>
  <si>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</si>
  <si>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</si>
  <si>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</si>
  <si>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</si>
  <si>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</si>
  <si>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</si>
  <si>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</si>
  <si>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</si>
  <si>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</si>
  <si>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</si>
  <si>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</si>
  <si>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</si>
  <si>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</si>
  <si>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</si>
  <si>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</si>
  <si>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</si>
  <si>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</si>
  <si>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</si>
  <si>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</si>
  <si>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</si>
  <si>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</si>
  <si>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</si>
  <si>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</si>
  <si>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</si>
  <si>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</si>
  <si>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</si>
  <si>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</si>
  <si>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</si>
  <si>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</si>
  <si>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</si>
  <si>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</si>
  <si>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</si>
  <si>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</si>
  <si>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</si>
  <si>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</si>
  <si>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</si>
  <si>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</si>
  <si>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</si>
  <si>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</si>
  <si>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</si>
  <si>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</si>
  <si>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</si>
  <si>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</si>
  <si>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</si>
  <si>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</si>
  <si>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</si>
  <si>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</si>
  <si>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</si>
  <si>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</si>
  <si>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</si>
  <si>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</si>
  <si>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</si>
  <si>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</si>
  <si>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</si>
  <si>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</si>
  <si>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</si>
  <si>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</si>
  <si>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</si>
  <si>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</si>
  <si>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</si>
  <si>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</si>
  <si>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</si>
  <si>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</si>
  <si>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</si>
  <si>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</si>
  <si>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</si>
  <si>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</si>
  <si>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</si>
  <si>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</si>
  <si>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</si>
  <si>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</si>
  <si>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</si>
  <si>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</si>
  <si>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</si>
  <si>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</si>
  <si>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</si>
  <si>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</si>
  <si>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</si>
  <si>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</si>
  <si>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</si>
  <si>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</si>
  <si>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</si>
  <si>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</si>
  <si>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</si>
  <si>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</si>
  <si>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</si>
  <si>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</si>
  <si>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</si>
  <si>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</si>
  <si>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</si>
  <si>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</si>
  <si>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</si>
  <si>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</si>
  <si>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</si>
  <si>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</si>
  <si>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</si>
  <si>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</si>
  <si>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</si>
  <si>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</si>
  <si>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</si>
  <si>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</si>
  <si>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</si>
  <si>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</si>
  <si>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</si>
  <si>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</si>
  <si>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</si>
  <si>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</si>
  <si>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</si>
  <si>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</si>
  <si>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</si>
  <si>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</si>
  <si>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</si>
  <si>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</si>
  <si>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</si>
  <si>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</si>
  <si>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</si>
  <si>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</si>
  <si>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</si>
  <si>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</si>
  <si>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</si>
  <si>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</si>
  <si>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</si>
  <si>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</si>
  <si>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</si>
  <si>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</si>
  <si>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</si>
  <si>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</si>
  <si>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</si>
  <si>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</si>
  <si>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</si>
  <si>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</si>
  <si>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</si>
  <si>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</si>
  <si>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</si>
  <si>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</si>
  <si>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</si>
  <si>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</si>
  <si>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</si>
  <si>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</si>
  <si>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</si>
  <si>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</si>
  <si>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</si>
  <si>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</si>
  <si>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</si>
  <si>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</si>
  <si>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</si>
  <si>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</si>
  <si>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</si>
  <si>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</si>
  <si>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</si>
  <si>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</si>
  <si>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</si>
  <si>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</si>
  <si>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</si>
  <si>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</si>
  <si>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</si>
  <si>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</si>
  <si>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</si>
  <si>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</si>
  <si>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</si>
  <si>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</si>
  <si>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</si>
  <si>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</si>
  <si>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</si>
  <si>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</si>
  <si>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</si>
  <si>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period_116</t>
  </si>
  <si>
    <t>period_117</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</si>
  <si>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</si>
  <si>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</si>
  <si>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</si>
  <si>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</si>
  <si>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</si>
  <si>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</si>
  <si>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</si>
  <si>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</si>
  <si>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</si>
  <si>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</si>
  <si>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</si>
  <si>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</si>
  <si>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</si>
  <si>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</si>
  <si>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</si>
  <si>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</si>
  <si>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</si>
  <si>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</si>
  <si>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</si>
  <si>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</si>
  <si>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</si>
  <si>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</si>
  <si>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</si>
  <si>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</si>
  <si>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</si>
  <si>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</si>
  <si>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</si>
  <si>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</si>
  <si>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</si>
  <si>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</si>
  <si>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</si>
  <si>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</si>
  <si>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</si>
  <si>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</si>
  <si>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</si>
  <si>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</si>
  <si>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</si>
  <si>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</si>
  <si>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</si>
  <si>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</si>
  <si>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</si>
  <si>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</si>
  <si>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</si>
  <si>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</si>
  <si>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</si>
  <si>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</si>
  <si>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</si>
  <si>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</si>
  <si>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</si>
  <si>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</si>
  <si>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</si>
  <si>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</si>
  <si>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</si>
  <si>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</si>
  <si>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</si>
  <si>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</si>
  <si>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</si>
  <si>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</si>
  <si>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</si>
  <si>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</si>
  <si>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</si>
  <si>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</si>
  <si>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</si>
  <si>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</si>
  <si>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</si>
  <si>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</si>
  <si>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</si>
  <si>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</si>
  <si>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</si>
  <si>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</si>
  <si>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</si>
  <si>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</si>
  <si>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</si>
  <si>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</si>
  <si>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</si>
  <si>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</si>
  <si>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</si>
  <si>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</si>
  <si>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</si>
  <si>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</si>
  <si>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</si>
  <si>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</si>
  <si>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</si>
  <si>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</si>
  <si>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</si>
  <si>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</si>
  <si>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</si>
  <si>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</si>
  <si>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</si>
  <si>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</si>
  <si>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</si>
  <si>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</si>
  <si>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</si>
  <si>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</si>
  <si>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</si>
  <si>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</si>
  <si>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</si>
  <si>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</si>
  <si>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</si>
  <si>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</si>
  <si>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</si>
  <si>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</si>
  <si>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</si>
  <si>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</si>
  <si>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</si>
  <si>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</si>
  <si>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</si>
  <si>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</si>
  <si>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</si>
  <si>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</si>
  <si>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</si>
  <si>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</si>
  <si>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</si>
  <si>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</si>
  <si>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</si>
  <si>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</si>
  <si>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</si>
  <si>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</si>
  <si>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</si>
  <si>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</si>
  <si>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</si>
  <si>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</si>
  <si>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</si>
  <si>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</si>
  <si>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</si>
  <si>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</si>
  <si>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</si>
  <si>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</si>
  <si>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</si>
  <si>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</si>
  <si>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</si>
  <si>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</si>
  <si>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</si>
  <si>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</si>
  <si>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</si>
  <si>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</si>
  <si>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</si>
  <si>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</si>
  <si>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</si>
  <si>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</si>
  <si>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</si>
  <si>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</si>
  <si>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</si>
  <si>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</si>
  <si>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</si>
  <si>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</si>
  <si>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</si>
  <si>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</si>
  <si>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</si>
  <si>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</si>
  <si>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</si>
  <si>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</si>
  <si>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</si>
  <si>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</si>
  <si>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</si>
  <si>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</si>
  <si>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</si>
  <si>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</si>
  <si>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</si>
  <si>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</si>
  <si>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</si>
  <si>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</si>
  <si>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</si>
  <si>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</si>
  <si>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</si>
  <si>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</si>
  <si>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</si>
  <si>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</si>
  <si>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</si>
  <si>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</si>
  <si>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</si>
  <si>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</si>
  <si>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</si>
  <si>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</si>
  <si>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</si>
  <si>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</si>
  <si>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</si>
  <si>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</si>
  <si>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</si>
  <si>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</si>
  <si>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</si>
  <si>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</si>
  <si>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</si>
  <si>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</si>
  <si>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</si>
  <si>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</si>
  <si>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</si>
  <si>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</si>
  <si>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</si>
  <si>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</si>
  <si>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</si>
  <si>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</si>
  <si>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</si>
  <si>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</si>
  <si>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</si>
  <si>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</si>
  <si>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</si>
  <si>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</si>
  <si>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</si>
  <si>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</si>
  <si>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</si>
  <si>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</si>
  <si>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</si>
  <si>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</si>
  <si>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</si>
  <si>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</si>
  <si>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</si>
  <si>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</si>
  <si>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</si>
  <si>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</si>
  <si>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</si>
  <si>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</si>
  <si>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</si>
  <si>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</si>
  <si>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</si>
  <si>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</si>
  <si>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</si>
  <si>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</si>
  <si>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</si>
  <si>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</si>
  <si>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</si>
  <si>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</si>
  <si>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</si>
  <si>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</si>
  <si>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</si>
  <si>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</si>
  <si>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</si>
  <si>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</si>
  <si>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</si>
  <si>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</si>
  <si>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</si>
  <si>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</si>
  <si>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</si>
  <si>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</si>
  <si>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</si>
  <si>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</si>
  <si>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</si>
  <si>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</si>
  <si>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</si>
  <si>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</si>
  <si>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</si>
  <si>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</si>
  <si>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</si>
  <si>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</si>
  <si>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</si>
  <si>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</si>
  <si>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</si>
  <si>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</si>
  <si>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</si>
  <si>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</si>
  <si>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</si>
  <si>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</si>
  <si>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</si>
  <si>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</si>
  <si>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</si>
  <si>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</si>
  <si>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</si>
  <si>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</si>
  <si>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</si>
  <si>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</si>
  <si>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</si>
  <si>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</si>
  <si>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</si>
  <si>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</si>
  <si>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</si>
  <si>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</si>
  <si>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</si>
  <si>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</si>
  <si>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</si>
  <si>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</si>
  <si>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</si>
  <si>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</si>
  <si>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</si>
  <si>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</si>
  <si>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</si>
  <si>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</si>
  <si>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</si>
  <si>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</si>
  <si>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</si>
  <si>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</si>
  <si>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</si>
  <si>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</si>
  <si>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</si>
  <si>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</si>
  <si>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G_Interests_notes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</si>
  <si>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</si>
  <si>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</si>
  <si>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</si>
  <si>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</si>
  <si>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</si>
  <si>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</si>
  <si>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</si>
  <si>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</si>
  <si>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</si>
  <si>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</si>
  <si>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</si>
  <si>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</si>
  <si>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</si>
  <si>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</si>
  <si>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</si>
  <si>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</si>
  <si>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</si>
  <si>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</si>
  <si>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</si>
  <si>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</si>
  <si>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</si>
  <si>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</si>
  <si>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</si>
  <si>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</si>
  <si>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</si>
  <si>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</si>
  <si>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</si>
  <si>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</si>
  <si>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F_prorata_Principal</t>
  </si>
  <si>
    <t>Mezzanine_loan_principal</t>
  </si>
  <si>
    <t>G_prorata_Principal</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</si>
  <si>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</si>
  <si>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</si>
  <si>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</si>
  <si>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</si>
  <si>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</si>
  <si>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</si>
  <si>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</si>
  <si>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</si>
  <si>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</si>
  <si>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</si>
  <si>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</si>
  <si>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</si>
  <si>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</si>
  <si>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</si>
  <si>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</si>
  <si>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</si>
  <si>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</si>
  <si>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</si>
  <si>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</si>
  <si>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</si>
  <si>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</si>
  <si>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</si>
  <si>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</si>
  <si>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</si>
  <si>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</si>
  <si>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</si>
  <si>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</si>
  <si>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</si>
  <si>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</si>
  <si>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</si>
  <si>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</si>
  <si>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</si>
  <si>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</si>
  <si>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</si>
  <si>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</si>
  <si>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</si>
  <si>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</si>
  <si>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</si>
  <si>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</si>
  <si>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</si>
  <si>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</si>
  <si>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</si>
  <si>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</si>
  <si>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</si>
  <si>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</si>
  <si>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</si>
  <si>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</si>
  <si>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</si>
  <si>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</si>
  <si>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</si>
  <si>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</si>
  <si>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</si>
  <si>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</si>
  <si>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</si>
  <si>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</si>
  <si>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</si>
  <si>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</si>
  <si>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</si>
  <si>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</si>
  <si>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</si>
  <si>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</si>
  <si>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portfolio_28</t>
  </si>
  <si>
    <t>portfolio_29</t>
  </si>
  <si>
    <t>portfolio_30</t>
  </si>
  <si>
    <t>portfolio_31</t>
  </si>
  <si>
    <t>portfolio_32</t>
  </si>
  <si>
    <t>portfolio_33</t>
  </si>
  <si>
    <t>portfolio_35</t>
  </si>
  <si>
    <t>A3(cr)</t>
  </si>
  <si>
    <t>A2</t>
  </si>
  <si>
    <t>P-2(cr)</t>
  </si>
  <si>
    <t>P-1</t>
  </si>
  <si>
    <t>POS</t>
  </si>
  <si>
    <t>A+</t>
  </si>
  <si>
    <t>STABLE</t>
  </si>
  <si>
    <t>A+(dcr)</t>
  </si>
  <si>
    <t>AH</t>
  </si>
  <si>
    <t>R-1M</t>
  </si>
  <si>
    <t>Aa1(cr)</t>
  </si>
  <si>
    <t>Aa2</t>
  </si>
  <si>
    <t>P-1(cr)</t>
  </si>
  <si>
    <t>AA</t>
  </si>
  <si>
    <t>F1+</t>
  </si>
  <si>
    <t>AA(dcr)</t>
  </si>
  <si>
    <t>AAH</t>
  </si>
  <si>
    <t>R-1H</t>
  </si>
  <si>
    <t>N.A.</t>
  </si>
  <si>
    <t>A1(cr)</t>
  </si>
  <si>
    <t>A1</t>
  </si>
  <si>
    <t>A-</t>
  </si>
  <si>
    <t>A(dcr)</t>
  </si>
  <si>
    <t>AAA (sf)/Aaa (sf)</t>
  </si>
  <si>
    <t>AA- (sf)/Aaa (sf)</t>
  </si>
  <si>
    <t>A (sf)/Aa3 (sf)</t>
  </si>
  <si>
    <t>BBB (sf)/Baa3 (sf)</t>
  </si>
  <si>
    <t>B+ (sf)/Ba3 (sf)</t>
  </si>
  <si>
    <t>CC (sf)/Caa1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</si>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</sst>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45">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5"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4" fontId="2" fillId="0" borderId="0" xfId="23" applyNumberFormat="1" applyFont="1" applyFill="1" applyBorder="1" applyAlignment="1">
      <alignment horizontal="right" vertical="center"/>
    </xf>
    <xf numFmtId="44" fontId="2" fillId="0" borderId="0" xfId="119" applyNumberFormat="1" applyFont="1" applyFill="1" applyBorder="1" applyAlignment="1">
      <alignment horizontal="right" vertical="center" wrapText="1"/>
    </xf>
    <xf numFmtId="4" fontId="2" fillId="0" borderId="0" xfId="9" applyNumberFormat="1" applyFont="1" applyFill="1" applyBorder="1" applyAlignment="1">
      <alignment horizontal="left" vertical="center" wrapText="1"/>
    </xf>
    <xf numFmtId="0" fontId="6" fillId="0" borderId="9" xfId="9" applyBorder="1" applyAlignment="1">
      <alignment horizontal="center" vertical="center" wrapText="1"/>
    </xf>
    <xf numFmtId="0" fontId="2" fillId="0" borderId="9" xfId="9" applyFont="1" applyBorder="1" applyAlignment="1">
      <alignment horizontal="center" vertical="center" wrapText="1"/>
    </xf>
    <xf numFmtId="0" fontId="78" fillId="0" borderId="9" xfId="0" applyFont="1" applyBorder="1" applyAlignment="1">
      <alignment vertical="center"/>
    </xf>
    <xf numFmtId="0" fontId="6" fillId="0" borderId="9" xfId="6" applyBorder="1" applyAlignment="1">
      <alignment vertical="center" wrapText="1"/>
    </xf>
    <xf numFmtId="0" fontId="6" fillId="0" borderId="15" xfId="6" applyBorder="1" applyAlignment="1">
      <alignment vertical="center" wrapText="1"/>
    </xf>
    <xf numFmtId="0" fontId="6" fillId="0" borderId="9" xfId="5" applyBorder="1" applyAlignment="1">
      <alignment vertical="center" wrapText="1"/>
    </xf>
    <xf numFmtId="0" fontId="6" fillId="0" borderId="15" xfId="5" applyBorder="1" applyAlignment="1">
      <alignment vertical="center" wrapText="1"/>
    </xf>
    <xf numFmtId="0" fontId="6" fillId="0" borderId="9" xfId="11" applyBorder="1" applyAlignment="1">
      <alignment vertical="center" wrapText="1"/>
    </xf>
    <xf numFmtId="0" fontId="6" fillId="0" borderId="15" xfId="11" applyBorder="1" applyAlignment="1">
      <alignment vertical="center" wrapText="1"/>
    </xf>
    <xf numFmtId="0" fontId="6" fillId="0" borderId="18" xfId="11" applyBorder="1" applyAlignment="1">
      <alignment vertical="center" wrapText="1"/>
    </xf>
    <xf numFmtId="0" fontId="6" fillId="0" borderId="19" xfId="11" applyBorder="1" applyAlignment="1">
      <alignment vertical="center" wrapText="1"/>
    </xf>
    <xf numFmtId="0" fontId="6" fillId="0" borderId="9" xfId="16" applyBorder="1" applyAlignment="1">
      <alignment horizontal="center" vertical="center" wrapText="1"/>
    </xf>
    <xf numFmtId="20" fontId="6" fillId="0" borderId="9" xfId="16" applyNumberFormat="1" applyBorder="1" applyAlignment="1">
      <alignment horizontal="center" vertical="center" wrapText="1"/>
    </xf>
    <xf numFmtId="46" fontId="6" fillId="0" borderId="9" xfId="13" applyNumberFormat="1" applyBorder="1" applyAlignment="1">
      <alignment horizontal="center" vertical="center" wrapText="1"/>
    </xf>
    <xf numFmtId="1" fontId="6" fillId="0" borderId="9" xfId="12" applyNumberFormat="1" applyBorder="1" applyAlignment="1">
      <alignment horizontal="center" vertical="center" wrapText="1"/>
    </xf>
    <xf numFmtId="1" fontId="2" fillId="0" borderId="9" xfId="12" applyNumberFormat="1" applyFont="1" applyBorder="1" applyAlignment="1">
      <alignment horizontal="center" vertical="center" wrapText="1"/>
    </xf>
    <xf numFmtId="0" fontId="6" fillId="0" borderId="9" xfId="16" applyBorder="1" applyAlignment="1">
      <alignment horizontal="left" vertical="center" wrapText="1"/>
    </xf>
    <xf numFmtId="0" fontId="79" fillId="0" borderId="0" xfId="0" applyFont="1"/>
    <xf numFmtId="0" fontId="49" fillId="0" borderId="0" xfId="0" applyFont="1"/>
    <xf numFmtId="0" fontId="81" fillId="0" borderId="0" xfId="0" applyFont="1"/>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0" applyNumberFormat="1" applyFont="1" applyFill="1" applyBorder="1" applyAlignment="1">
      <alignment vertical="center"/>
    </xf>
    <xf numFmtId="44" fontId="6" fillId="0" borderId="0" xfId="21" applyNumberFormat="1" applyFont="1" applyFill="1" applyBorder="1" applyAlignment="1">
      <alignment horizontal="center" vertical="center" wrapText="1"/>
    </xf>
    <xf numFmtId="44" fontId="6" fillId="0" borderId="2" xfId="21" applyNumberFormat="1" applyFont="1" applyFill="1" applyBorder="1" applyAlignment="1">
      <alignment horizontal="center" vertical="center" wrapText="1"/>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9" fontId="6" fillId="0" borderId="9" xfId="16" applyNumberFormat="1" applyBorder="1" applyAlignment="1">
      <alignment horizontal="center" vertical="center" wrapText="1"/>
    </xf>
    <xf numFmtId="0" fontId="2" fillId="0" borderId="0" xfId="0" applyFont="1" applyBorder="1" applyAlignment="1">
      <alignment vertical="center"/>
    </xf>
    <xf numFmtId="49" fontId="2" fillId="0" borderId="0" xfId="0" applyNumberFormat="1" applyFont="1" applyAlignment="1">
      <alignment horizontal="center" vertical="center"/>
    </xf>
    <xf numFmtId="0" fontId="2" fillId="0" borderId="0" xfId="0" quotePrefix="1" applyFont="1" applyAlignment="1">
      <alignment vertical="center"/>
    </xf>
    <xf numFmtId="184" fontId="2" fillId="0" borderId="0" xfId="1" applyNumberFormat="1" applyFont="1" applyBorder="1" applyAlignment="1">
      <alignment vertical="center"/>
    </xf>
    <xf numFmtId="0" fontId="2" fillId="0" borderId="0" xfId="0" applyFont="1" applyFill="1" applyBorder="1" applyAlignment="1">
      <alignment horizontal="center" vertical="center" wrapText="1"/>
    </xf>
    <xf numFmtId="49" fontId="6" fillId="0" borderId="9" xfId="13" applyNumberForma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44" fontId="2" fillId="0" borderId="0" xfId="0" applyNumberFormat="1" applyFont="1" applyBorder="1" applyAlignment="1">
      <alignment vertical="center"/>
    </xf>
    <xf numFmtId="14" fontId="49" fillId="0" borderId="0" xfId="9"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10" fontId="2" fillId="0" borderId="0" xfId="17" applyNumberFormat="1" applyFont="1" applyFill="1" applyBorder="1" applyAlignment="1">
      <alignment horizontal="center" vertical="center" wrapText="1"/>
    </xf>
    <xf numFmtId="0" fontId="82" fillId="0" borderId="0" xfId="0" applyFont="1" applyAlignment="1">
      <alignment vertical="center"/>
    </xf>
    <xf numFmtId="0" fontId="82" fillId="0" borderId="0" xfId="0" applyFont="1"/>
    <xf numFmtId="0" fontId="83" fillId="0" borderId="0" xfId="2" applyFont="1" applyAlignment="1" applyProtection="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2" fillId="0" borderId="34" xfId="23" quotePrefix="1" applyFont="1" applyBorder="1" applyAlignment="1">
      <alignment vertical="center"/>
    </xf>
    <xf numFmtId="0" fontId="8" fillId="0" borderId="42" xfId="23" applyFont="1" applyBorder="1" applyAlignment="1">
      <alignment vertical="center"/>
    </xf>
    <xf numFmtId="0" fontId="2" fillId="0" borderId="0" xfId="0" applyFont="1" applyBorder="1" applyAlignment="1">
      <alignment vertical="center"/>
    </xf>
    <xf numFmtId="0" fontId="2" fillId="0" borderId="65" xfId="0" applyFont="1" applyBorder="1" applyAlignment="1">
      <alignment horizontal="center" vertical="center"/>
    </xf>
    <xf numFmtId="44" fontId="2" fillId="0" borderId="33" xfId="0" applyNumberFormat="1" applyFont="1" applyBorder="1" applyAlignment="1">
      <alignment vertical="center"/>
    </xf>
    <xf numFmtId="10" fontId="2" fillId="0" borderId="66" xfId="17"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165"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44" fontId="2" fillId="0" borderId="7" xfId="0" applyNumberFormat="1" applyFont="1" applyBorder="1" applyAlignment="1">
      <alignment vertical="center"/>
    </xf>
    <xf numFmtId="44" fontId="2" fillId="0" borderId="2"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49" fontId="47" fillId="0" borderId="0" xfId="23"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13">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1039431.7499999993</c:v>
                </c:pt>
                <c:pt idx="1">
                  <c:v>9128966.9299999215</c:v>
                </c:pt>
                <c:pt idx="2">
                  <c:v>19223234.390000183</c:v>
                </c:pt>
                <c:pt idx="3">
                  <c:v>23584819.649999976</c:v>
                </c:pt>
                <c:pt idx="4">
                  <c:v>22441182.679999955</c:v>
                </c:pt>
                <c:pt idx="5">
                  <c:v>35056494.789999984</c:v>
                </c:pt>
                <c:pt idx="6">
                  <c:v>26126857.280000072</c:v>
                </c:pt>
                <c:pt idx="7">
                  <c:v>32906857.190000132</c:v>
                </c:pt>
                <c:pt idx="8">
                  <c:v>24207621.460000008</c:v>
                </c:pt>
                <c:pt idx="9">
                  <c:v>24289405.420000002</c:v>
                </c:pt>
                <c:pt idx="10">
                  <c:v>41426215.07999979</c:v>
                </c:pt>
                <c:pt idx="11">
                  <c:v>26391146.190000035</c:v>
                </c:pt>
                <c:pt idx="12">
                  <c:v>37710427.910000019</c:v>
                </c:pt>
                <c:pt idx="13">
                  <c:v>26776090.650000066</c:v>
                </c:pt>
                <c:pt idx="14">
                  <c:v>25506896.189999975</c:v>
                </c:pt>
                <c:pt idx="15">
                  <c:v>40538709.400000036</c:v>
                </c:pt>
                <c:pt idx="16">
                  <c:v>21885041.65000001</c:v>
                </c:pt>
                <c:pt idx="17">
                  <c:v>26638344.069999978</c:v>
                </c:pt>
                <c:pt idx="18">
                  <c:v>21806589.139999967</c:v>
                </c:pt>
                <c:pt idx="19">
                  <c:v>17601766.760000005</c:v>
                </c:pt>
                <c:pt idx="20">
                  <c:v>28446424.099999882</c:v>
                </c:pt>
                <c:pt idx="21">
                  <c:v>17103571.649999987</c:v>
                </c:pt>
                <c:pt idx="22">
                  <c:v>21798907.199999981</c:v>
                </c:pt>
                <c:pt idx="23">
                  <c:v>16585218.989999991</c:v>
                </c:pt>
                <c:pt idx="24">
                  <c:v>15977848.609999994</c:v>
                </c:pt>
                <c:pt idx="25">
                  <c:v>29095240.239999991</c:v>
                </c:pt>
                <c:pt idx="26">
                  <c:v>15549712.050000014</c:v>
                </c:pt>
                <c:pt idx="27">
                  <c:v>15330874.130000008</c:v>
                </c:pt>
                <c:pt idx="28">
                  <c:v>10772162.759999998</c:v>
                </c:pt>
                <c:pt idx="29">
                  <c:v>11013950.290000007</c:v>
                </c:pt>
                <c:pt idx="30">
                  <c:v>20594455.68999999</c:v>
                </c:pt>
                <c:pt idx="31">
                  <c:v>10577633.140000002</c:v>
                </c:pt>
                <c:pt idx="32">
                  <c:v>11424926.799999997</c:v>
                </c:pt>
                <c:pt idx="33">
                  <c:v>7497812.5400000047</c:v>
                </c:pt>
                <c:pt idx="34">
                  <c:v>7299374.8900000025</c:v>
                </c:pt>
                <c:pt idx="35">
                  <c:v>10850824.029999999</c:v>
                </c:pt>
                <c:pt idx="36">
                  <c:v>6485874.8399999971</c:v>
                </c:pt>
                <c:pt idx="37">
                  <c:v>16711421.899999999</c:v>
                </c:pt>
                <c:pt idx="38">
                  <c:v>3851853.9300000006</c:v>
                </c:pt>
                <c:pt idx="39">
                  <c:v>5680628.7899999954</c:v>
                </c:pt>
                <c:pt idx="40">
                  <c:v>3714611.7000000007</c:v>
                </c:pt>
                <c:pt idx="41">
                  <c:v>2405833.5000000005</c:v>
                </c:pt>
                <c:pt idx="42">
                  <c:v>3991420.8699999996</c:v>
                </c:pt>
                <c:pt idx="43">
                  <c:v>2348393.1900000004</c:v>
                </c:pt>
                <c:pt idx="44">
                  <c:v>1780097.41</c:v>
                </c:pt>
                <c:pt idx="45">
                  <c:v>815162.87</c:v>
                </c:pt>
                <c:pt idx="46">
                  <c:v>650577.41999999993</c:v>
                </c:pt>
                <c:pt idx="47">
                  <c:v>378120.56999999995</c:v>
                </c:pt>
                <c:pt idx="48">
                  <c:v>387124.75999999995</c:v>
                </c:pt>
                <c:pt idx="49">
                  <c:v>295906.86</c:v>
                </c:pt>
                <c:pt idx="50">
                  <c:v>1840523.4200000002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6468494.5600000182</c:v>
                </c:pt>
                <c:pt idx="1">
                  <c:v>16186769.379999978</c:v>
                </c:pt>
                <c:pt idx="2">
                  <c:v>21998347.33999991</c:v>
                </c:pt>
                <c:pt idx="3">
                  <c:v>24887500.310000006</c:v>
                </c:pt>
                <c:pt idx="4">
                  <c:v>25007188.809999965</c:v>
                </c:pt>
                <c:pt idx="5">
                  <c:v>25402651.519999988</c:v>
                </c:pt>
                <c:pt idx="6">
                  <c:v>27741330.919999976</c:v>
                </c:pt>
                <c:pt idx="7">
                  <c:v>27881280.890000001</c:v>
                </c:pt>
                <c:pt idx="8">
                  <c:v>25896067.970000047</c:v>
                </c:pt>
                <c:pt idx="9">
                  <c:v>28158561.989999972</c:v>
                </c:pt>
                <c:pt idx="10">
                  <c:v>24718185.280000005</c:v>
                </c:pt>
                <c:pt idx="11">
                  <c:v>21254418.140000012</c:v>
                </c:pt>
                <c:pt idx="12">
                  <c:v>20489238.169999987</c:v>
                </c:pt>
                <c:pt idx="13">
                  <c:v>19286222.660000004</c:v>
                </c:pt>
                <c:pt idx="14">
                  <c:v>18089312.840000007</c:v>
                </c:pt>
                <c:pt idx="15">
                  <c:v>20568192.820000004</c:v>
                </c:pt>
                <c:pt idx="16">
                  <c:v>16960866.999999993</c:v>
                </c:pt>
                <c:pt idx="17">
                  <c:v>14761150.739999998</c:v>
                </c:pt>
                <c:pt idx="18">
                  <c:v>15242984.530000011</c:v>
                </c:pt>
                <c:pt idx="19">
                  <c:v>11448591.539999997</c:v>
                </c:pt>
                <c:pt idx="20">
                  <c:v>10707173.369999995</c:v>
                </c:pt>
                <c:pt idx="21">
                  <c:v>9410176.6599999964</c:v>
                </c:pt>
                <c:pt idx="22">
                  <c:v>9040577.5500000026</c:v>
                </c:pt>
                <c:pt idx="23">
                  <c:v>7989406.4999999991</c:v>
                </c:pt>
                <c:pt idx="24">
                  <c:v>6366312.5199999996</c:v>
                </c:pt>
                <c:pt idx="25">
                  <c:v>4796975.6799999988</c:v>
                </c:pt>
                <c:pt idx="26">
                  <c:v>3866266.9599999995</c:v>
                </c:pt>
                <c:pt idx="27">
                  <c:v>3020194.9299999997</c:v>
                </c:pt>
                <c:pt idx="28">
                  <c:v>2332116.8299999996</c:v>
                </c:pt>
                <c:pt idx="29">
                  <c:v>1826272.26</c:v>
                </c:pt>
                <c:pt idx="30">
                  <c:v>1278455.6900000002</c:v>
                </c:pt>
                <c:pt idx="31">
                  <c:v>1196431.1399999999</c:v>
                </c:pt>
                <c:pt idx="32">
                  <c:v>1494768.4200000002</c:v>
                </c:pt>
                <c:pt idx="33">
                  <c:v>401817.73</c:v>
                </c:pt>
                <c:pt idx="34">
                  <c:v>343495.23</c:v>
                </c:pt>
                <c:pt idx="35">
                  <c:v>71634.19</c:v>
                </c:pt>
                <c:pt idx="36">
                  <c:v>72267.429999999993</c:v>
                </c:pt>
                <c:pt idx="37">
                  <c:v>74083.69</c:v>
                </c:pt>
                <c:pt idx="38">
                  <c:v>0</c:v>
                </c:pt>
                <c:pt idx="39">
                  <c:v>315833.09999999998</c:v>
                </c:pt>
                <c:pt idx="40">
                  <c:v>455533.98000000004</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64183194.219999969</c:v>
                </c:pt>
                <c:pt idx="1">
                  <c:v>66685004.04999996</c:v>
                </c:pt>
                <c:pt idx="2">
                  <c:v>19003107.209999956</c:v>
                </c:pt>
                <c:pt idx="3">
                  <c:v>18030905.300000001</c:v>
                </c:pt>
                <c:pt idx="4">
                  <c:v>4011556.4800000032</c:v>
                </c:pt>
                <c:pt idx="5">
                  <c:v>9356832.1000000015</c:v>
                </c:pt>
                <c:pt idx="6">
                  <c:v>35979530.249999993</c:v>
                </c:pt>
                <c:pt idx="7">
                  <c:v>47051987.279999927</c:v>
                </c:pt>
                <c:pt idx="8">
                  <c:v>14338326.370000014</c:v>
                </c:pt>
                <c:pt idx="9">
                  <c:v>102852492.72999999</c:v>
                </c:pt>
                <c:pt idx="10">
                  <c:v>23718529.709999975</c:v>
                </c:pt>
                <c:pt idx="11">
                  <c:v>8129371.6400000062</c:v>
                </c:pt>
                <c:pt idx="12">
                  <c:v>18369069.710000008</c:v>
                </c:pt>
                <c:pt idx="13">
                  <c:v>15754613.630000005</c:v>
                </c:pt>
                <c:pt idx="14">
                  <c:v>15798278.78999999</c:v>
                </c:pt>
                <c:pt idx="15">
                  <c:v>12665299.480000006</c:v>
                </c:pt>
                <c:pt idx="16">
                  <c:v>1579052.3199999996</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81419.749999999985</c:v>
                </c:pt>
                <c:pt idx="1">
                  <c:v>4947915.8699999936</c:v>
                </c:pt>
                <c:pt idx="2">
                  <c:v>83243662.459999725</c:v>
                </c:pt>
                <c:pt idx="3">
                  <c:v>57423263.369999997</c:v>
                </c:pt>
                <c:pt idx="4">
                  <c:v>54910440.389999993</c:v>
                </c:pt>
                <c:pt idx="5">
                  <c:v>62591144.329999946</c:v>
                </c:pt>
                <c:pt idx="6">
                  <c:v>92141831.57999967</c:v>
                </c:pt>
                <c:pt idx="7">
                  <c:v>71120139.52000007</c:v>
                </c:pt>
                <c:pt idx="8">
                  <c:v>34131652.519999959</c:v>
                </c:pt>
                <c:pt idx="9">
                  <c:v>11994252.319999991</c:v>
                </c:pt>
                <c:pt idx="10">
                  <c:v>3469337.4399999981</c:v>
                </c:pt>
                <c:pt idx="11">
                  <c:v>1059991.2100000002</c:v>
                </c:pt>
                <c:pt idx="12">
                  <c:v>328421.22000000003</c:v>
                </c:pt>
                <c:pt idx="13">
                  <c:v>63679.29</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9669663.1699999962</c:v>
                </c:pt>
                <c:pt idx="9">
                  <c:v>17457674.370000005</c:v>
                </c:pt>
                <c:pt idx="10">
                  <c:v>22378062.380000003</c:v>
                </c:pt>
                <c:pt idx="11">
                  <c:v>28323073.930000003</c:v>
                </c:pt>
                <c:pt idx="12">
                  <c:v>122596523.58999982</c:v>
                </c:pt>
                <c:pt idx="13">
                  <c:v>141370932.48000035</c:v>
                </c:pt>
                <c:pt idx="14">
                  <c:v>75940417.000000164</c:v>
                </c:pt>
                <c:pt idx="15">
                  <c:v>42019288.210000031</c:v>
                </c:pt>
                <c:pt idx="16">
                  <c:v>7820878.4200000092</c:v>
                </c:pt>
                <c:pt idx="17">
                  <c:v>5030994.8599999975</c:v>
                </c:pt>
                <c:pt idx="18">
                  <c:v>2583562.290000001</c:v>
                </c:pt>
                <c:pt idx="19">
                  <c:v>1705836.6699999995</c:v>
                </c:pt>
                <c:pt idx="20">
                  <c:v>276416.35000000003</c:v>
                </c:pt>
                <c:pt idx="21">
                  <c:v>112150.16999999998</c:v>
                </c:pt>
                <c:pt idx="22">
                  <c:v>99145.47</c:v>
                </c:pt>
                <c:pt idx="23">
                  <c:v>48181.959999999985</c:v>
                </c:pt>
                <c:pt idx="24">
                  <c:v>28910.29</c:v>
                </c:pt>
                <c:pt idx="25">
                  <c:v>17507.54</c:v>
                </c:pt>
                <c:pt idx="26">
                  <c:v>21075.87</c:v>
                </c:pt>
                <c:pt idx="27">
                  <c:v>6856.25</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1072892.1600000008</c:v>
                </c:pt>
                <c:pt idx="1">
                  <c:v>4551156.9800000051</c:v>
                </c:pt>
                <c:pt idx="2">
                  <c:v>8101017.7100000149</c:v>
                </c:pt>
                <c:pt idx="3">
                  <c:v>12138081.069999993</c:v>
                </c:pt>
                <c:pt idx="4">
                  <c:v>15854572.199999999</c:v>
                </c:pt>
                <c:pt idx="5">
                  <c:v>22014361.830000043</c:v>
                </c:pt>
                <c:pt idx="6">
                  <c:v>58015239.93</c:v>
                </c:pt>
                <c:pt idx="7">
                  <c:v>82816786.880000293</c:v>
                </c:pt>
                <c:pt idx="8">
                  <c:v>186838448.78999981</c:v>
                </c:pt>
                <c:pt idx="9">
                  <c:v>61324792.879999802</c:v>
                </c:pt>
                <c:pt idx="10">
                  <c:v>21237630.350000005</c:v>
                </c:pt>
                <c:pt idx="11">
                  <c:v>2776011.1799999983</c:v>
                </c:pt>
                <c:pt idx="12">
                  <c:v>357739.67</c:v>
                </c:pt>
                <c:pt idx="13">
                  <c:v>92781.13</c:v>
                </c:pt>
                <c:pt idx="14">
                  <c:v>315638.51</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-3168.3199999999997</c:v>
                </c:pt>
                <c:pt idx="1">
                  <c:v>-8303.2400000000016</c:v>
                </c:pt>
                <c:pt idx="2">
                  <c:v>-13382.45</c:v>
                </c:pt>
                <c:pt idx="3">
                  <c:v>16128.55</c:v>
                </c:pt>
                <c:pt idx="4">
                  <c:v>579886.28000000061</c:v>
                </c:pt>
                <c:pt idx="5">
                  <c:v>817022.57999999949</c:v>
                </c:pt>
                <c:pt idx="6">
                  <c:v>6093814.6900000088</c:v>
                </c:pt>
                <c:pt idx="7">
                  <c:v>14583397.509999983</c:v>
                </c:pt>
                <c:pt idx="8">
                  <c:v>5023522.5200000051</c:v>
                </c:pt>
                <c:pt idx="9">
                  <c:v>21094067.100000016</c:v>
                </c:pt>
                <c:pt idx="10">
                  <c:v>9331845.9899999946</c:v>
                </c:pt>
                <c:pt idx="11">
                  <c:v>70815339.319999948</c:v>
                </c:pt>
                <c:pt idx="12">
                  <c:v>208879541.44000095</c:v>
                </c:pt>
                <c:pt idx="13">
                  <c:v>117063736.15999982</c:v>
                </c:pt>
                <c:pt idx="14">
                  <c:v>19312448.640000008</c:v>
                </c:pt>
                <c:pt idx="15">
                  <c:v>3921254.5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177798</xdr:colOff>
      <xdr:row>52</xdr:row>
      <xdr:rowOff>28019</xdr:rowOff>
    </xdr:from>
    <xdr:to>
      <xdr:col>3</xdr:col>
      <xdr:colOff>610898</xdr:colOff>
      <xdr:row>57</xdr:row>
      <xdr:rowOff>179135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798" y="8283019"/>
          <a:ext cx="2814350" cy="944866"/>
        </a:xfrm>
        <a:prstGeom prst="rect">
          <a:avLst/>
        </a:prstGeom>
      </xdr:spPr>
    </xdr:pic>
    <xdr:clientData/>
  </xdr:twoCellAnchor>
  <xdr:twoCellAnchor editAs="oneCell">
    <xdr:from>
      <xdr:col>0</xdr:col>
      <xdr:colOff>174181</xdr:colOff>
      <xdr:row>42</xdr:row>
      <xdr:rowOff>22245</xdr:rowOff>
    </xdr:from>
    <xdr:to>
      <xdr:col>3</xdr:col>
      <xdr:colOff>597756</xdr:colOff>
      <xdr:row>51</xdr:row>
      <xdr:rowOff>42129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689745"/>
          <a:ext cx="2804825" cy="1448634"/>
        </a:xfrm>
        <a:prstGeom prst="rect">
          <a:avLst/>
        </a:prstGeom>
      </xdr:spPr>
    </xdr:pic>
    <xdr:clientData/>
  </xdr:twoCellAnchor>
  <xdr:twoCellAnchor editAs="oneCell">
    <xdr:from>
      <xdr:col>18</xdr:col>
      <xdr:colOff>285750</xdr:colOff>
      <xdr:row>13</xdr:row>
      <xdr:rowOff>31750</xdr:rowOff>
    </xdr:from>
    <xdr:to>
      <xdr:col>20</xdr:col>
      <xdr:colOff>421772</xdr:colOff>
      <xdr:row>56</xdr:row>
      <xdr:rowOff>154603</xdr:rowOff>
    </xdr:to>
    <xdr:pic>
      <xdr:nvPicPr>
        <xdr:cNvPr id="3" name="Grafik 2">
          <a:extLst>
            <a:ext uri="{FF2B5EF4-FFF2-40B4-BE49-F238E27FC236}">
              <a16:creationId xmlns:a16="http://schemas.microsoft.com/office/drawing/2014/main" id="{68A9B532-568B-9B72-9BF7-A3265293F2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73250" y="209550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1057275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177543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briefung/Reporting/Reporting%20SC%20Germany%20Consumer%2023-1/Fertige%20Analysen/Investor_Report_SC%20Germany%20Consumer%2023-1_2023.10.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4.08.31.xlsx" TargetMode="External"/><Relationship Id="rId1" Type="http://schemas.openxmlformats.org/officeDocument/2006/relationships/externalLinkPath" Target="/Verbriefung/Reporting/Reporting%20SC%20Germany%20Consumer%2023-1/Fertige%20Analysen/Investor_Report_SC%20Germany%20Consumer%2023-1_2024.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3321</v>
          </cell>
          <cell r="D2">
            <v>3701747.8399999887</v>
          </cell>
        </row>
        <row r="3">
          <cell r="B3" t="str">
            <v>CPB_ 2000: 3999</v>
          </cell>
          <cell r="C3">
            <v>3877</v>
          </cell>
          <cell r="D3">
            <v>11641660.020000041</v>
          </cell>
        </row>
        <row r="4">
          <cell r="B4" t="str">
            <v>CPB_ 4000: 5999</v>
          </cell>
          <cell r="C4">
            <v>4202</v>
          </cell>
          <cell r="D4">
            <v>20881075.610000011</v>
          </cell>
        </row>
        <row r="5">
          <cell r="B5" t="str">
            <v>CPB_ 6000: 7999</v>
          </cell>
          <cell r="C5">
            <v>3674</v>
          </cell>
          <cell r="D5">
            <v>25772070.710000016</v>
          </cell>
        </row>
        <row r="6">
          <cell r="B6" t="str">
            <v>CPB_ 8000: 9999</v>
          </cell>
          <cell r="C6">
            <v>3671</v>
          </cell>
          <cell r="D6">
            <v>33287299.120000038</v>
          </cell>
        </row>
        <row r="7">
          <cell r="B7" t="str">
            <v>CPB_10000:11999</v>
          </cell>
          <cell r="C7">
            <v>2495</v>
          </cell>
          <cell r="D7">
            <v>27362555.800000038</v>
          </cell>
        </row>
        <row r="8">
          <cell r="B8" t="str">
            <v>CPB_12000:13999</v>
          </cell>
          <cell r="C8">
            <v>2201</v>
          </cell>
          <cell r="D8">
            <v>28589891.759999968</v>
          </cell>
        </row>
        <row r="9">
          <cell r="B9" t="str">
            <v>CPB_14000:15999</v>
          </cell>
          <cell r="C9">
            <v>2236</v>
          </cell>
          <cell r="D9">
            <v>33344225.799999993</v>
          </cell>
        </row>
        <row r="10">
          <cell r="B10" t="str">
            <v>CPB_16000:17999</v>
          </cell>
          <cell r="C10">
            <v>1766</v>
          </cell>
          <cell r="D10">
            <v>30030699.810000043</v>
          </cell>
        </row>
        <row r="11">
          <cell r="B11" t="str">
            <v>CPB_18000:19999</v>
          </cell>
          <cell r="C11">
            <v>1940</v>
          </cell>
          <cell r="D11">
            <v>36897975.05999995</v>
          </cell>
        </row>
        <row r="12">
          <cell r="B12" t="str">
            <v>CPB_20000:21999</v>
          </cell>
          <cell r="C12">
            <v>1404</v>
          </cell>
          <cell r="D12">
            <v>29410344.879999988</v>
          </cell>
        </row>
        <row r="13">
          <cell r="B13" t="str">
            <v>CPB_22000:23999</v>
          </cell>
          <cell r="C13">
            <v>1408</v>
          </cell>
          <cell r="D13">
            <v>32424029.089999985</v>
          </cell>
        </row>
        <row r="14">
          <cell r="B14" t="str">
            <v>CPB_24000:25999</v>
          </cell>
          <cell r="C14">
            <v>1330</v>
          </cell>
          <cell r="D14">
            <v>33183437.669999983</v>
          </cell>
        </row>
        <row r="15">
          <cell r="B15" t="str">
            <v>CPB_26000:27999</v>
          </cell>
          <cell r="C15">
            <v>1095</v>
          </cell>
          <cell r="D15">
            <v>29534661.989999976</v>
          </cell>
        </row>
        <row r="16">
          <cell r="B16" t="str">
            <v>CPB_28000:29999</v>
          </cell>
          <cell r="C16">
            <v>1143</v>
          </cell>
          <cell r="D16">
            <v>33085728.759999953</v>
          </cell>
        </row>
        <row r="17">
          <cell r="B17" t="str">
            <v>CPB_30000:31999</v>
          </cell>
          <cell r="C17">
            <v>893</v>
          </cell>
          <cell r="D17">
            <v>27593056.120000001</v>
          </cell>
        </row>
        <row r="18">
          <cell r="B18" t="str">
            <v>CPB_32000:33999</v>
          </cell>
          <cell r="C18">
            <v>813</v>
          </cell>
          <cell r="D18">
            <v>26833321.510000009</v>
          </cell>
        </row>
        <row r="19">
          <cell r="B19" t="str">
            <v>CPB_34000:35999</v>
          </cell>
          <cell r="C19">
            <v>771</v>
          </cell>
          <cell r="D19">
            <v>26977775.750000037</v>
          </cell>
        </row>
        <row r="20">
          <cell r="B20" t="str">
            <v>CPB_36000:37999</v>
          </cell>
          <cell r="C20">
            <v>664</v>
          </cell>
          <cell r="D20">
            <v>24557846.80999998</v>
          </cell>
        </row>
        <row r="21">
          <cell r="B21" t="str">
            <v>CPB_38000:39999</v>
          </cell>
          <cell r="C21">
            <v>680</v>
          </cell>
          <cell r="D21">
            <v>26490050.089999992</v>
          </cell>
        </row>
        <row r="22">
          <cell r="B22" t="str">
            <v>CPB_40000:41999</v>
          </cell>
          <cell r="C22">
            <v>580</v>
          </cell>
          <cell r="D22">
            <v>23749612.759999998</v>
          </cell>
        </row>
        <row r="23">
          <cell r="B23" t="str">
            <v>CPB_42000:43999</v>
          </cell>
          <cell r="C23">
            <v>509</v>
          </cell>
          <cell r="D23">
            <v>21862053.159999978</v>
          </cell>
        </row>
        <row r="24">
          <cell r="B24" t="str">
            <v>CPB_44000:45999</v>
          </cell>
          <cell r="C24">
            <v>477</v>
          </cell>
          <cell r="D24">
            <v>21471860.410000004</v>
          </cell>
        </row>
        <row r="25">
          <cell r="B25" t="str">
            <v>CPB_46000:47999</v>
          </cell>
          <cell r="C25">
            <v>418</v>
          </cell>
          <cell r="D25">
            <v>19660524.490000002</v>
          </cell>
        </row>
        <row r="26">
          <cell r="B26" t="str">
            <v>CPB_48000:49999</v>
          </cell>
          <cell r="C26">
            <v>409</v>
          </cell>
          <cell r="D26">
            <v>20001970.489999991</v>
          </cell>
        </row>
        <row r="27">
          <cell r="B27" t="str">
            <v>CPB_50000:51999</v>
          </cell>
          <cell r="C27">
            <v>309</v>
          </cell>
          <cell r="D27">
            <v>15747074.649999995</v>
          </cell>
        </row>
        <row r="28">
          <cell r="B28" t="str">
            <v>CPB_52000:53999</v>
          </cell>
          <cell r="C28">
            <v>258</v>
          </cell>
          <cell r="D28">
            <v>13661738.490000004</v>
          </cell>
        </row>
        <row r="29">
          <cell r="B29" t="str">
            <v>CPB_54000:55999</v>
          </cell>
          <cell r="C29">
            <v>232</v>
          </cell>
          <cell r="D29">
            <v>12767533.579999991</v>
          </cell>
        </row>
        <row r="30">
          <cell r="B30" t="str">
            <v>CPB_56000:57999</v>
          </cell>
          <cell r="C30">
            <v>222</v>
          </cell>
          <cell r="D30">
            <v>12651622.109999999</v>
          </cell>
        </row>
        <row r="31">
          <cell r="B31" t="str">
            <v>CPB_58000:59999</v>
          </cell>
          <cell r="C31">
            <v>224</v>
          </cell>
          <cell r="D31">
            <v>13214070.869999995</v>
          </cell>
        </row>
        <row r="32">
          <cell r="B32" t="str">
            <v>CPB_60000:61999</v>
          </cell>
          <cell r="C32">
            <v>166</v>
          </cell>
          <cell r="D32">
            <v>10106152.800000006</v>
          </cell>
        </row>
        <row r="33">
          <cell r="B33" t="str">
            <v>CPB_62000:63999</v>
          </cell>
          <cell r="C33">
            <v>156</v>
          </cell>
          <cell r="D33">
            <v>9824348.3100000024</v>
          </cell>
        </row>
        <row r="34">
          <cell r="B34" t="str">
            <v>CPB_64000:65999</v>
          </cell>
          <cell r="C34">
            <v>131</v>
          </cell>
          <cell r="D34">
            <v>8508912.9999999981</v>
          </cell>
        </row>
        <row r="35">
          <cell r="B35" t="str">
            <v>CPB_66000:67999</v>
          </cell>
          <cell r="C35">
            <v>131</v>
          </cell>
          <cell r="D35">
            <v>8778564.7299999967</v>
          </cell>
        </row>
        <row r="36">
          <cell r="B36" t="str">
            <v>CPB_68000:69999</v>
          </cell>
          <cell r="C36">
            <v>125</v>
          </cell>
          <cell r="D36">
            <v>8625695.9199999999</v>
          </cell>
        </row>
        <row r="37">
          <cell r="B37" t="str">
            <v>CPB_70000:71999</v>
          </cell>
          <cell r="C37">
            <v>114</v>
          </cell>
          <cell r="D37">
            <v>8092218.3100000005</v>
          </cell>
        </row>
        <row r="38">
          <cell r="B38" t="str">
            <v>CPB_72000:73999</v>
          </cell>
          <cell r="C38">
            <v>104</v>
          </cell>
          <cell r="D38">
            <v>7575454.8400000008</v>
          </cell>
        </row>
        <row r="39">
          <cell r="B39" t="str">
            <v>CPB_74000:75999</v>
          </cell>
          <cell r="C39">
            <v>70</v>
          </cell>
          <cell r="D39">
            <v>5246348.1500000004</v>
          </cell>
        </row>
        <row r="40">
          <cell r="B40" t="str">
            <v>CPB_76000:77999</v>
          </cell>
          <cell r="C40">
            <v>55</v>
          </cell>
          <cell r="D40">
            <v>4236611.3400000008</v>
          </cell>
        </row>
        <row r="41">
          <cell r="B41" t="str">
            <v>CPB_78000:79999</v>
          </cell>
          <cell r="C41">
            <v>45</v>
          </cell>
          <cell r="D41">
            <v>3555883.9500000011</v>
          </cell>
        </row>
        <row r="42">
          <cell r="B42" t="str">
            <v>CPB_80000:</v>
          </cell>
          <cell r="C42">
            <v>105</v>
          </cell>
          <cell r="D42">
            <v>9062264.5999999996</v>
          </cell>
        </row>
        <row r="43">
          <cell r="B43" t="str">
            <v>Interest_ 0: 0</v>
          </cell>
          <cell r="C43">
            <v>11</v>
          </cell>
          <cell r="D43">
            <v>27062.18</v>
          </cell>
        </row>
        <row r="44">
          <cell r="B44" t="str">
            <v>Interest_ 1: 1</v>
          </cell>
          <cell r="C44">
            <v>371</v>
          </cell>
          <cell r="D44">
            <v>2904844.1799999974</v>
          </cell>
        </row>
        <row r="45">
          <cell r="B45" t="str">
            <v>Interest_ 2: 2</v>
          </cell>
          <cell r="C45">
            <v>2485</v>
          </cell>
          <cell r="D45">
            <v>32065234.899999991</v>
          </cell>
        </row>
        <row r="46">
          <cell r="B46" t="str">
            <v>Interest_ 3: 3</v>
          </cell>
          <cell r="C46">
            <v>1622</v>
          </cell>
          <cell r="D46">
            <v>24219235.079999965</v>
          </cell>
        </row>
        <row r="47">
          <cell r="B47" t="str">
            <v>Interest_ 4: 4</v>
          </cell>
          <cell r="C47">
            <v>2610</v>
          </cell>
          <cell r="D47">
            <v>45863185.859999992</v>
          </cell>
        </row>
        <row r="48">
          <cell r="B48" t="str">
            <v>Interest_ 5: 5</v>
          </cell>
          <cell r="C48">
            <v>4217</v>
          </cell>
          <cell r="D48">
            <v>84919609.870000184</v>
          </cell>
        </row>
        <row r="49">
          <cell r="B49" t="str">
            <v>Interest_ 6: 6</v>
          </cell>
          <cell r="C49">
            <v>5859</v>
          </cell>
          <cell r="D49">
            <v>119723936.04000016</v>
          </cell>
        </row>
        <row r="50">
          <cell r="B50" t="str">
            <v>Interest_ 7: 7</v>
          </cell>
          <cell r="C50">
            <v>9727</v>
          </cell>
          <cell r="D50">
            <v>177786926.09999999</v>
          </cell>
        </row>
        <row r="51">
          <cell r="B51" t="str">
            <v>Interest_ 8: 8</v>
          </cell>
          <cell r="C51">
            <v>9963</v>
          </cell>
          <cell r="D51">
            <v>195152730.70999968</v>
          </cell>
        </row>
        <row r="52">
          <cell r="B52" t="str">
            <v>Interest_ 9: 9</v>
          </cell>
          <cell r="C52">
            <v>5456</v>
          </cell>
          <cell r="D52">
            <v>84575833.680000126</v>
          </cell>
        </row>
        <row r="53">
          <cell r="B53" t="str">
            <v>Interest_10:10</v>
          </cell>
          <cell r="C53">
            <v>1575</v>
          </cell>
          <cell r="D53">
            <v>25396740.540000059</v>
          </cell>
        </row>
        <row r="54">
          <cell r="B54" t="str">
            <v>Interest_11:11</v>
          </cell>
          <cell r="C54">
            <v>336</v>
          </cell>
          <cell r="D54">
            <v>4824982.9299999988</v>
          </cell>
        </row>
        <row r="55">
          <cell r="B55" t="str">
            <v>Interest_12:12</v>
          </cell>
          <cell r="C55">
            <v>115</v>
          </cell>
          <cell r="D55">
            <v>1759113.8699999996</v>
          </cell>
        </row>
        <row r="56">
          <cell r="B56" t="str">
            <v>Interest_13:</v>
          </cell>
          <cell r="C56">
            <v>77</v>
          </cell>
          <cell r="D56">
            <v>780535.21999999951</v>
          </cell>
        </row>
        <row r="57">
          <cell r="B57" t="str">
            <v>OPB_     0:  1999</v>
          </cell>
          <cell r="C57">
            <v>1257</v>
          </cell>
          <cell r="D57">
            <v>1619797.8400000038</v>
          </cell>
        </row>
        <row r="58">
          <cell r="B58" t="str">
            <v>OPB_  2000:  3999</v>
          </cell>
          <cell r="C58">
            <v>3613</v>
          </cell>
          <cell r="D58">
            <v>10087041.029999841</v>
          </cell>
        </row>
        <row r="59">
          <cell r="B59" t="str">
            <v>OPB_  4000:  5999</v>
          </cell>
          <cell r="C59">
            <v>4272</v>
          </cell>
          <cell r="D59">
            <v>20837296.630000401</v>
          </cell>
        </row>
        <row r="60">
          <cell r="B60" t="str">
            <v>OPB_  6000:  7999</v>
          </cell>
          <cell r="C60">
            <v>3729</v>
          </cell>
          <cell r="D60">
            <v>25779666.980000198</v>
          </cell>
        </row>
        <row r="61">
          <cell r="B61" t="str">
            <v>OPB_  8000:  9999</v>
          </cell>
          <cell r="C61">
            <v>2653</v>
          </cell>
          <cell r="D61">
            <v>23365864.670000058</v>
          </cell>
        </row>
        <row r="62">
          <cell r="B62" t="str">
            <v>OPB_ 10000: 11999</v>
          </cell>
          <cell r="C62">
            <v>3673</v>
          </cell>
          <cell r="D62">
            <v>38910367.559999757</v>
          </cell>
        </row>
        <row r="63">
          <cell r="B63" t="str">
            <v>OPB_ 12000: 13999</v>
          </cell>
          <cell r="C63">
            <v>2298</v>
          </cell>
          <cell r="D63">
            <v>29515802.870000079</v>
          </cell>
        </row>
        <row r="64">
          <cell r="B64" t="str">
            <v>OPB_ 14000: 15999</v>
          </cell>
          <cell r="C64">
            <v>2436</v>
          </cell>
          <cell r="D64">
            <v>36669422.330000043</v>
          </cell>
        </row>
        <row r="65">
          <cell r="B65" t="str">
            <v>OPB_ 16000: 17999</v>
          </cell>
          <cell r="C65">
            <v>1590</v>
          </cell>
          <cell r="D65">
            <v>26931838.390000083</v>
          </cell>
        </row>
        <row r="66">
          <cell r="B66" t="str">
            <v>OPB_ 18000: 19999</v>
          </cell>
          <cell r="C66">
            <v>1500</v>
          </cell>
          <cell r="D66">
            <v>28328823.059999999</v>
          </cell>
        </row>
        <row r="67">
          <cell r="B67" t="str">
            <v>OPB_ 20000: 21999</v>
          </cell>
          <cell r="C67">
            <v>2168</v>
          </cell>
          <cell r="D67">
            <v>44822549.799999446</v>
          </cell>
        </row>
        <row r="68">
          <cell r="B68" t="str">
            <v>OPB_ 22000: 23999</v>
          </cell>
          <cell r="C68">
            <v>1197</v>
          </cell>
          <cell r="D68">
            <v>27470239.99000001</v>
          </cell>
        </row>
        <row r="69">
          <cell r="B69" t="str">
            <v>OPB_ 24000: 25999</v>
          </cell>
          <cell r="C69">
            <v>1446</v>
          </cell>
          <cell r="D69">
            <v>36004630.830000065</v>
          </cell>
        </row>
        <row r="70">
          <cell r="B70" t="str">
            <v>OPB_ 26000: 27999</v>
          </cell>
          <cell r="C70">
            <v>1223</v>
          </cell>
          <cell r="D70">
            <v>32813143.210000128</v>
          </cell>
        </row>
        <row r="71">
          <cell r="B71" t="str">
            <v>OPB_ 28000: 29999</v>
          </cell>
          <cell r="C71">
            <v>915</v>
          </cell>
          <cell r="D71">
            <v>26456033.579999998</v>
          </cell>
        </row>
        <row r="72">
          <cell r="B72" t="str">
            <v>OPB_ 30000: 31999</v>
          </cell>
          <cell r="C72">
            <v>1348</v>
          </cell>
          <cell r="D72">
            <v>41430452.609999932</v>
          </cell>
        </row>
        <row r="73">
          <cell r="B73" t="str">
            <v>OPB_ 32000: 33999</v>
          </cell>
          <cell r="C73">
            <v>781</v>
          </cell>
          <cell r="D73">
            <v>25709624.19000002</v>
          </cell>
        </row>
        <row r="74">
          <cell r="B74" t="str">
            <v>OPB_ 34000: 35999</v>
          </cell>
          <cell r="C74">
            <v>835</v>
          </cell>
          <cell r="D74">
            <v>29169583.290000029</v>
          </cell>
        </row>
        <row r="75">
          <cell r="B75" t="str">
            <v>OPB_ 36000: 37999</v>
          </cell>
          <cell r="C75">
            <v>752</v>
          </cell>
          <cell r="D75">
            <v>27741320.6399999</v>
          </cell>
        </row>
        <row r="76">
          <cell r="B76" t="str">
            <v>OPB_ 38000: 39999</v>
          </cell>
          <cell r="C76">
            <v>576</v>
          </cell>
          <cell r="D76">
            <v>22430815.879999965</v>
          </cell>
        </row>
        <row r="77">
          <cell r="B77" t="str">
            <v>OPB_ 40000: 41999</v>
          </cell>
          <cell r="C77">
            <v>870</v>
          </cell>
          <cell r="D77">
            <v>35529142.829999849</v>
          </cell>
        </row>
        <row r="78">
          <cell r="B78" t="str">
            <v>OPB_ 42000: 43999</v>
          </cell>
          <cell r="C78">
            <v>524</v>
          </cell>
          <cell r="D78">
            <v>22506442.270000007</v>
          </cell>
        </row>
        <row r="79">
          <cell r="B79" t="str">
            <v>OPB_ 44000: 45999</v>
          </cell>
          <cell r="C79">
            <v>536</v>
          </cell>
          <cell r="D79">
            <v>24101403.609999999</v>
          </cell>
        </row>
        <row r="80">
          <cell r="B80" t="str">
            <v>OPB_ 46000: 47999</v>
          </cell>
          <cell r="C80">
            <v>402</v>
          </cell>
          <cell r="D80">
            <v>18880089.049999978</v>
          </cell>
        </row>
        <row r="81">
          <cell r="B81" t="str">
            <v>OPB_ 48000: 49999</v>
          </cell>
          <cell r="C81">
            <v>359</v>
          </cell>
          <cell r="D81">
            <v>17562963.179999996</v>
          </cell>
        </row>
        <row r="82">
          <cell r="B82" t="str">
            <v>OPB_ 50000: 51999</v>
          </cell>
          <cell r="C82">
            <v>535</v>
          </cell>
          <cell r="D82">
            <v>26999824.619999982</v>
          </cell>
        </row>
        <row r="83">
          <cell r="B83" t="str">
            <v>OPB_ 52000: 53999</v>
          </cell>
          <cell r="C83">
            <v>355</v>
          </cell>
          <cell r="D83">
            <v>18750575.590000022</v>
          </cell>
        </row>
        <row r="84">
          <cell r="B84" t="str">
            <v>OPB_ 54000: 55999</v>
          </cell>
          <cell r="C84">
            <v>319</v>
          </cell>
          <cell r="D84">
            <v>17544572.91</v>
          </cell>
        </row>
        <row r="85">
          <cell r="B85" t="str">
            <v>OPB_ 56000: 57999</v>
          </cell>
          <cell r="C85">
            <v>243</v>
          </cell>
          <cell r="D85">
            <v>13840817.789999979</v>
          </cell>
        </row>
        <row r="86">
          <cell r="B86" t="str">
            <v>OPB_ 58000: 59999</v>
          </cell>
          <cell r="C86">
            <v>198</v>
          </cell>
          <cell r="D86">
            <v>11665521.75</v>
          </cell>
        </row>
        <row r="87">
          <cell r="B87" t="str">
            <v>OPB_ 60000: 61999</v>
          </cell>
          <cell r="C87">
            <v>273</v>
          </cell>
          <cell r="D87">
            <v>16552912.020000003</v>
          </cell>
        </row>
        <row r="88">
          <cell r="B88" t="str">
            <v>OPB_ 62000: 63999</v>
          </cell>
          <cell r="C88">
            <v>185</v>
          </cell>
          <cell r="D88">
            <v>11638394.860000014</v>
          </cell>
        </row>
        <row r="89">
          <cell r="B89" t="str">
            <v>OPB_ 64000: 65999</v>
          </cell>
          <cell r="C89">
            <v>188</v>
          </cell>
          <cell r="D89">
            <v>12214149.200000007</v>
          </cell>
        </row>
        <row r="90">
          <cell r="B90" t="str">
            <v>OPB_ 66000: 67999</v>
          </cell>
          <cell r="C90">
            <v>125</v>
          </cell>
          <cell r="D90">
            <v>8378709.1700000018</v>
          </cell>
        </row>
        <row r="91">
          <cell r="B91" t="str">
            <v>OPB_ 68000: 69999</v>
          </cell>
          <cell r="C91">
            <v>141</v>
          </cell>
          <cell r="D91">
            <v>9714113.8099999968</v>
          </cell>
        </row>
        <row r="92">
          <cell r="B92" t="str">
            <v>OPB_ 70000: 71999</v>
          </cell>
          <cell r="C92">
            <v>138</v>
          </cell>
          <cell r="D92">
            <v>9762533.8100000024</v>
          </cell>
        </row>
        <row r="93">
          <cell r="B93" t="str">
            <v>OPB_ 72000: 73999</v>
          </cell>
          <cell r="C93">
            <v>129</v>
          </cell>
          <cell r="D93">
            <v>9409149.3299999982</v>
          </cell>
        </row>
        <row r="94">
          <cell r="B94" t="str">
            <v>OPB_ 74000: 75999</v>
          </cell>
          <cell r="C94">
            <v>195</v>
          </cell>
          <cell r="D94">
            <v>14617890.269999998</v>
          </cell>
        </row>
        <row r="95">
          <cell r="B95" t="str">
            <v>OPB_ 76000: 77999</v>
          </cell>
          <cell r="C95">
            <v>77</v>
          </cell>
          <cell r="D95">
            <v>5938497.4900000002</v>
          </cell>
        </row>
        <row r="96">
          <cell r="B96" t="str">
            <v>OPB_ 78000: 79999</v>
          </cell>
          <cell r="C96">
            <v>111</v>
          </cell>
          <cell r="D96">
            <v>8735619.8499999922</v>
          </cell>
        </row>
        <row r="97">
          <cell r="B97" t="str">
            <v>OPB_ 80000: 81999</v>
          </cell>
          <cell r="C97">
            <v>68</v>
          </cell>
          <cell r="D97">
            <v>5503764.8399999989</v>
          </cell>
        </row>
        <row r="98">
          <cell r="B98" t="str">
            <v>OPB_ 82000: 83999</v>
          </cell>
          <cell r="C98">
            <v>60</v>
          </cell>
          <cell r="D98">
            <v>4980930.4699999988</v>
          </cell>
        </row>
        <row r="99">
          <cell r="B99" t="str">
            <v>OPB_ 84000: 85999</v>
          </cell>
          <cell r="C99">
            <v>44</v>
          </cell>
          <cell r="D99">
            <v>3740346.5099999993</v>
          </cell>
        </row>
        <row r="100">
          <cell r="B100" t="str">
            <v>OPB_ 86000: 87999</v>
          </cell>
          <cell r="C100">
            <v>22</v>
          </cell>
          <cell r="D100">
            <v>1909338.97</v>
          </cell>
        </row>
        <row r="101">
          <cell r="B101" t="str">
            <v>OPB_ 88000: 89999</v>
          </cell>
          <cell r="C101">
            <v>18</v>
          </cell>
          <cell r="D101">
            <v>1600431.3199999998</v>
          </cell>
        </row>
        <row r="102">
          <cell r="B102" t="str">
            <v>OPB_ 90000: 91999</v>
          </cell>
          <cell r="C102">
            <v>11</v>
          </cell>
          <cell r="D102">
            <v>998825.27</v>
          </cell>
        </row>
        <row r="103">
          <cell r="B103" t="str">
            <v>OPB_ 92000: 93999</v>
          </cell>
          <cell r="C103">
            <v>4</v>
          </cell>
          <cell r="D103">
            <v>372252.13999999996</v>
          </cell>
        </row>
        <row r="104">
          <cell r="B104" t="str">
            <v>OPB_ 94000: 95999</v>
          </cell>
          <cell r="C104">
            <v>8</v>
          </cell>
          <cell r="D104">
            <v>758784.81</v>
          </cell>
        </row>
        <row r="105">
          <cell r="B105" t="str">
            <v>OPB_ 96000: 97999</v>
          </cell>
          <cell r="C105">
            <v>3</v>
          </cell>
          <cell r="D105">
            <v>288686.57999999996</v>
          </cell>
        </row>
        <row r="106">
          <cell r="B106" t="str">
            <v>OPB_ 98000: 99999</v>
          </cell>
          <cell r="C106">
            <v>2</v>
          </cell>
          <cell r="D106">
            <v>198134.5</v>
          </cell>
        </row>
        <row r="107">
          <cell r="B107" t="str">
            <v>OPB_100000:</v>
          </cell>
          <cell r="C107">
            <v>19</v>
          </cell>
          <cell r="D107">
            <v>2120154.9800000004</v>
          </cell>
        </row>
        <row r="108">
          <cell r="B108" t="str">
            <v>borrower_1</v>
          </cell>
          <cell r="C108">
            <v>1</v>
          </cell>
          <cell r="D108">
            <v>127237.92</v>
          </cell>
        </row>
        <row r="109">
          <cell r="B109" t="str">
            <v>borrower_10</v>
          </cell>
          <cell r="C109">
            <v>1</v>
          </cell>
          <cell r="D109">
            <v>99411.839999999997</v>
          </cell>
        </row>
        <row r="110">
          <cell r="B110" t="str">
            <v>borrower_11</v>
          </cell>
          <cell r="C110">
            <v>2</v>
          </cell>
          <cell r="D110">
            <v>99083.17</v>
          </cell>
        </row>
        <row r="111">
          <cell r="B111" t="str">
            <v>borrower_12</v>
          </cell>
          <cell r="C111">
            <v>1</v>
          </cell>
          <cell r="D111">
            <v>97676.91</v>
          </cell>
        </row>
        <row r="112">
          <cell r="B112" t="str">
            <v>borrower_13</v>
          </cell>
          <cell r="C112">
            <v>1</v>
          </cell>
          <cell r="D112">
            <v>93103.86</v>
          </cell>
        </row>
        <row r="113">
          <cell r="B113" t="str">
            <v>borrower_14</v>
          </cell>
          <cell r="C113">
            <v>1</v>
          </cell>
          <cell r="D113">
            <v>92585.73</v>
          </cell>
        </row>
        <row r="114">
          <cell r="B114" t="str">
            <v>borrower_15</v>
          </cell>
          <cell r="C114">
            <v>1</v>
          </cell>
          <cell r="D114">
            <v>91800.3</v>
          </cell>
        </row>
        <row r="115">
          <cell r="B115" t="str">
            <v>borrower_16</v>
          </cell>
          <cell r="C115">
            <v>1</v>
          </cell>
          <cell r="D115">
            <v>91468.17</v>
          </cell>
        </row>
        <row r="116">
          <cell r="B116" t="str">
            <v>borrower_17</v>
          </cell>
          <cell r="C116">
            <v>1</v>
          </cell>
          <cell r="D116">
            <v>91404.74</v>
          </cell>
        </row>
        <row r="117">
          <cell r="B117" t="str">
            <v>borrower_18</v>
          </cell>
          <cell r="C117">
            <v>1</v>
          </cell>
          <cell r="D117">
            <v>90906.21</v>
          </cell>
        </row>
        <row r="118">
          <cell r="B118" t="str">
            <v>borrower_19</v>
          </cell>
          <cell r="C118">
            <v>1</v>
          </cell>
          <cell r="D118">
            <v>90466.64</v>
          </cell>
        </row>
        <row r="119">
          <cell r="B119" t="str">
            <v>borrower_2</v>
          </cell>
          <cell r="C119">
            <v>1</v>
          </cell>
          <cell r="D119">
            <v>124476.48</v>
          </cell>
        </row>
        <row r="120">
          <cell r="B120" t="str">
            <v>borrower_20</v>
          </cell>
          <cell r="C120">
            <v>1</v>
          </cell>
          <cell r="D120">
            <v>90407.7</v>
          </cell>
        </row>
        <row r="121">
          <cell r="B121" t="str">
            <v>borrower_21</v>
          </cell>
          <cell r="C121">
            <v>2</v>
          </cell>
          <cell r="D121">
            <v>89734.709999999992</v>
          </cell>
        </row>
        <row r="122">
          <cell r="B122" t="str">
            <v>borrower_22</v>
          </cell>
          <cell r="C122">
            <v>1</v>
          </cell>
          <cell r="D122">
            <v>89240.86</v>
          </cell>
        </row>
        <row r="123">
          <cell r="B123" t="str">
            <v>borrower_23</v>
          </cell>
          <cell r="C123">
            <v>1</v>
          </cell>
          <cell r="D123">
            <v>88754.4</v>
          </cell>
        </row>
        <row r="124">
          <cell r="B124" t="str">
            <v>borrower_24</v>
          </cell>
          <cell r="C124">
            <v>1</v>
          </cell>
          <cell r="D124">
            <v>87644.78</v>
          </cell>
        </row>
        <row r="125">
          <cell r="B125" t="str">
            <v>borrower_25</v>
          </cell>
          <cell r="C125">
            <v>1</v>
          </cell>
          <cell r="D125">
            <v>87326.36</v>
          </cell>
        </row>
        <row r="126">
          <cell r="B126" t="str">
            <v>borrower_3</v>
          </cell>
          <cell r="C126">
            <v>1</v>
          </cell>
          <cell r="D126">
            <v>108710</v>
          </cell>
        </row>
        <row r="127">
          <cell r="B127" t="str">
            <v>borrower_4</v>
          </cell>
          <cell r="C127">
            <v>1</v>
          </cell>
          <cell r="D127">
            <v>108054.3</v>
          </cell>
        </row>
        <row r="128">
          <cell r="B128" t="str">
            <v>borrower_5</v>
          </cell>
          <cell r="C128">
            <v>1</v>
          </cell>
          <cell r="D128">
            <v>106435.85</v>
          </cell>
        </row>
        <row r="129">
          <cell r="B129" t="str">
            <v>borrower_6</v>
          </cell>
          <cell r="C129">
            <v>1</v>
          </cell>
          <cell r="D129">
            <v>104660.01</v>
          </cell>
        </row>
        <row r="130">
          <cell r="B130" t="str">
            <v>borrower_7</v>
          </cell>
          <cell r="C130">
            <v>1</v>
          </cell>
          <cell r="D130">
            <v>104055.35</v>
          </cell>
        </row>
        <row r="131">
          <cell r="B131" t="str">
            <v>borrower_8</v>
          </cell>
          <cell r="C131">
            <v>1</v>
          </cell>
          <cell r="D131">
            <v>102699.93</v>
          </cell>
        </row>
        <row r="132">
          <cell r="B132" t="str">
            <v>borrower_9</v>
          </cell>
          <cell r="C132">
            <v>1</v>
          </cell>
          <cell r="D132">
            <v>101587.59</v>
          </cell>
        </row>
        <row r="133">
          <cell r="B133" t="str">
            <v>collateral_secured</v>
          </cell>
          <cell r="C133">
            <v>280</v>
          </cell>
          <cell r="D133">
            <v>9929247.1899999976</v>
          </cell>
        </row>
        <row r="134">
          <cell r="B134" t="str">
            <v>collateral_unsecured</v>
          </cell>
          <cell r="C134">
            <v>44144</v>
          </cell>
          <cell r="D134">
            <v>790070723.97000301</v>
          </cell>
        </row>
        <row r="135">
          <cell r="B135" t="str">
            <v>geo_Baden-Wuerttemberg</v>
          </cell>
          <cell r="C135">
            <v>5755</v>
          </cell>
          <cell r="D135">
            <v>111690783.93000025</v>
          </cell>
        </row>
        <row r="136">
          <cell r="B136" t="str">
            <v>geo_Bavaria</v>
          </cell>
          <cell r="C136">
            <v>6017</v>
          </cell>
          <cell r="D136">
            <v>108211802.04000004</v>
          </cell>
        </row>
        <row r="137">
          <cell r="B137" t="str">
            <v>geo_Berlin</v>
          </cell>
          <cell r="C137">
            <v>1819</v>
          </cell>
          <cell r="D137">
            <v>34846504.830000021</v>
          </cell>
        </row>
        <row r="138">
          <cell r="B138" t="str">
            <v>geo_Brandenburg</v>
          </cell>
          <cell r="C138">
            <v>1702</v>
          </cell>
          <cell r="D138">
            <v>29152935.899999958</v>
          </cell>
        </row>
        <row r="139">
          <cell r="B139" t="str">
            <v>geo_Bremen</v>
          </cell>
          <cell r="C139">
            <v>414</v>
          </cell>
          <cell r="D139">
            <v>7556340.4799999977</v>
          </cell>
        </row>
        <row r="140">
          <cell r="B140" t="str">
            <v>geo_Hamburg</v>
          </cell>
          <cell r="C140">
            <v>845</v>
          </cell>
          <cell r="D140">
            <v>16104530.800000006</v>
          </cell>
        </row>
        <row r="141">
          <cell r="B141" t="str">
            <v>geo_Hesse</v>
          </cell>
          <cell r="C141">
            <v>3064</v>
          </cell>
          <cell r="D141">
            <v>57637527.129999943</v>
          </cell>
        </row>
        <row r="142">
          <cell r="B142" t="str">
            <v>geo_Lower Saxony</v>
          </cell>
          <cell r="C142">
            <v>4543</v>
          </cell>
          <cell r="D142">
            <v>82281476.620000005</v>
          </cell>
        </row>
        <row r="143">
          <cell r="B143" t="str">
            <v>geo_Mecklenburg-Western Pomerania</v>
          </cell>
          <cell r="C143">
            <v>1251</v>
          </cell>
          <cell r="D143">
            <v>21733031.170000009</v>
          </cell>
        </row>
        <row r="144">
          <cell r="B144" t="str">
            <v>geo_North Rhine-Westphalia</v>
          </cell>
          <cell r="C144">
            <v>9884</v>
          </cell>
          <cell r="D144">
            <v>177086939.2799992</v>
          </cell>
        </row>
        <row r="145">
          <cell r="B145" t="str">
            <v>geo_Rhineland-Palatinate</v>
          </cell>
          <cell r="C145">
            <v>2174</v>
          </cell>
          <cell r="D145">
            <v>39764346.7999999</v>
          </cell>
        </row>
        <row r="146">
          <cell r="B146" t="str">
            <v>geo_Saarland</v>
          </cell>
          <cell r="C146">
            <v>664</v>
          </cell>
          <cell r="D146">
            <v>11002902.350000007</v>
          </cell>
        </row>
        <row r="147">
          <cell r="B147" t="str">
            <v>geo_Saxonia</v>
          </cell>
          <cell r="C147">
            <v>1943</v>
          </cell>
          <cell r="D147">
            <v>31250991.640000064</v>
          </cell>
        </row>
        <row r="148">
          <cell r="B148" t="str">
            <v>geo_Saxony-Anhalt</v>
          </cell>
          <cell r="C148">
            <v>1531</v>
          </cell>
          <cell r="D148">
            <v>23942576.800000023</v>
          </cell>
        </row>
        <row r="149">
          <cell r="B149" t="str">
            <v>geo_Schleswig-Holstein</v>
          </cell>
          <cell r="C149">
            <v>1560</v>
          </cell>
          <cell r="D149">
            <v>26400763.07</v>
          </cell>
        </row>
        <row r="150">
          <cell r="B150" t="str">
            <v>geo_Thuringia</v>
          </cell>
          <cell r="C150">
            <v>1247</v>
          </cell>
          <cell r="D150">
            <v>21096457.660000023</v>
          </cell>
        </row>
        <row r="151">
          <cell r="B151" t="str">
            <v>geo_n/a</v>
          </cell>
          <cell r="C151">
            <v>11</v>
          </cell>
          <cell r="D151">
            <v>240060.66000000003</v>
          </cell>
        </row>
        <row r="152">
          <cell r="B152" t="str">
            <v>insurance_no</v>
          </cell>
          <cell r="C152">
            <v>17338</v>
          </cell>
          <cell r="D152">
            <v>249249745.26999924</v>
          </cell>
        </row>
        <row r="153">
          <cell r="B153" t="str">
            <v>insurance_yes</v>
          </cell>
          <cell r="C153">
            <v>27086</v>
          </cell>
          <cell r="D153">
            <v>550750225.88999844</v>
          </cell>
        </row>
        <row r="154">
          <cell r="B154" t="str">
            <v>interest_wa interest</v>
          </cell>
          <cell r="C154">
            <v>44424</v>
          </cell>
          <cell r="D154">
            <v>7.4776200673639118E-2</v>
          </cell>
        </row>
        <row r="155">
          <cell r="B155" t="str">
            <v>loanconc_ 1: 1</v>
          </cell>
          <cell r="C155">
            <v>43577</v>
          </cell>
          <cell r="D155">
            <v>790472036.92999709</v>
          </cell>
        </row>
        <row r="156">
          <cell r="B156" t="str">
            <v>loanconc_ 2: 2</v>
          </cell>
          <cell r="C156">
            <v>419</v>
          </cell>
          <cell r="D156">
            <v>9476096.4200000074</v>
          </cell>
        </row>
        <row r="157">
          <cell r="B157" t="str">
            <v>loanconc_ 3: 3</v>
          </cell>
          <cell r="C157">
            <v>3</v>
          </cell>
          <cell r="D157">
            <v>51837.81</v>
          </cell>
        </row>
        <row r="158">
          <cell r="B158" t="str">
            <v>loanconc_ 4: 4</v>
          </cell>
          <cell r="C158">
            <v>0</v>
          </cell>
          <cell r="D158">
            <v>0</v>
          </cell>
        </row>
        <row r="159">
          <cell r="B159" t="str">
            <v>loanconc_ 5: 5</v>
          </cell>
          <cell r="C159">
            <v>0</v>
          </cell>
          <cell r="D159">
            <v>0</v>
          </cell>
        </row>
        <row r="160">
          <cell r="B160" t="str">
            <v>loanconc_ 6: 6</v>
          </cell>
          <cell r="C160">
            <v>0</v>
          </cell>
          <cell r="D160">
            <v>0</v>
          </cell>
        </row>
        <row r="161">
          <cell r="B161" t="str">
            <v>loanconc_ 7:</v>
          </cell>
          <cell r="C161">
            <v>0</v>
          </cell>
          <cell r="D161">
            <v>0</v>
          </cell>
        </row>
        <row r="162">
          <cell r="B162" t="str">
            <v>origterm_ 14: 20</v>
          </cell>
          <cell r="C162">
            <v>511</v>
          </cell>
          <cell r="D162">
            <v>859148.61000000022</v>
          </cell>
        </row>
        <row r="163">
          <cell r="B163" t="str">
            <v>origterm_ 21: 27</v>
          </cell>
          <cell r="C163">
            <v>1429</v>
          </cell>
          <cell r="D163">
            <v>3422524.849999995</v>
          </cell>
        </row>
        <row r="164">
          <cell r="B164" t="str">
            <v>origterm_ 28: 34</v>
          </cell>
          <cell r="C164">
            <v>227</v>
          </cell>
          <cell r="D164">
            <v>1078454.1600000004</v>
          </cell>
        </row>
        <row r="165">
          <cell r="B165" t="str">
            <v>origterm_ 35: 41</v>
          </cell>
          <cell r="C165">
            <v>2174</v>
          </cell>
          <cell r="D165">
            <v>9723731.7299999967</v>
          </cell>
        </row>
        <row r="166">
          <cell r="B166" t="str">
            <v>origterm_ 42: 48</v>
          </cell>
          <cell r="C166">
            <v>396</v>
          </cell>
          <cell r="D166">
            <v>3253703.9999999981</v>
          </cell>
        </row>
        <row r="167">
          <cell r="B167" t="str">
            <v>origterm_ 49: 55</v>
          </cell>
          <cell r="C167">
            <v>2820</v>
          </cell>
          <cell r="D167">
            <v>18713855.140000015</v>
          </cell>
        </row>
        <row r="168">
          <cell r="B168" t="str">
            <v>origterm_ 56: 62</v>
          </cell>
          <cell r="C168">
            <v>3007</v>
          </cell>
          <cell r="D168">
            <v>29338724.679999966</v>
          </cell>
        </row>
        <row r="169">
          <cell r="B169" t="str">
            <v>origterm_ 63: 69</v>
          </cell>
          <cell r="C169">
            <v>454</v>
          </cell>
          <cell r="D169">
            <v>6461157.8800000027</v>
          </cell>
        </row>
        <row r="170">
          <cell r="B170" t="str">
            <v>origterm_ 70: 76</v>
          </cell>
          <cell r="C170">
            <v>2691</v>
          </cell>
          <cell r="D170">
            <v>35521895.410000041</v>
          </cell>
        </row>
        <row r="171">
          <cell r="B171" t="str">
            <v>origterm_ 77: 83</v>
          </cell>
          <cell r="C171">
            <v>501</v>
          </cell>
          <cell r="D171">
            <v>10224906.449999997</v>
          </cell>
        </row>
        <row r="172">
          <cell r="B172" t="str">
            <v>origterm_ 84: 90</v>
          </cell>
          <cell r="C172">
            <v>5931</v>
          </cell>
          <cell r="D172">
            <v>90065040.270000085</v>
          </cell>
        </row>
        <row r="173">
          <cell r="B173" t="str">
            <v>origterm_ 91: 97</v>
          </cell>
          <cell r="C173">
            <v>18529</v>
          </cell>
          <cell r="D173">
            <v>449089412.41000015</v>
          </cell>
        </row>
        <row r="174">
          <cell r="B174" t="str">
            <v>origterm_ 98:104</v>
          </cell>
          <cell r="C174">
            <v>5259</v>
          </cell>
          <cell r="D174">
            <v>141599306.45000008</v>
          </cell>
        </row>
        <row r="175">
          <cell r="B175" t="str">
            <v>origterm_0: 13</v>
          </cell>
          <cell r="C175">
            <v>488</v>
          </cell>
          <cell r="D175">
            <v>518490.38</v>
          </cell>
        </row>
        <row r="176">
          <cell r="B176" t="str">
            <v>origterm_105:111</v>
          </cell>
          <cell r="C176">
            <v>7</v>
          </cell>
          <cell r="D176">
            <v>129618.73999999999</v>
          </cell>
        </row>
        <row r="177">
          <cell r="B177" t="str">
            <v>origterm_112:</v>
          </cell>
          <cell r="C177">
            <v>0</v>
          </cell>
          <cell r="D177">
            <v>0</v>
          </cell>
        </row>
        <row r="178">
          <cell r="B178" t="str">
            <v>origterm_wa original term</v>
          </cell>
          <cell r="C178">
            <v>44424</v>
          </cell>
          <cell r="D178">
            <v>90.397520097431197</v>
          </cell>
        </row>
        <row r="179">
          <cell r="B179" t="str">
            <v>payment_15th of month</v>
          </cell>
          <cell r="C179">
            <v>10945</v>
          </cell>
          <cell r="D179">
            <v>189682475.17000028</v>
          </cell>
        </row>
        <row r="180">
          <cell r="B180" t="str">
            <v>payment_1st of month</v>
          </cell>
          <cell r="C180">
            <v>33479</v>
          </cell>
          <cell r="D180">
            <v>610317495.98999953</v>
          </cell>
        </row>
        <row r="181">
          <cell r="B181" t="str">
            <v>payment_direct debit</v>
          </cell>
          <cell r="C181">
            <v>43912</v>
          </cell>
          <cell r="D181">
            <v>791060419.27000201</v>
          </cell>
        </row>
        <row r="182">
          <cell r="B182" t="str">
            <v>payment_other</v>
          </cell>
          <cell r="C182">
            <v>512</v>
          </cell>
          <cell r="D182">
            <v>8939551.889999995</v>
          </cell>
        </row>
        <row r="183">
          <cell r="B183" t="str">
            <v>period_1</v>
          </cell>
          <cell r="C183">
            <v>44424</v>
          </cell>
          <cell r="D183">
            <v>799999971.16000187</v>
          </cell>
        </row>
        <row r="184">
          <cell r="B184" t="str">
            <v>period_10</v>
          </cell>
          <cell r="C184">
            <v>43188</v>
          </cell>
          <cell r="D184">
            <v>720465332.77999997</v>
          </cell>
        </row>
        <row r="185">
          <cell r="B185" t="str">
            <v>period_100</v>
          </cell>
          <cell r="C185">
            <v>0</v>
          </cell>
          <cell r="D185">
            <v>0</v>
          </cell>
        </row>
        <row r="186">
          <cell r="B186" t="str">
            <v>period_101</v>
          </cell>
          <cell r="C186">
            <v>0</v>
          </cell>
          <cell r="D186">
            <v>0</v>
          </cell>
        </row>
        <row r="187">
          <cell r="B187" t="str">
            <v>period_11</v>
          </cell>
          <cell r="C187">
            <v>43070</v>
          </cell>
          <cell r="D187">
            <v>711494218.55999994</v>
          </cell>
        </row>
        <row r="188">
          <cell r="B188" t="str">
            <v>period_12</v>
          </cell>
          <cell r="C188">
            <v>42931</v>
          </cell>
          <cell r="D188">
            <v>702492789.62</v>
          </cell>
        </row>
        <row r="189">
          <cell r="B189" t="str">
            <v>period_13</v>
          </cell>
          <cell r="C189">
            <v>42787</v>
          </cell>
          <cell r="D189">
            <v>693461783.25999999</v>
          </cell>
        </row>
        <row r="190">
          <cell r="B190" t="str">
            <v>period_14</v>
          </cell>
          <cell r="C190">
            <v>42640</v>
          </cell>
          <cell r="D190">
            <v>684401836.83000004</v>
          </cell>
        </row>
        <row r="191">
          <cell r="B191" t="str">
            <v>period_15</v>
          </cell>
          <cell r="C191">
            <v>42477</v>
          </cell>
          <cell r="D191">
            <v>675314054.16999996</v>
          </cell>
        </row>
        <row r="192">
          <cell r="B192" t="str">
            <v>period_16</v>
          </cell>
          <cell r="C192">
            <v>42384</v>
          </cell>
          <cell r="D192">
            <v>666201106.63</v>
          </cell>
        </row>
        <row r="193">
          <cell r="B193" t="str">
            <v>period_17</v>
          </cell>
          <cell r="C193">
            <v>42218</v>
          </cell>
          <cell r="D193">
            <v>657049128.16999996</v>
          </cell>
        </row>
        <row r="194">
          <cell r="B194" t="str">
            <v>period_18</v>
          </cell>
          <cell r="C194">
            <v>42036</v>
          </cell>
          <cell r="D194">
            <v>647873593.94000006</v>
          </cell>
        </row>
        <row r="195">
          <cell r="B195" t="str">
            <v>period_19</v>
          </cell>
          <cell r="C195">
            <v>41843</v>
          </cell>
          <cell r="D195">
            <v>638676346.16999996</v>
          </cell>
        </row>
        <row r="196">
          <cell r="B196" t="str">
            <v>period_2</v>
          </cell>
          <cell r="C196">
            <v>44227</v>
          </cell>
          <cell r="D196">
            <v>791285808.84000003</v>
          </cell>
        </row>
        <row r="197">
          <cell r="B197" t="str">
            <v>period_20</v>
          </cell>
          <cell r="C197">
            <v>41650</v>
          </cell>
          <cell r="D197">
            <v>629463638.88999999</v>
          </cell>
        </row>
        <row r="198">
          <cell r="B198" t="str">
            <v>period_21</v>
          </cell>
          <cell r="C198">
            <v>41414</v>
          </cell>
          <cell r="D198">
            <v>620231428.51999998</v>
          </cell>
        </row>
        <row r="199">
          <cell r="B199" t="str">
            <v>period_22</v>
          </cell>
          <cell r="C199">
            <v>41287</v>
          </cell>
          <cell r="D199">
            <v>610987091.20000005</v>
          </cell>
        </row>
        <row r="200">
          <cell r="B200" t="str">
            <v>period_23</v>
          </cell>
          <cell r="C200">
            <v>41141</v>
          </cell>
          <cell r="D200">
            <v>601707647.58000004</v>
          </cell>
        </row>
        <row r="201">
          <cell r="B201" t="str">
            <v>period_24</v>
          </cell>
          <cell r="C201">
            <v>40978</v>
          </cell>
          <cell r="D201">
            <v>592400596.88999999</v>
          </cell>
        </row>
        <row r="202">
          <cell r="B202" t="str">
            <v>period_25</v>
          </cell>
          <cell r="C202">
            <v>40847</v>
          </cell>
          <cell r="D202">
            <v>583070062.77999997</v>
          </cell>
        </row>
        <row r="203">
          <cell r="B203" t="str">
            <v>period_26</v>
          </cell>
          <cell r="C203">
            <v>40667</v>
          </cell>
          <cell r="D203">
            <v>573707310.12</v>
          </cell>
        </row>
        <row r="204">
          <cell r="B204" t="str">
            <v>period_27</v>
          </cell>
          <cell r="C204">
            <v>40456</v>
          </cell>
          <cell r="D204">
            <v>564321062.13</v>
          </cell>
        </row>
        <row r="205">
          <cell r="B205" t="str">
            <v>period_28</v>
          </cell>
          <cell r="C205">
            <v>40317</v>
          </cell>
          <cell r="D205">
            <v>554915564.36000001</v>
          </cell>
        </row>
        <row r="206">
          <cell r="B206" t="str">
            <v>period_29</v>
          </cell>
          <cell r="C206">
            <v>40095</v>
          </cell>
          <cell r="D206">
            <v>545480490.88999999</v>
          </cell>
        </row>
        <row r="207">
          <cell r="B207" t="str">
            <v>period_3</v>
          </cell>
          <cell r="C207">
            <v>44087</v>
          </cell>
          <cell r="D207">
            <v>782527437.53999996</v>
          </cell>
        </row>
        <row r="208">
          <cell r="B208" t="str">
            <v>period_30</v>
          </cell>
          <cell r="C208">
            <v>39820</v>
          </cell>
          <cell r="D208">
            <v>536033656.30000001</v>
          </cell>
        </row>
        <row r="209">
          <cell r="B209" t="str">
            <v>period_31</v>
          </cell>
          <cell r="C209">
            <v>39543</v>
          </cell>
          <cell r="D209">
            <v>526583074.26999998</v>
          </cell>
        </row>
        <row r="210">
          <cell r="B210" t="str">
            <v>period_32</v>
          </cell>
          <cell r="C210">
            <v>39256</v>
          </cell>
          <cell r="D210">
            <v>517131099.41000003</v>
          </cell>
        </row>
        <row r="211">
          <cell r="B211" t="str">
            <v>period_33</v>
          </cell>
          <cell r="C211">
            <v>38867</v>
          </cell>
          <cell r="D211">
            <v>507687272.44999999</v>
          </cell>
        </row>
        <row r="212">
          <cell r="B212" t="str">
            <v>period_34</v>
          </cell>
          <cell r="C212">
            <v>38681</v>
          </cell>
          <cell r="D212">
            <v>498261341.26999998</v>
          </cell>
        </row>
        <row r="213">
          <cell r="B213" t="str">
            <v>period_35</v>
          </cell>
          <cell r="C213">
            <v>38503</v>
          </cell>
          <cell r="D213">
            <v>488816023.19</v>
          </cell>
        </row>
        <row r="214">
          <cell r="B214" t="str">
            <v>period_36</v>
          </cell>
          <cell r="C214">
            <v>38324</v>
          </cell>
          <cell r="D214">
            <v>479348888.33999997</v>
          </cell>
        </row>
        <row r="215">
          <cell r="B215" t="str">
            <v>period_37</v>
          </cell>
          <cell r="C215">
            <v>38130</v>
          </cell>
          <cell r="D215">
            <v>469857272.42000002</v>
          </cell>
        </row>
        <row r="216">
          <cell r="B216" t="str">
            <v>period_38</v>
          </cell>
          <cell r="C216">
            <v>37916</v>
          </cell>
          <cell r="D216">
            <v>460341935.85000002</v>
          </cell>
        </row>
        <row r="217">
          <cell r="B217" t="str">
            <v>period_39</v>
          </cell>
          <cell r="C217">
            <v>37721</v>
          </cell>
          <cell r="D217">
            <v>450813348.47000003</v>
          </cell>
        </row>
        <row r="218">
          <cell r="B218" t="str">
            <v>period_4</v>
          </cell>
          <cell r="C218">
            <v>43992</v>
          </cell>
          <cell r="D218">
            <v>773746496.67999995</v>
          </cell>
        </row>
        <row r="219">
          <cell r="B219" t="str">
            <v>period_40</v>
          </cell>
          <cell r="C219">
            <v>37562</v>
          </cell>
          <cell r="D219">
            <v>441275560.38</v>
          </cell>
        </row>
        <row r="220">
          <cell r="B220" t="str">
            <v>period_41</v>
          </cell>
          <cell r="C220">
            <v>37242</v>
          </cell>
          <cell r="D220">
            <v>431715966.88</v>
          </cell>
        </row>
        <row r="221">
          <cell r="B221" t="str">
            <v>period_42</v>
          </cell>
          <cell r="C221">
            <v>36939</v>
          </cell>
          <cell r="D221">
            <v>422169875.64999998</v>
          </cell>
        </row>
        <row r="222">
          <cell r="B222" t="str">
            <v>period_43</v>
          </cell>
          <cell r="C222">
            <v>36587</v>
          </cell>
          <cell r="D222">
            <v>412627422.00999999</v>
          </cell>
        </row>
        <row r="223">
          <cell r="B223" t="str">
            <v>period_44</v>
          </cell>
          <cell r="C223">
            <v>36252</v>
          </cell>
          <cell r="D223">
            <v>403103998.97000003</v>
          </cell>
        </row>
        <row r="224">
          <cell r="B224" t="str">
            <v>period_45</v>
          </cell>
          <cell r="C224">
            <v>35782</v>
          </cell>
          <cell r="D224">
            <v>393594836.75</v>
          </cell>
        </row>
        <row r="225">
          <cell r="B225" t="str">
            <v>period_46</v>
          </cell>
          <cell r="C225">
            <v>35583</v>
          </cell>
          <cell r="D225">
            <v>384124472.12</v>
          </cell>
        </row>
        <row r="226">
          <cell r="B226" t="str">
            <v>period_47</v>
          </cell>
          <cell r="C226">
            <v>35402</v>
          </cell>
          <cell r="D226">
            <v>374643408.79000002</v>
          </cell>
        </row>
        <row r="227">
          <cell r="B227" t="str">
            <v>period_48</v>
          </cell>
          <cell r="C227">
            <v>35178</v>
          </cell>
          <cell r="D227">
            <v>365148142.10000002</v>
          </cell>
        </row>
        <row r="228">
          <cell r="B228" t="str">
            <v>period_49</v>
          </cell>
          <cell r="C228">
            <v>34983</v>
          </cell>
          <cell r="D228">
            <v>355645237.81999999</v>
          </cell>
        </row>
        <row r="229">
          <cell r="B229" t="str">
            <v>period_5</v>
          </cell>
          <cell r="C229">
            <v>43866</v>
          </cell>
          <cell r="D229">
            <v>764932053.83000004</v>
          </cell>
        </row>
        <row r="230">
          <cell r="B230" t="str">
            <v>period_50</v>
          </cell>
          <cell r="C230">
            <v>34772</v>
          </cell>
          <cell r="D230">
            <v>346131760.58999997</v>
          </cell>
        </row>
        <row r="231">
          <cell r="B231" t="str">
            <v>period_51</v>
          </cell>
          <cell r="C231">
            <v>34550</v>
          </cell>
          <cell r="D231">
            <v>336616051.72000003</v>
          </cell>
        </row>
        <row r="232">
          <cell r="B232" t="str">
            <v>period_52</v>
          </cell>
          <cell r="C232">
            <v>34377</v>
          </cell>
          <cell r="D232">
            <v>327097720.12</v>
          </cell>
        </row>
        <row r="233">
          <cell r="B233" t="str">
            <v>period_53</v>
          </cell>
          <cell r="C233">
            <v>34091</v>
          </cell>
          <cell r="D233">
            <v>317569820.19</v>
          </cell>
        </row>
        <row r="234">
          <cell r="B234" t="str">
            <v>period_54</v>
          </cell>
          <cell r="C234">
            <v>33729</v>
          </cell>
          <cell r="D234">
            <v>308054899.16000003</v>
          </cell>
        </row>
        <row r="235">
          <cell r="B235" t="str">
            <v>period_55</v>
          </cell>
          <cell r="C235">
            <v>33378</v>
          </cell>
          <cell r="D235">
            <v>298568248.92000002</v>
          </cell>
        </row>
        <row r="236">
          <cell r="B236" t="str">
            <v>period_56</v>
          </cell>
          <cell r="C236">
            <v>33002</v>
          </cell>
          <cell r="D236">
            <v>289110916.38</v>
          </cell>
        </row>
        <row r="237">
          <cell r="B237" t="str">
            <v>period_57</v>
          </cell>
          <cell r="C237">
            <v>32501</v>
          </cell>
          <cell r="D237">
            <v>279692510.48000002</v>
          </cell>
        </row>
        <row r="238">
          <cell r="B238" t="str">
            <v>period_58</v>
          </cell>
          <cell r="C238">
            <v>32326</v>
          </cell>
          <cell r="D238">
            <v>270331205.72000003</v>
          </cell>
        </row>
        <row r="239">
          <cell r="B239" t="str">
            <v>period_59</v>
          </cell>
          <cell r="C239">
            <v>32137</v>
          </cell>
          <cell r="D239">
            <v>260960461.94</v>
          </cell>
        </row>
        <row r="240">
          <cell r="B240" t="str">
            <v>period_6</v>
          </cell>
          <cell r="C240">
            <v>43708</v>
          </cell>
          <cell r="D240">
            <v>756086633.69000006</v>
          </cell>
        </row>
        <row r="241">
          <cell r="B241" t="str">
            <v>period_60</v>
          </cell>
          <cell r="C241">
            <v>31924</v>
          </cell>
          <cell r="D241">
            <v>251578306.53999999</v>
          </cell>
        </row>
        <row r="242">
          <cell r="B242" t="str">
            <v>period_61</v>
          </cell>
          <cell r="C242">
            <v>31719</v>
          </cell>
          <cell r="D242">
            <v>242194696.11000001</v>
          </cell>
        </row>
        <row r="243">
          <cell r="B243" t="str">
            <v>period_62</v>
          </cell>
          <cell r="C243">
            <v>31479</v>
          </cell>
          <cell r="D243">
            <v>232807606.06999999</v>
          </cell>
        </row>
        <row r="244">
          <cell r="B244" t="str">
            <v>period_63</v>
          </cell>
          <cell r="C244">
            <v>31238</v>
          </cell>
          <cell r="D244">
            <v>223424791.50999999</v>
          </cell>
        </row>
        <row r="245">
          <cell r="B245" t="str">
            <v>period_64</v>
          </cell>
          <cell r="C245">
            <v>31010</v>
          </cell>
          <cell r="D245">
            <v>214049465.44</v>
          </cell>
        </row>
        <row r="246">
          <cell r="B246" t="str">
            <v>period_65</v>
          </cell>
          <cell r="C246">
            <v>30680</v>
          </cell>
          <cell r="D246">
            <v>204676853.25999999</v>
          </cell>
        </row>
        <row r="247">
          <cell r="B247" t="str">
            <v>period_66</v>
          </cell>
          <cell r="C247">
            <v>30289</v>
          </cell>
          <cell r="D247">
            <v>195334688.16</v>
          </cell>
        </row>
        <row r="248">
          <cell r="B248" t="str">
            <v>period_67</v>
          </cell>
          <cell r="C248">
            <v>29857</v>
          </cell>
          <cell r="D248">
            <v>186037372.00999999</v>
          </cell>
        </row>
        <row r="249">
          <cell r="B249" t="str">
            <v>period_68</v>
          </cell>
          <cell r="C249">
            <v>29353</v>
          </cell>
          <cell r="D249">
            <v>176797941.19999999</v>
          </cell>
        </row>
        <row r="250">
          <cell r="B250" t="str">
            <v>period_69</v>
          </cell>
          <cell r="C250">
            <v>28735</v>
          </cell>
          <cell r="D250">
            <v>167641377.59</v>
          </cell>
        </row>
        <row r="251">
          <cell r="B251" t="str">
            <v>period_7</v>
          </cell>
          <cell r="C251">
            <v>43585</v>
          </cell>
          <cell r="D251">
            <v>747218252.76999998</v>
          </cell>
        </row>
        <row r="252">
          <cell r="B252" t="str">
            <v>period_70</v>
          </cell>
          <cell r="C252">
            <v>28448</v>
          </cell>
          <cell r="D252">
            <v>158584105.28999999</v>
          </cell>
        </row>
        <row r="253">
          <cell r="B253" t="str">
            <v>period_71</v>
          </cell>
          <cell r="C253">
            <v>28125</v>
          </cell>
          <cell r="D253">
            <v>149552084.77000001</v>
          </cell>
        </row>
        <row r="254">
          <cell r="B254" t="str">
            <v>period_72</v>
          </cell>
          <cell r="C254">
            <v>27688</v>
          </cell>
          <cell r="D254">
            <v>140551257.84</v>
          </cell>
        </row>
        <row r="255">
          <cell r="B255" t="str">
            <v>period_73</v>
          </cell>
          <cell r="C255">
            <v>27236</v>
          </cell>
          <cell r="D255">
            <v>131605833.55</v>
          </cell>
        </row>
        <row r="256">
          <cell r="B256" t="str">
            <v>period_74</v>
          </cell>
          <cell r="C256">
            <v>26727</v>
          </cell>
          <cell r="D256">
            <v>122722869.81999999</v>
          </cell>
        </row>
        <row r="257">
          <cell r="B257" t="str">
            <v>period_75</v>
          </cell>
          <cell r="C257">
            <v>26133</v>
          </cell>
          <cell r="D257">
            <v>113932534.90000001</v>
          </cell>
        </row>
        <row r="258">
          <cell r="B258" t="str">
            <v>period_76</v>
          </cell>
          <cell r="C258">
            <v>25791</v>
          </cell>
          <cell r="D258">
            <v>105267354.05</v>
          </cell>
        </row>
        <row r="259">
          <cell r="B259" t="str">
            <v>period_77</v>
          </cell>
          <cell r="C259">
            <v>25101</v>
          </cell>
          <cell r="D259">
            <v>96659777.909999996</v>
          </cell>
        </row>
        <row r="260">
          <cell r="B260" t="str">
            <v>period_78</v>
          </cell>
          <cell r="C260">
            <v>24337</v>
          </cell>
          <cell r="D260">
            <v>88212844.049999997</v>
          </cell>
        </row>
        <row r="261">
          <cell r="B261" t="str">
            <v>period_79</v>
          </cell>
          <cell r="C261">
            <v>23449</v>
          </cell>
          <cell r="D261">
            <v>79961602.689999998</v>
          </cell>
        </row>
        <row r="262">
          <cell r="B262" t="str">
            <v>period_8</v>
          </cell>
          <cell r="C262">
            <v>43437</v>
          </cell>
          <cell r="D262">
            <v>738320182.88999999</v>
          </cell>
        </row>
        <row r="263">
          <cell r="B263" t="str">
            <v>period_80</v>
          </cell>
          <cell r="C263">
            <v>22457</v>
          </cell>
          <cell r="D263">
            <v>71938960.540000007</v>
          </cell>
        </row>
        <row r="264">
          <cell r="B264" t="str">
            <v>period_81</v>
          </cell>
          <cell r="C264">
            <v>21090</v>
          </cell>
          <cell r="D264">
            <v>64166684.799999997</v>
          </cell>
        </row>
        <row r="265">
          <cell r="B265" t="str">
            <v>period_82</v>
          </cell>
          <cell r="C265">
            <v>20363</v>
          </cell>
          <cell r="D265">
            <v>56763937.43</v>
          </cell>
        </row>
        <row r="266">
          <cell r="B266" t="str">
            <v>period_83</v>
          </cell>
          <cell r="C266">
            <v>19524</v>
          </cell>
          <cell r="D266">
            <v>49572475.359999999</v>
          </cell>
        </row>
        <row r="267">
          <cell r="B267" t="str">
            <v>period_84</v>
          </cell>
          <cell r="C267">
            <v>18336</v>
          </cell>
          <cell r="D267">
            <v>42617625.93</v>
          </cell>
        </row>
        <row r="268">
          <cell r="B268" t="str">
            <v>period_85</v>
          </cell>
          <cell r="C268">
            <v>17271</v>
          </cell>
          <cell r="D268">
            <v>36038794.619999997</v>
          </cell>
        </row>
        <row r="269">
          <cell r="B269" t="str">
            <v>period_86</v>
          </cell>
          <cell r="C269">
            <v>16262</v>
          </cell>
          <cell r="D269">
            <v>29802895.690000001</v>
          </cell>
        </row>
        <row r="270">
          <cell r="B270" t="str">
            <v>period_87</v>
          </cell>
          <cell r="C270">
            <v>15023</v>
          </cell>
          <cell r="D270">
            <v>23910257.699999999</v>
          </cell>
        </row>
        <row r="271">
          <cell r="B271" t="str">
            <v>period_88</v>
          </cell>
          <cell r="C271">
            <v>14177</v>
          </cell>
          <cell r="D271">
            <v>18448114.850000001</v>
          </cell>
        </row>
        <row r="272">
          <cell r="B272" t="str">
            <v>period_89</v>
          </cell>
          <cell r="C272">
            <v>12417</v>
          </cell>
          <cell r="D272">
            <v>13268744.73</v>
          </cell>
        </row>
        <row r="273">
          <cell r="B273" t="str">
            <v>period_9</v>
          </cell>
          <cell r="C273">
            <v>43288</v>
          </cell>
          <cell r="D273">
            <v>729404178.64999998</v>
          </cell>
        </row>
        <row r="274">
          <cell r="B274" t="str">
            <v>period_90</v>
          </cell>
          <cell r="C274">
            <v>9974</v>
          </cell>
          <cell r="D274">
            <v>8725071.9900000002</v>
          </cell>
        </row>
        <row r="275">
          <cell r="B275" t="str">
            <v>period_91</v>
          </cell>
          <cell r="C275">
            <v>7514</v>
          </cell>
          <cell r="D275">
            <v>5085151.45</v>
          </cell>
        </row>
        <row r="276">
          <cell r="B276" t="str">
            <v>period_92</v>
          </cell>
          <cell r="C276">
            <v>4934</v>
          </cell>
          <cell r="D276">
            <v>2346327.02</v>
          </cell>
        </row>
        <row r="277">
          <cell r="B277" t="str">
            <v>period_93</v>
          </cell>
          <cell r="C277">
            <v>1073</v>
          </cell>
          <cell r="D277">
            <v>567359.52</v>
          </cell>
        </row>
        <row r="278">
          <cell r="B278" t="str">
            <v>period_94</v>
          </cell>
          <cell r="C278">
            <v>536</v>
          </cell>
          <cell r="D278">
            <v>223837.14</v>
          </cell>
        </row>
        <row r="279">
          <cell r="B279" t="str">
            <v>period_95</v>
          </cell>
          <cell r="C279">
            <v>180</v>
          </cell>
          <cell r="D279">
            <v>60997.34</v>
          </cell>
        </row>
        <row r="280">
          <cell r="B280" t="str">
            <v>period_96</v>
          </cell>
          <cell r="C280">
            <v>12</v>
          </cell>
          <cell r="D280">
            <v>7084.27</v>
          </cell>
        </row>
        <row r="281">
          <cell r="B281" t="str">
            <v>period_97</v>
          </cell>
          <cell r="C281">
            <v>5</v>
          </cell>
          <cell r="D281">
            <v>2933.59</v>
          </cell>
        </row>
        <row r="282">
          <cell r="B282" t="str">
            <v>period_98</v>
          </cell>
          <cell r="C282">
            <v>2</v>
          </cell>
          <cell r="D282">
            <v>1303.8</v>
          </cell>
        </row>
        <row r="283">
          <cell r="B283" t="str">
            <v>period_99</v>
          </cell>
          <cell r="C283">
            <v>1</v>
          </cell>
          <cell r="D283">
            <v>417.39</v>
          </cell>
        </row>
        <row r="284">
          <cell r="B284" t="str">
            <v>remaining_  0:  6</v>
          </cell>
          <cell r="C284">
            <v>817</v>
          </cell>
          <cell r="D284">
            <v>523007.99000000034</v>
          </cell>
        </row>
        <row r="285">
          <cell r="B285" t="str">
            <v>remaining_  7: 13</v>
          </cell>
          <cell r="C285">
            <v>946</v>
          </cell>
          <cell r="D285">
            <v>1820686.6600000006</v>
          </cell>
        </row>
        <row r="286">
          <cell r="B286" t="str">
            <v>remaining_ 14: 20</v>
          </cell>
          <cell r="C286">
            <v>1226</v>
          </cell>
          <cell r="D286">
            <v>3840674.2099999925</v>
          </cell>
        </row>
        <row r="287">
          <cell r="B287" t="str">
            <v>remaining_ 21: 27</v>
          </cell>
          <cell r="C287">
            <v>1097</v>
          </cell>
          <cell r="D287">
            <v>4671718.4700000025</v>
          </cell>
        </row>
        <row r="288">
          <cell r="B288" t="str">
            <v>remaining_ 28: 34</v>
          </cell>
          <cell r="C288">
            <v>1815</v>
          </cell>
          <cell r="D288">
            <v>10433864.369999999</v>
          </cell>
        </row>
        <row r="289">
          <cell r="B289" t="str">
            <v>remaining_ 35: 41</v>
          </cell>
          <cell r="C289">
            <v>1564</v>
          </cell>
          <cell r="D289">
            <v>11478023.09000002</v>
          </cell>
        </row>
        <row r="290">
          <cell r="B290" t="str">
            <v>remaining_ 42: 48</v>
          </cell>
          <cell r="C290">
            <v>1957</v>
          </cell>
          <cell r="D290">
            <v>17080779.019999962</v>
          </cell>
        </row>
        <row r="291">
          <cell r="B291" t="str">
            <v>remaining_ 49: 55</v>
          </cell>
          <cell r="C291">
            <v>1983</v>
          </cell>
          <cell r="D291">
            <v>22579960.150000017</v>
          </cell>
        </row>
        <row r="292">
          <cell r="B292" t="str">
            <v>remaining_ 56: 62</v>
          </cell>
          <cell r="C292">
            <v>1767</v>
          </cell>
          <cell r="D292">
            <v>22330091.03000002</v>
          </cell>
        </row>
        <row r="293">
          <cell r="B293" t="str">
            <v>remaining_ 63: 69</v>
          </cell>
          <cell r="C293">
            <v>2793</v>
          </cell>
          <cell r="D293">
            <v>41617333.4000002</v>
          </cell>
        </row>
        <row r="294">
          <cell r="B294" t="str">
            <v>remaining_ 70: 76</v>
          </cell>
          <cell r="C294">
            <v>3347</v>
          </cell>
          <cell r="D294">
            <v>59297501.679999895</v>
          </cell>
        </row>
        <row r="295">
          <cell r="B295" t="str">
            <v>remaining_ 77: 83</v>
          </cell>
          <cell r="C295">
            <v>6767</v>
          </cell>
          <cell r="D295">
            <v>144598532.11999997</v>
          </cell>
        </row>
        <row r="296">
          <cell r="B296" t="str">
            <v>remaining_ 84: 90</v>
          </cell>
          <cell r="C296">
            <v>10830</v>
          </cell>
          <cell r="D296">
            <v>272484489.73000032</v>
          </cell>
        </row>
        <row r="297">
          <cell r="B297" t="str">
            <v>remaining_ 91: 97</v>
          </cell>
          <cell r="C297">
            <v>7513</v>
          </cell>
          <cell r="D297">
            <v>187181466.67000002</v>
          </cell>
        </row>
        <row r="298">
          <cell r="B298" t="str">
            <v>remaining_98:</v>
          </cell>
          <cell r="C298">
            <v>2</v>
          </cell>
          <cell r="D298">
            <v>61842.57</v>
          </cell>
        </row>
        <row r="299">
          <cell r="B299" t="str">
            <v>remaining_wa remaining term</v>
          </cell>
          <cell r="C299">
            <v>44424</v>
          </cell>
          <cell r="D299">
            <v>80.066152479947377</v>
          </cell>
        </row>
        <row r="300">
          <cell r="B300" t="str">
            <v>seasoning_ 0: 2</v>
          </cell>
          <cell r="C300">
            <v>251</v>
          </cell>
          <cell r="D300">
            <v>3587194.6099999989</v>
          </cell>
        </row>
        <row r="301">
          <cell r="B301" t="str">
            <v>seasoning_ 3: 5</v>
          </cell>
          <cell r="C301">
            <v>7265</v>
          </cell>
          <cell r="D301">
            <v>135185309.68000025</v>
          </cell>
        </row>
        <row r="302">
          <cell r="B302" t="str">
            <v>seasoning_ 6: 8</v>
          </cell>
          <cell r="C302">
            <v>13048</v>
          </cell>
          <cell r="D302">
            <v>250541073.51000023</v>
          </cell>
        </row>
        <row r="303">
          <cell r="B303" t="str">
            <v>seasoning_ 9:11</v>
          </cell>
          <cell r="C303">
            <v>7486</v>
          </cell>
          <cell r="D303">
            <v>140243470.09999952</v>
          </cell>
        </row>
        <row r="304">
          <cell r="B304" t="str">
            <v>seasoning_12:14</v>
          </cell>
          <cell r="C304">
            <v>6367</v>
          </cell>
          <cell r="D304">
            <v>112011315.3700002</v>
          </cell>
        </row>
        <row r="305">
          <cell r="B305" t="str">
            <v>seasoning_15:17</v>
          </cell>
          <cell r="C305">
            <v>3897</v>
          </cell>
          <cell r="D305">
            <v>66068791.770000033</v>
          </cell>
        </row>
        <row r="306">
          <cell r="B306" t="str">
            <v>seasoning_18:20</v>
          </cell>
          <cell r="C306">
            <v>2716</v>
          </cell>
          <cell r="D306">
            <v>46565317.779999971</v>
          </cell>
        </row>
        <row r="307">
          <cell r="B307" t="str">
            <v>seasoning_21:23</v>
          </cell>
          <cell r="C307">
            <v>1814</v>
          </cell>
          <cell r="D307">
            <v>26276488.859999988</v>
          </cell>
        </row>
        <row r="308">
          <cell r="B308" t="str">
            <v>seasoning_24:26</v>
          </cell>
          <cell r="C308">
            <v>909</v>
          </cell>
          <cell r="D308">
            <v>11573146.980000023</v>
          </cell>
        </row>
        <row r="309">
          <cell r="B309" t="str">
            <v>seasoning_27:29</v>
          </cell>
          <cell r="C309">
            <v>243</v>
          </cell>
          <cell r="D309">
            <v>3201718.5199999977</v>
          </cell>
        </row>
        <row r="310">
          <cell r="B310" t="str">
            <v>seasoning_30:32</v>
          </cell>
          <cell r="C310">
            <v>151</v>
          </cell>
          <cell r="D310">
            <v>2145700.5400000005</v>
          </cell>
        </row>
        <row r="311">
          <cell r="B311" t="str">
            <v>seasoning_33:35</v>
          </cell>
          <cell r="C311">
            <v>97</v>
          </cell>
          <cell r="D311">
            <v>980070.26</v>
          </cell>
        </row>
        <row r="312">
          <cell r="B312" t="str">
            <v>seasoning_36:38</v>
          </cell>
          <cell r="C312">
            <v>68</v>
          </cell>
          <cell r="D312">
            <v>815700.96</v>
          </cell>
        </row>
        <row r="313">
          <cell r="B313" t="str">
            <v>seasoning_39:41</v>
          </cell>
          <cell r="C313">
            <v>15</v>
          </cell>
          <cell r="D313">
            <v>108910.62</v>
          </cell>
        </row>
        <row r="314">
          <cell r="B314" t="str">
            <v>seasoning_42:44</v>
          </cell>
          <cell r="C314">
            <v>20</v>
          </cell>
          <cell r="D314">
            <v>137401.84</v>
          </cell>
        </row>
        <row r="315">
          <cell r="B315" t="str">
            <v>seasoning_45:47</v>
          </cell>
          <cell r="C315">
            <v>21</v>
          </cell>
          <cell r="D315">
            <v>188954.34999999998</v>
          </cell>
        </row>
        <row r="316">
          <cell r="B316" t="str">
            <v>seasoning_48:50</v>
          </cell>
          <cell r="C316">
            <v>12</v>
          </cell>
          <cell r="D316">
            <v>82928.160000000003</v>
          </cell>
        </row>
        <row r="317">
          <cell r="B317" t="str">
            <v>seasoning_51:53</v>
          </cell>
          <cell r="C317">
            <v>10</v>
          </cell>
          <cell r="D317">
            <v>65146.22</v>
          </cell>
        </row>
        <row r="318">
          <cell r="B318" t="str">
            <v>seasoning_54:56</v>
          </cell>
          <cell r="C318">
            <v>8</v>
          </cell>
          <cell r="D318">
            <v>83923.250000000015</v>
          </cell>
        </row>
        <row r="319">
          <cell r="B319" t="str">
            <v>seasoning_57:59</v>
          </cell>
          <cell r="C319">
            <v>6</v>
          </cell>
          <cell r="D319">
            <v>17515.580000000002</v>
          </cell>
        </row>
        <row r="320">
          <cell r="B320" t="str">
            <v>seasoning_60:62</v>
          </cell>
          <cell r="C320">
            <v>5</v>
          </cell>
          <cell r="D320">
            <v>56382.84</v>
          </cell>
        </row>
        <row r="321">
          <cell r="B321" t="str">
            <v>seasoning_63:65</v>
          </cell>
          <cell r="C321">
            <v>2</v>
          </cell>
          <cell r="D321">
            <v>21875.69</v>
          </cell>
        </row>
        <row r="322">
          <cell r="B322" t="str">
            <v>seasoning_66:68</v>
          </cell>
          <cell r="C322">
            <v>4</v>
          </cell>
          <cell r="D322">
            <v>12545.89</v>
          </cell>
        </row>
        <row r="323">
          <cell r="B323" t="str">
            <v>seasoning_69:71</v>
          </cell>
          <cell r="C323">
            <v>2</v>
          </cell>
          <cell r="D323">
            <v>844.75</v>
          </cell>
        </row>
        <row r="324">
          <cell r="B324" t="str">
            <v>seasoning_72:74</v>
          </cell>
          <cell r="C324">
            <v>4</v>
          </cell>
          <cell r="D324">
            <v>22367.23</v>
          </cell>
        </row>
        <row r="325">
          <cell r="B325" t="str">
            <v>seasoning_75:77</v>
          </cell>
          <cell r="C325">
            <v>1</v>
          </cell>
          <cell r="D325">
            <v>3373.2</v>
          </cell>
        </row>
        <row r="326">
          <cell r="B326" t="str">
            <v>seasoning_78:80</v>
          </cell>
          <cell r="C326">
            <v>0</v>
          </cell>
          <cell r="D326">
            <v>0</v>
          </cell>
        </row>
        <row r="327">
          <cell r="B327" t="str">
            <v>seasoning_81:</v>
          </cell>
          <cell r="C327">
            <v>2</v>
          </cell>
          <cell r="D327">
            <v>2502.6</v>
          </cell>
        </row>
        <row r="328">
          <cell r="B328" t="str">
            <v>seasoning_wa seasoning</v>
          </cell>
          <cell r="C328">
            <v>44424</v>
          </cell>
          <cell r="D328">
            <v>10.33136761748321</v>
          </cell>
        </row>
      </sheetData>
      <sheetData sheetId="38"/>
      <sheetData sheetId="39"/>
      <sheetData sheetId="40"/>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row>
        <row r="6">
          <cell r="B6" t="str">
            <v>portfolio_5</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ow r="2">
          <cell r="B2" t="str">
            <v>SC Germany Consumer 2023-1</v>
          </cell>
        </row>
      </sheetData>
      <sheetData sheetId="3" refreshError="1"/>
      <sheetData sheetId="4">
        <row r="2">
          <cell r="B2" t="str">
            <v>SC Germany Consumer 2023-1</v>
          </cell>
        </row>
      </sheetData>
      <sheetData sheetId="5">
        <row r="2">
          <cell r="B2" t="str">
            <v>SC Germany Consumer 2023-1</v>
          </cell>
        </row>
      </sheetData>
      <sheetData sheetId="6">
        <row r="2">
          <cell r="B2" t="str">
            <v>SC Germany Consumer 2023-1</v>
          </cell>
        </row>
      </sheetData>
      <sheetData sheetId="7">
        <row r="1">
          <cell r="B1"/>
        </row>
      </sheetData>
      <sheetData sheetId="8">
        <row r="33">
          <cell r="B33" t="str">
            <v>Sequential Payment Trigger Event</v>
          </cell>
        </row>
      </sheetData>
      <sheetData sheetId="9">
        <row r="21">
          <cell r="D21" t="str">
            <v>AAA (sf)/AAA (sf)/Aaa (sf)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Calculation Date</v>
          </cell>
        </row>
      </sheetData>
      <sheetData sheetId="21" refreshError="1"/>
      <sheetData sheetId="22" refreshError="1"/>
      <sheetData sheetId="23" refreshError="1"/>
      <sheetData sheetId="24">
        <row r="13">
          <cell r="D13" t="str">
            <v>Remaining Term in Months</v>
          </cell>
        </row>
      </sheetData>
      <sheetData sheetId="25" refreshError="1"/>
      <sheetData sheetId="26" refreshError="1"/>
      <sheetData sheetId="27" refreshError="1"/>
      <sheetData sheetId="28" refreshError="1"/>
      <sheetData sheetId="29" refreshError="1"/>
      <sheetData sheetId="30">
        <row r="2">
          <cell r="C2" t="str">
            <v>SC Germany Consumer 2023-1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ow r="1">
          <cell r="B1" t="str">
            <v>VARIABLE</v>
          </cell>
          <cell r="C1" t="str">
            <v>NUM</v>
          </cell>
          <cell r="D1" t="str">
            <v>DATE</v>
          </cell>
          <cell r="E1" t="str">
            <v>STRG</v>
          </cell>
        </row>
        <row r="2">
          <cell r="B2" t="str">
            <v>Reporting_Date</v>
          </cell>
          <cell r="D2">
            <v>45544</v>
          </cell>
          <cell r="E2" t="str">
            <v/>
          </cell>
        </row>
        <row r="3">
          <cell r="B3" t="str">
            <v>Calculation_Date</v>
          </cell>
          <cell r="D3">
            <v>45547</v>
          </cell>
          <cell r="E3" t="str">
            <v/>
          </cell>
        </row>
        <row r="4">
          <cell r="B4" t="str">
            <v>Payment_Date</v>
          </cell>
          <cell r="D4">
            <v>45551</v>
          </cell>
          <cell r="E4" t="str">
            <v/>
          </cell>
        </row>
        <row r="5">
          <cell r="B5" t="str">
            <v>Period</v>
          </cell>
          <cell r="C5">
            <v>13</v>
          </cell>
          <cell r="E5" t="str">
            <v/>
          </cell>
        </row>
        <row r="6">
          <cell r="B6" t="str">
            <v>Monthly_Period</v>
          </cell>
          <cell r="D6">
            <v>45551</v>
          </cell>
          <cell r="E6" t="str">
            <v/>
          </cell>
        </row>
        <row r="7">
          <cell r="B7" t="str">
            <v>Interest_Period_from</v>
          </cell>
          <cell r="D7">
            <v>45518</v>
          </cell>
          <cell r="E7" t="str">
            <v/>
          </cell>
        </row>
        <row r="8">
          <cell r="B8" t="str">
            <v>Outstanding_bop_current</v>
          </cell>
          <cell r="C8">
            <v>799999953.42999995</v>
          </cell>
          <cell r="E8" t="str">
            <v/>
          </cell>
        </row>
        <row r="9">
          <cell r="B9" t="str">
            <v>Outstanding_bop_previous</v>
          </cell>
          <cell r="C9">
            <v>799999976.96000004</v>
          </cell>
          <cell r="E9" t="str">
            <v/>
          </cell>
        </row>
        <row r="10">
          <cell r="B10" t="str">
            <v>Total_Principal_Collections_current</v>
          </cell>
          <cell r="C10">
            <v>24223533.280000001</v>
          </cell>
          <cell r="E10" t="str">
            <v/>
          </cell>
        </row>
        <row r="11">
          <cell r="B11" t="str">
            <v>Total_Principal_Collections_previous</v>
          </cell>
          <cell r="C11">
            <v>27774428.670000002</v>
          </cell>
          <cell r="E11" t="str">
            <v/>
          </cell>
        </row>
        <row r="12">
          <cell r="B12" t="str">
            <v>Collected_Interest_Portion_current</v>
          </cell>
          <cell r="C12">
            <v>4865697.87</v>
          </cell>
          <cell r="E12" t="str">
            <v/>
          </cell>
        </row>
        <row r="13">
          <cell r="B13" t="str">
            <v>Collected_Interest_Portion_previous</v>
          </cell>
          <cell r="C13">
            <v>4823414.91</v>
          </cell>
          <cell r="E13" t="str">
            <v/>
          </cell>
        </row>
        <row r="14">
          <cell r="B14" t="str">
            <v>Defaults_current</v>
          </cell>
          <cell r="C14">
            <v>2282567.66</v>
          </cell>
          <cell r="E14" t="str">
            <v/>
          </cell>
        </row>
        <row r="15">
          <cell r="B15" t="str">
            <v>Defaults_previous</v>
          </cell>
          <cell r="C15">
            <v>2407067.5299999998</v>
          </cell>
          <cell r="E15" t="str">
            <v/>
          </cell>
        </row>
        <row r="16">
          <cell r="B16" t="str">
            <v>Replenishment_current</v>
          </cell>
          <cell r="C16">
            <v>0</v>
          </cell>
          <cell r="E16" t="str">
            <v/>
          </cell>
        </row>
        <row r="17">
          <cell r="B17" t="str">
            <v>Replenishment_previous</v>
          </cell>
          <cell r="C17">
            <v>30181472.670000002</v>
          </cell>
          <cell r="E17" t="str">
            <v/>
          </cell>
        </row>
        <row r="18">
          <cell r="B18" t="str">
            <v>Outstanding_eop_current</v>
          </cell>
          <cell r="C18">
            <v>773493852.49000001</v>
          </cell>
          <cell r="E18" t="str">
            <v/>
          </cell>
        </row>
        <row r="19">
          <cell r="B19" t="str">
            <v>Outstanding_eop_previous</v>
          </cell>
          <cell r="C19">
            <v>799999953.42999995</v>
          </cell>
          <cell r="E19" t="str">
            <v/>
          </cell>
        </row>
        <row r="20">
          <cell r="B20" t="str">
            <v>Purchase_Shortfall_current</v>
          </cell>
          <cell r="C20">
            <v>49.47</v>
          </cell>
          <cell r="E20" t="str">
            <v/>
          </cell>
        </row>
        <row r="21">
          <cell r="B21" t="str">
            <v>Purchase_Shortfall_previous</v>
          </cell>
          <cell r="C21">
            <v>28.13</v>
          </cell>
          <cell r="E21" t="str">
            <v/>
          </cell>
        </row>
        <row r="22">
          <cell r="B22" t="str">
            <v>Total_Assets_current</v>
          </cell>
          <cell r="C22">
            <v>773493901.96000004</v>
          </cell>
          <cell r="E22" t="str">
            <v/>
          </cell>
        </row>
        <row r="23">
          <cell r="B23" t="str">
            <v>Total_Assets_previous</v>
          </cell>
          <cell r="C23">
            <v>799999981.55999994</v>
          </cell>
          <cell r="E23" t="str">
            <v/>
          </cell>
        </row>
        <row r="24">
          <cell r="B24" t="str">
            <v>Liquidity_Reserve_bop</v>
          </cell>
          <cell r="C24">
            <v>9777378.2799999993</v>
          </cell>
          <cell r="E24" t="str">
            <v/>
          </cell>
        </row>
        <row r="25">
          <cell r="B25" t="str">
            <v>Liquidity_Reserve_cashout</v>
          </cell>
          <cell r="C25">
            <v>9777378.2799999993</v>
          </cell>
          <cell r="E25" t="str">
            <v/>
          </cell>
        </row>
        <row r="26">
          <cell r="B26" t="str">
            <v>Liquidity_Reserve_excess_amount</v>
          </cell>
          <cell r="C26">
            <v>0</v>
          </cell>
          <cell r="E26" t="str">
            <v/>
          </cell>
        </row>
        <row r="27">
          <cell r="B27" t="str">
            <v>Liquidity_Reserve_pop</v>
          </cell>
          <cell r="C27">
            <v>0</v>
          </cell>
          <cell r="E27" t="str">
            <v/>
          </cell>
        </row>
        <row r="28">
          <cell r="B28" t="str">
            <v>Liquidity_Reserve_cashin</v>
          </cell>
          <cell r="C28">
            <v>9030619.0099999998</v>
          </cell>
          <cell r="E28" t="str">
            <v/>
          </cell>
        </row>
        <row r="29">
          <cell r="B29" t="str">
            <v>Liquidity_Reserve_eop</v>
          </cell>
          <cell r="C29">
            <v>9030619.0099999998</v>
          </cell>
          <cell r="E29" t="str">
            <v/>
          </cell>
        </row>
        <row r="30">
          <cell r="B30" t="str">
            <v>Liquidity_Reserve_fund</v>
          </cell>
          <cell r="C30">
            <v>11697600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2282567.66</v>
          </cell>
          <cell r="E44" t="str">
            <v/>
          </cell>
        </row>
        <row r="45">
          <cell r="B45" t="str">
            <v>Recoveries_current</v>
          </cell>
          <cell r="C45">
            <v>-1560.44</v>
          </cell>
          <cell r="E45" t="str">
            <v/>
          </cell>
        </row>
        <row r="46">
          <cell r="B46" t="str">
            <v>Terminated_contracts_new</v>
          </cell>
          <cell r="C46">
            <v>122</v>
          </cell>
          <cell r="E46" t="str">
            <v/>
          </cell>
        </row>
        <row r="47">
          <cell r="B47" t="str">
            <v>Cum_GrossDefault</v>
          </cell>
          <cell r="C47">
            <v>17499912.579999998</v>
          </cell>
          <cell r="E47" t="str">
            <v/>
          </cell>
        </row>
        <row r="48">
          <cell r="B48" t="str">
            <v>Cum_Recoveries</v>
          </cell>
          <cell r="C48">
            <v>15797.28</v>
          </cell>
          <cell r="E48" t="str">
            <v/>
          </cell>
        </row>
        <row r="49">
          <cell r="B49" t="str">
            <v>Terminated_contracts_total</v>
          </cell>
          <cell r="C49">
            <v>791</v>
          </cell>
          <cell r="E49" t="str">
            <v/>
          </cell>
        </row>
        <row r="50">
          <cell r="B50" t="str">
            <v>Loss_Ratio_before_previous</v>
          </cell>
          <cell r="E50" t="str">
            <v>0,01211450266</v>
          </cell>
        </row>
        <row r="51">
          <cell r="B51" t="str">
            <v>Loss_Ratio_previous</v>
          </cell>
          <cell r="C51">
            <v>1.4E-2</v>
          </cell>
          <cell r="E51" t="str">
            <v/>
          </cell>
        </row>
        <row r="52">
          <cell r="B52" t="str">
            <v>Loss_Ratio_current</v>
          </cell>
          <cell r="C52">
            <v>1.61E-2</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2282567.66</v>
          </cell>
          <cell r="E78" t="str">
            <v/>
          </cell>
        </row>
        <row r="79">
          <cell r="B79" t="str">
            <v>OC_credited_PDL</v>
          </cell>
          <cell r="C79">
            <v>2282567.66</v>
          </cell>
          <cell r="E79" t="str">
            <v/>
          </cell>
        </row>
        <row r="80">
          <cell r="B80" t="str">
            <v>OC_PDL_eop</v>
          </cell>
          <cell r="C80">
            <v>0</v>
          </cell>
          <cell r="E80" t="str">
            <v/>
          </cell>
        </row>
        <row r="81">
          <cell r="B81" t="str">
            <v>Cum_Default_Ratio</v>
          </cell>
          <cell r="C81">
            <v>1.61E-2</v>
          </cell>
          <cell r="E81" t="str">
            <v/>
          </cell>
        </row>
        <row r="82">
          <cell r="B82" t="str">
            <v>Purchase_Shortfall_before_previous</v>
          </cell>
          <cell r="C82">
            <v>4.5999999999999996</v>
          </cell>
          <cell r="E82" t="str">
            <v/>
          </cell>
        </row>
        <row r="83">
          <cell r="B83" t="str">
            <v>Purchase_Shortfall_previous</v>
          </cell>
          <cell r="C83">
            <v>28.13</v>
          </cell>
          <cell r="E83" t="str">
            <v/>
          </cell>
        </row>
        <row r="84">
          <cell r="B84" t="str">
            <v>Purchase_Shortfall_current</v>
          </cell>
          <cell r="C84">
            <v>49.47</v>
          </cell>
          <cell r="E84" t="str">
            <v/>
          </cell>
        </row>
        <row r="85">
          <cell r="B85" t="str">
            <v>Delinquency_Ratio</v>
          </cell>
          <cell r="C85">
            <v>1.4E-2</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779840000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7840000</v>
          </cell>
          <cell r="E95" t="str">
            <v/>
          </cell>
        </row>
        <row r="96">
          <cell r="B96" t="str">
            <v>Replenishment</v>
          </cell>
          <cell r="C96">
            <v>0</v>
          </cell>
          <cell r="E96" t="str">
            <v/>
          </cell>
        </row>
        <row r="97">
          <cell r="B97" t="str">
            <v>Amortisation</v>
          </cell>
          <cell r="C97">
            <v>26506079.600000001</v>
          </cell>
          <cell r="E97" t="str">
            <v/>
          </cell>
        </row>
        <row r="98">
          <cell r="B98" t="str">
            <v>Total_Redemption</v>
          </cell>
          <cell r="C98">
            <v>26506079.600000001</v>
          </cell>
          <cell r="E98" t="str">
            <v/>
          </cell>
        </row>
        <row r="99">
          <cell r="B99" t="str">
            <v>A_Redemption</v>
          </cell>
          <cell r="C99">
            <v>20792852.079999998</v>
          </cell>
          <cell r="E99" t="str">
            <v/>
          </cell>
        </row>
        <row r="100">
          <cell r="B100" t="str">
            <v>B_Redemption</v>
          </cell>
          <cell r="C100">
            <v>1373372</v>
          </cell>
          <cell r="E100" t="str">
            <v/>
          </cell>
        </row>
        <row r="101">
          <cell r="B101" t="str">
            <v>C_Redemption</v>
          </cell>
          <cell r="C101">
            <v>1455774.32</v>
          </cell>
          <cell r="E101" t="str">
            <v/>
          </cell>
        </row>
        <row r="102">
          <cell r="B102" t="str">
            <v>D_Redemption</v>
          </cell>
          <cell r="C102">
            <v>1428306.88</v>
          </cell>
          <cell r="E102" t="str">
            <v/>
          </cell>
        </row>
        <row r="103">
          <cell r="B103" t="str">
            <v>E_Redemption</v>
          </cell>
          <cell r="C103">
            <v>1455774.32</v>
          </cell>
          <cell r="E103" t="str">
            <v/>
          </cell>
        </row>
        <row r="104">
          <cell r="B104" t="str">
            <v>F_Redemption</v>
          </cell>
          <cell r="C104">
            <v>0</v>
          </cell>
          <cell r="E104" t="str">
            <v/>
          </cell>
        </row>
        <row r="105">
          <cell r="B105" t="str">
            <v>Interest_Days</v>
          </cell>
          <cell r="C105">
            <v>31</v>
          </cell>
          <cell r="E105" t="str">
            <v/>
          </cell>
        </row>
        <row r="106">
          <cell r="B106" t="str">
            <v>A_Interests</v>
          </cell>
          <cell r="C106">
            <v>2412044.2400000002</v>
          </cell>
          <cell r="E106" t="str">
            <v/>
          </cell>
        </row>
        <row r="107">
          <cell r="B107" t="str">
            <v>B_Interests</v>
          </cell>
          <cell r="C107">
            <v>189752</v>
          </cell>
          <cell r="E107" t="str">
            <v/>
          </cell>
        </row>
        <row r="108">
          <cell r="B108" t="str">
            <v>C_Interests</v>
          </cell>
          <cell r="C108">
            <v>245830.96</v>
          </cell>
          <cell r="E108" t="str">
            <v/>
          </cell>
        </row>
        <row r="109">
          <cell r="B109" t="str">
            <v>D_Interests</v>
          </cell>
          <cell r="C109">
            <v>296487.36</v>
          </cell>
          <cell r="E109" t="str">
            <v/>
          </cell>
        </row>
        <row r="110">
          <cell r="B110" t="str">
            <v>E_Interests</v>
          </cell>
          <cell r="C110">
            <v>403240.96000000002</v>
          </cell>
          <cell r="E110" t="str">
            <v/>
          </cell>
        </row>
        <row r="111">
          <cell r="B111" t="str">
            <v>F_Interests</v>
          </cell>
          <cell r="C111">
            <v>88934.720000000001</v>
          </cell>
          <cell r="E111" t="str">
            <v/>
          </cell>
        </row>
        <row r="112">
          <cell r="B112" t="str">
            <v>1M_Euribor</v>
          </cell>
          <cell r="C112">
            <v>3.6200000000000003E-2</v>
          </cell>
          <cell r="E112" t="str">
            <v/>
          </cell>
        </row>
        <row r="113">
          <cell r="B113" t="str">
            <v>F_accrued_Target_Amortisation</v>
          </cell>
          <cell r="C113">
            <v>3920000</v>
          </cell>
          <cell r="E113" t="str">
            <v/>
          </cell>
        </row>
        <row r="114">
          <cell r="B114" t="str">
            <v>Interest_collections</v>
          </cell>
          <cell r="C114">
            <v>4865697.87</v>
          </cell>
          <cell r="E114" t="str">
            <v/>
          </cell>
        </row>
        <row r="115">
          <cell r="B115" t="str">
            <v>Other_interest_Payments</v>
          </cell>
          <cell r="C115">
            <v>0</v>
          </cell>
          <cell r="E115" t="str">
            <v/>
          </cell>
        </row>
        <row r="116">
          <cell r="B116" t="str">
            <v>Recoveries_received</v>
          </cell>
          <cell r="C116">
            <v>-1560.44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9777378.2799999993</v>
          </cell>
          <cell r="E119" t="str">
            <v/>
          </cell>
        </row>
        <row r="120">
          <cell r="B120" t="str">
            <v>Interests_paid_Swap_Counterparty</v>
          </cell>
          <cell r="C120">
            <v>310961.2</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14952476.91</v>
          </cell>
          <cell r="E124" t="str">
            <v/>
          </cell>
        </row>
        <row r="125">
          <cell r="B125" t="str">
            <v>Available_Interest_amount</v>
          </cell>
          <cell r="C125">
            <v>14952476.91</v>
          </cell>
          <cell r="E125" t="str">
            <v/>
          </cell>
        </row>
        <row r="126">
          <cell r="B126" t="str">
            <v>Senior_Expenses</v>
          </cell>
          <cell r="C126">
            <v>3000</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2412044.2400000002</v>
          </cell>
          <cell r="E129" t="str">
            <v/>
          </cell>
        </row>
        <row r="130">
          <cell r="B130" t="str">
            <v>B_interest_amount_notes</v>
          </cell>
          <cell r="C130">
            <v>189752</v>
          </cell>
          <cell r="E130" t="str">
            <v/>
          </cell>
        </row>
        <row r="131">
          <cell r="B131" t="str">
            <v>C_interest_amount_notes</v>
          </cell>
          <cell r="C131">
            <v>245830.96</v>
          </cell>
          <cell r="E131" t="str">
            <v/>
          </cell>
        </row>
        <row r="132">
          <cell r="B132" t="str">
            <v>D_interest_amount_notes</v>
          </cell>
          <cell r="C132">
            <v>296487.36</v>
          </cell>
          <cell r="E132" t="str">
            <v/>
          </cell>
        </row>
        <row r="133">
          <cell r="B133" t="str">
            <v>E_interest_amount_notes</v>
          </cell>
          <cell r="C133">
            <v>403240.96000000002</v>
          </cell>
          <cell r="E133" t="str">
            <v/>
          </cell>
        </row>
        <row r="134">
          <cell r="B134" t="str">
            <v>F_interest_amount_notes</v>
          </cell>
          <cell r="C134">
            <v>88934.720000000001</v>
          </cell>
          <cell r="E134" t="str">
            <v/>
          </cell>
        </row>
        <row r="135">
          <cell r="B135" t="str">
            <v>Liquidity_Reserve_Account_part1</v>
          </cell>
          <cell r="C135">
            <v>7798400</v>
          </cell>
          <cell r="E135" t="str">
            <v/>
          </cell>
        </row>
        <row r="136">
          <cell r="B136" t="str">
            <v>Elimination_PDL</v>
          </cell>
          <cell r="C136">
            <v>2282567.66</v>
          </cell>
          <cell r="E136" t="str">
            <v/>
          </cell>
        </row>
        <row r="137">
          <cell r="B137" t="str">
            <v>Liquidity_Reserve_Account_part2</v>
          </cell>
          <cell r="C137">
            <v>1232219.01</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0</v>
          </cell>
          <cell r="E146" t="str">
            <v/>
          </cell>
        </row>
        <row r="147">
          <cell r="B147" t="str">
            <v>Liqudity_Reserve_Principal</v>
          </cell>
          <cell r="C147">
            <v>0</v>
          </cell>
          <cell r="E147" t="str">
            <v/>
          </cell>
        </row>
        <row r="148">
          <cell r="B148" t="str">
            <v>Remaining_amount_seller</v>
          </cell>
          <cell r="C148">
            <v>0</v>
          </cell>
          <cell r="E148" t="str">
            <v/>
          </cell>
        </row>
        <row r="149">
          <cell r="B149" t="str">
            <v>Principal_collections</v>
          </cell>
          <cell r="C149">
            <v>24223533.280000001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28.13</v>
          </cell>
          <cell r="E154" t="str">
            <v/>
          </cell>
        </row>
        <row r="155">
          <cell r="B155" t="str">
            <v>Mezzanine_loan_disbursement</v>
          </cell>
          <cell r="C155">
            <v>0</v>
          </cell>
          <cell r="E155" t="str">
            <v/>
          </cell>
        </row>
        <row r="156">
          <cell r="B156" t="str">
            <v>PDL</v>
          </cell>
          <cell r="C156">
            <v>2282567.66</v>
          </cell>
          <cell r="E156" t="str">
            <v/>
          </cell>
        </row>
        <row r="157">
          <cell r="B157" t="str">
            <v>Other_amounts_paid_Principal</v>
          </cell>
          <cell r="C157">
            <v>0</v>
          </cell>
          <cell r="E157" t="str">
            <v/>
          </cell>
        </row>
        <row r="158">
          <cell r="B158" t="str">
            <v>Available_Principal_amount</v>
          </cell>
          <cell r="C158">
            <v>26506129.07</v>
          </cell>
          <cell r="E158" t="str">
            <v/>
          </cell>
        </row>
        <row r="159">
          <cell r="B159" t="str">
            <v>Available_Principal_amount</v>
          </cell>
          <cell r="C159">
            <v>26506129.07</v>
          </cell>
          <cell r="E159" t="str">
            <v/>
          </cell>
        </row>
        <row r="160">
          <cell r="B160" t="str">
            <v>Addition_amounts</v>
          </cell>
          <cell r="C160">
            <v>0</v>
          </cell>
          <cell r="E160" t="str">
            <v/>
          </cell>
        </row>
        <row r="161">
          <cell r="B161" t="str">
            <v>Net_note_available_Principal_Proceeds</v>
          </cell>
          <cell r="C161">
            <v>26506129.07</v>
          </cell>
          <cell r="E161" t="str">
            <v/>
          </cell>
        </row>
        <row r="162">
          <cell r="B162" t="str">
            <v>Replenishment</v>
          </cell>
          <cell r="C162">
            <v>0</v>
          </cell>
          <cell r="E162" t="str">
            <v/>
          </cell>
        </row>
        <row r="163">
          <cell r="B163" t="str">
            <v>Purchase_Shortfall</v>
          </cell>
          <cell r="C163">
            <v>0</v>
          </cell>
          <cell r="E163" t="str">
            <v/>
          </cell>
        </row>
        <row r="164">
          <cell r="B164" t="str">
            <v>A_prorata_Principal</v>
          </cell>
          <cell r="C164">
            <v>20792852.079999998</v>
          </cell>
          <cell r="E164" t="str">
            <v/>
          </cell>
        </row>
        <row r="165">
          <cell r="B165" t="str">
            <v>B_prorata_Principal</v>
          </cell>
          <cell r="C165">
            <v>1373372</v>
          </cell>
          <cell r="E165" t="str">
            <v/>
          </cell>
        </row>
        <row r="166">
          <cell r="B166" t="str">
            <v>C_prorata_Principal</v>
          </cell>
          <cell r="C166">
            <v>1455774.32</v>
          </cell>
          <cell r="E166" t="str">
            <v/>
          </cell>
        </row>
        <row r="167">
          <cell r="B167" t="str">
            <v>D_prorata_Principal</v>
          </cell>
          <cell r="C167">
            <v>1428306.88</v>
          </cell>
          <cell r="E167" t="str">
            <v/>
          </cell>
        </row>
        <row r="168">
          <cell r="B168" t="str">
            <v>E_prorata_Principal</v>
          </cell>
          <cell r="C168">
            <v>1455774.32</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49.47</v>
          </cell>
          <cell r="E179" t="str">
            <v/>
          </cell>
        </row>
        <row r="180">
          <cell r="B180" t="str">
            <v>Transaction_Account_remaining_amount</v>
          </cell>
          <cell r="C180">
            <v>0</v>
          </cell>
          <cell r="E180" t="str">
            <v/>
          </cell>
        </row>
        <row r="181">
          <cell r="B181" t="str">
            <v>Senior_Expenses</v>
          </cell>
          <cell r="C181">
            <v>3000</v>
          </cell>
          <cell r="E181" t="str">
            <v/>
          </cell>
        </row>
        <row r="182">
          <cell r="B182" t="str">
            <v>Total_Interests_accrued</v>
          </cell>
          <cell r="C182">
            <v>3647020.74</v>
          </cell>
          <cell r="E182" t="str">
            <v/>
          </cell>
        </row>
        <row r="183">
          <cell r="B183" t="str">
            <v>A_Interests_accrued</v>
          </cell>
          <cell r="C183">
            <v>2412044.2400000002</v>
          </cell>
          <cell r="E183" t="str">
            <v/>
          </cell>
        </row>
        <row r="184">
          <cell r="B184" t="str">
            <v>B_Interests_accrued</v>
          </cell>
          <cell r="C184">
            <v>189752</v>
          </cell>
          <cell r="E184" t="str">
            <v/>
          </cell>
        </row>
        <row r="185">
          <cell r="B185" t="str">
            <v>C_Interests_accrued</v>
          </cell>
          <cell r="C185">
            <v>245830.96</v>
          </cell>
          <cell r="E185" t="str">
            <v/>
          </cell>
        </row>
        <row r="186">
          <cell r="B186" t="str">
            <v>D_Interests_accrued</v>
          </cell>
          <cell r="C186">
            <v>296487.36</v>
          </cell>
          <cell r="E186" t="str">
            <v/>
          </cell>
        </row>
        <row r="187">
          <cell r="B187" t="str">
            <v>E_Interests_accrued</v>
          </cell>
          <cell r="C187">
            <v>403240.96000000002</v>
          </cell>
          <cell r="E187" t="str">
            <v/>
          </cell>
        </row>
        <row r="188">
          <cell r="B188" t="str">
            <v>F_Interests_accrued</v>
          </cell>
          <cell r="C188">
            <v>88934.720000000001</v>
          </cell>
          <cell r="E188" t="str">
            <v/>
          </cell>
        </row>
        <row r="189">
          <cell r="B189" t="str">
            <v>Reserve_Interests_accrued</v>
          </cell>
          <cell r="C189">
            <v>10730.5</v>
          </cell>
          <cell r="E189" t="str">
            <v/>
          </cell>
        </row>
        <row r="190">
          <cell r="B190" t="str">
            <v>Total_Interests_accrued_cum</v>
          </cell>
          <cell r="C190">
            <v>44405251.590000004</v>
          </cell>
          <cell r="E190" t="str">
            <v/>
          </cell>
        </row>
        <row r="191">
          <cell r="B191" t="str">
            <v>A_Interests_accrued_cum</v>
          </cell>
          <cell r="C191">
            <v>29442758</v>
          </cell>
          <cell r="E191" t="str">
            <v/>
          </cell>
        </row>
        <row r="192">
          <cell r="B192" t="str">
            <v>B_Interests_accrued_cum</v>
          </cell>
          <cell r="C192">
            <v>2303448</v>
          </cell>
          <cell r="E192" t="str">
            <v/>
          </cell>
        </row>
        <row r="193">
          <cell r="B193" t="str">
            <v>C_Interests_accrued_cum</v>
          </cell>
          <cell r="C193">
            <v>2968530</v>
          </cell>
          <cell r="E193" t="str">
            <v/>
          </cell>
        </row>
        <row r="194">
          <cell r="B194" t="str">
            <v>D_Interests_accrued_cum</v>
          </cell>
          <cell r="C194">
            <v>3564308.8</v>
          </cell>
          <cell r="E194" t="str">
            <v/>
          </cell>
        </row>
        <row r="195">
          <cell r="B195" t="str">
            <v>E_Interests_accrued_cum</v>
          </cell>
          <cell r="C195">
            <v>4824060</v>
          </cell>
          <cell r="E195" t="str">
            <v/>
          </cell>
        </row>
        <row r="196">
          <cell r="B196" t="str">
            <v>F_Interests_accrued_cum</v>
          </cell>
          <cell r="C196">
            <v>1175525.1200000001</v>
          </cell>
          <cell r="E196" t="str">
            <v/>
          </cell>
        </row>
        <row r="197">
          <cell r="B197" t="str">
            <v>Reserve_Interests_accrued_cum</v>
          </cell>
          <cell r="C197">
            <v>126621.67</v>
          </cell>
          <cell r="E197" t="str">
            <v/>
          </cell>
        </row>
        <row r="198">
          <cell r="B198" t="str">
            <v>Total_Interest_Payments</v>
          </cell>
          <cell r="C198">
            <v>3636290.24</v>
          </cell>
          <cell r="E198" t="str">
            <v/>
          </cell>
        </row>
        <row r="199">
          <cell r="B199" t="str">
            <v>A_Interest_Payments</v>
          </cell>
          <cell r="C199">
            <v>2412044.2400000002</v>
          </cell>
          <cell r="E199" t="str">
            <v/>
          </cell>
        </row>
        <row r="200">
          <cell r="B200" t="str">
            <v>B_Interest_Payments</v>
          </cell>
          <cell r="C200">
            <v>189752</v>
          </cell>
          <cell r="E200" t="str">
            <v/>
          </cell>
        </row>
        <row r="201">
          <cell r="B201" t="str">
            <v>C_Interest_Payments</v>
          </cell>
          <cell r="C201">
            <v>245830.96</v>
          </cell>
          <cell r="E201" t="str">
            <v/>
          </cell>
        </row>
        <row r="202">
          <cell r="B202" t="str">
            <v>D_Interest_Payments</v>
          </cell>
          <cell r="C202">
            <v>296487.36</v>
          </cell>
          <cell r="E202" t="str">
            <v/>
          </cell>
        </row>
        <row r="203">
          <cell r="B203" t="str">
            <v>E_Interest_Payments</v>
          </cell>
          <cell r="C203">
            <v>403240.96000000002</v>
          </cell>
          <cell r="E203" t="str">
            <v/>
          </cell>
        </row>
        <row r="204">
          <cell r="B204" t="str">
            <v>F_Interest_Payments</v>
          </cell>
          <cell r="C204">
            <v>88934.720000000001</v>
          </cell>
          <cell r="E204" t="str">
            <v/>
          </cell>
        </row>
        <row r="205">
          <cell r="B205" t="str">
            <v>Reserve_Interest_Payments</v>
          </cell>
          <cell r="C205">
            <v>0</v>
          </cell>
          <cell r="E205" t="str">
            <v/>
          </cell>
        </row>
        <row r="206">
          <cell r="B206" t="str">
            <v>Total_Interest_Payments_cum</v>
          </cell>
          <cell r="C206">
            <v>44335340.759999998</v>
          </cell>
          <cell r="E206" t="str">
            <v/>
          </cell>
        </row>
        <row r="207">
          <cell r="B207" t="str">
            <v>A_Interest_Payments_cum</v>
          </cell>
          <cell r="C207">
            <v>29442758</v>
          </cell>
          <cell r="E207" t="str">
            <v/>
          </cell>
        </row>
        <row r="208">
          <cell r="B208" t="str">
            <v>B_Interest_Payments_cum</v>
          </cell>
          <cell r="C208">
            <v>2303448</v>
          </cell>
          <cell r="E208" t="str">
            <v/>
          </cell>
        </row>
        <row r="209">
          <cell r="B209" t="str">
            <v>C_Interest_Payments_cum</v>
          </cell>
          <cell r="C209">
            <v>2968530</v>
          </cell>
          <cell r="E209" t="str">
            <v/>
          </cell>
        </row>
        <row r="210">
          <cell r="B210" t="str">
            <v>D_Interest_Payments_cum</v>
          </cell>
          <cell r="C210">
            <v>3564308.8</v>
          </cell>
          <cell r="E210" t="str">
            <v/>
          </cell>
        </row>
        <row r="211">
          <cell r="B211" t="str">
            <v>E_Interest_Payments_cum</v>
          </cell>
          <cell r="C211">
            <v>4824060</v>
          </cell>
          <cell r="E211" t="str">
            <v/>
          </cell>
        </row>
        <row r="212">
          <cell r="B212" t="str">
            <v>F_Interest_Payments_cum</v>
          </cell>
          <cell r="C212">
            <v>1175525.1200000001</v>
          </cell>
          <cell r="E212" t="str">
            <v/>
          </cell>
        </row>
        <row r="213">
          <cell r="B213" t="str">
            <v>Reserve_Interest_Payments_cum</v>
          </cell>
          <cell r="C213">
            <v>56710.84</v>
          </cell>
          <cell r="E213" t="str">
            <v/>
          </cell>
        </row>
        <row r="214">
          <cell r="B214" t="str">
            <v>Total_Interests_unpaid</v>
          </cell>
          <cell r="C214">
            <v>10730.5</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10730.5</v>
          </cell>
          <cell r="E221" t="str">
            <v/>
          </cell>
        </row>
        <row r="222">
          <cell r="B222" t="str">
            <v>Total_Interests_unpaid_cum</v>
          </cell>
          <cell r="C222">
            <v>69910.83</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69910.83</v>
          </cell>
          <cell r="E229" t="str">
            <v/>
          </cell>
        </row>
        <row r="230">
          <cell r="B230" t="str">
            <v>Reserve_outstanding</v>
          </cell>
          <cell r="C230">
            <v>11706000</v>
          </cell>
          <cell r="E230" t="str">
            <v/>
          </cell>
        </row>
        <row r="231">
          <cell r="B231" t="str">
            <v>Swap_Notional_amount</v>
          </cell>
          <cell r="C231">
            <v>779840000</v>
          </cell>
          <cell r="E231" t="str">
            <v/>
          </cell>
        </row>
        <row r="232">
          <cell r="B232" t="str">
            <v>Fixed_Rate</v>
          </cell>
          <cell r="C232">
            <v>3.1899999999999998E-2</v>
          </cell>
          <cell r="E232" t="str">
            <v/>
          </cell>
        </row>
        <row r="233">
          <cell r="B233" t="str">
            <v>Floating_Rate</v>
          </cell>
          <cell r="C233">
            <v>3.6249999999999998E-2</v>
          </cell>
          <cell r="E233" t="str">
            <v/>
          </cell>
        </row>
        <row r="234">
          <cell r="B234" t="str">
            <v>Net_Swap_Payments</v>
          </cell>
          <cell r="C234">
            <v>-310961.2</v>
          </cell>
          <cell r="E234" t="str">
            <v/>
          </cell>
        </row>
        <row r="235">
          <cell r="B235" t="str">
            <v>Swap_Notional_amount_next</v>
          </cell>
          <cell r="C235">
            <v>753333920.39999998</v>
          </cell>
          <cell r="E235" t="str">
            <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zoomScale="80" zoomScaleNormal="70" zoomScaleSheetLayoutView="80" zoomScalePageLayoutView="60" workbookViewId="0">
      <selection activeCell="P51" sqref="P51"/>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84" customWidth="1"/>
    <col min="21" max="21" width="15.81640625" style="685"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tr">
        <f>'Cover Sheet'!B2</f>
        <v>SC Germany Consumer 2022-1</v>
      </c>
      <c r="C2" s="25"/>
      <c r="D2" s="241" t="str">
        <f>'Cover Sheet'!D2</f>
        <v>Calculation Date</v>
      </c>
      <c r="E2" s="242"/>
      <c r="F2" s="243">
        <f>'Cover Sheet'!F2</f>
        <v>45911</v>
      </c>
      <c r="G2" s="242"/>
      <c r="H2" s="242"/>
      <c r="I2" s="242"/>
      <c r="J2" s="242"/>
      <c r="K2" s="242"/>
      <c r="L2" s="242"/>
      <c r="M2" s="242"/>
      <c r="N2" s="242"/>
      <c r="O2" s="242"/>
      <c r="P2" s="242"/>
      <c r="Q2" s="242"/>
      <c r="R2" s="244"/>
      <c r="S2" s="314"/>
      <c r="T2" s="686"/>
    </row>
    <row r="3" spans="1:21" ht="18">
      <c r="A3" s="285"/>
      <c r="B3" s="240" t="str">
        <f>'Cover Sheet'!B3</f>
        <v>Monthly Investor Report</v>
      </c>
      <c r="C3" s="25"/>
      <c r="D3" s="248" t="str">
        <f>'Cover Sheet'!D3</f>
        <v>Payment Date</v>
      </c>
      <c r="E3" s="249"/>
      <c r="F3" s="250">
        <f>'Cover Sheet'!F3</f>
        <v>45915</v>
      </c>
      <c r="G3" s="249"/>
      <c r="H3" s="249"/>
      <c r="I3" s="249"/>
      <c r="J3" s="249"/>
      <c r="K3" s="249"/>
      <c r="L3" s="249"/>
      <c r="M3" s="249"/>
      <c r="N3" s="249"/>
      <c r="O3" s="249"/>
      <c r="P3" s="249"/>
      <c r="Q3" s="249"/>
      <c r="R3" s="251"/>
      <c r="S3" s="314"/>
      <c r="T3" s="686"/>
    </row>
    <row r="4" spans="1:21">
      <c r="A4" s="285"/>
      <c r="B4" s="253"/>
      <c r="C4" s="25"/>
      <c r="D4" s="248" t="str">
        <f>'Cover Sheet'!D4</f>
        <v>Period  No</v>
      </c>
      <c r="E4" s="249"/>
      <c r="F4" s="254">
        <f>'Cover Sheet'!F4</f>
        <v>35</v>
      </c>
      <c r="G4" s="249"/>
      <c r="H4" s="249"/>
      <c r="I4" s="249"/>
      <c r="J4" s="249"/>
      <c r="K4" s="249"/>
      <c r="L4" s="255"/>
      <c r="M4" s="255"/>
      <c r="N4" s="255"/>
      <c r="O4" s="249"/>
      <c r="P4" s="249"/>
      <c r="Q4" s="249"/>
      <c r="R4" s="256"/>
      <c r="S4" s="314"/>
      <c r="T4" s="686"/>
    </row>
    <row r="5" spans="1:21" ht="18">
      <c r="A5" s="285"/>
      <c r="B5" s="257" t="s">
        <v>138</v>
      </c>
      <c r="C5" s="25"/>
      <c r="D5" s="248" t="str">
        <f>'Cover Sheet'!D5</f>
        <v>Monthly Period</v>
      </c>
      <c r="E5" s="249"/>
      <c r="F5" s="121">
        <f>'Cover Sheet'!F5</f>
        <v>45915</v>
      </c>
      <c r="G5" s="249"/>
      <c r="H5" s="249"/>
      <c r="I5" s="249"/>
      <c r="J5" s="249"/>
      <c r="K5" s="249"/>
      <c r="L5" s="255"/>
      <c r="M5" s="255"/>
      <c r="N5" s="255"/>
      <c r="O5" s="249"/>
      <c r="P5" s="249"/>
      <c r="Q5" s="249"/>
      <c r="R5" s="256"/>
      <c r="S5" s="314"/>
      <c r="T5" s="686"/>
    </row>
    <row r="6" spans="1:21" s="247" customFormat="1" ht="15" customHeight="1">
      <c r="A6" s="239"/>
      <c r="B6" s="258"/>
      <c r="C6" s="330"/>
      <c r="D6" s="248" t="str">
        <f>'Cover Sheet'!D6</f>
        <v>Interest Period</v>
      </c>
      <c r="E6" s="260" t="s">
        <v>34</v>
      </c>
      <c r="F6" s="250">
        <f>'Cover Sheet'!F6</f>
        <v>45883</v>
      </c>
      <c r="G6" s="260" t="str">
        <f>'Cover Sheet'!G6</f>
        <v>to</v>
      </c>
      <c r="H6" s="250">
        <f>'Cover Sheet'!H6</f>
        <v>45915</v>
      </c>
      <c r="I6" s="260" t="str">
        <f>'Cover Sheet'!I6</f>
        <v>=</v>
      </c>
      <c r="J6" s="687" t="str">
        <f>'Cover Sheet'!J6</f>
        <v>32 days</v>
      </c>
      <c r="K6" s="260"/>
      <c r="L6" s="250"/>
      <c r="M6" s="250"/>
      <c r="N6" s="250"/>
      <c r="O6" s="260"/>
      <c r="P6" s="260"/>
      <c r="Q6" s="260"/>
      <c r="R6" s="372"/>
      <c r="S6" s="327"/>
      <c r="T6" s="688"/>
      <c r="U6" s="331"/>
    </row>
    <row r="7" spans="1:21">
      <c r="A7" s="285"/>
      <c r="B7" s="25"/>
      <c r="C7" s="25"/>
      <c r="D7" s="689" t="str">
        <f>'Cover Sheet'!D7</f>
        <v>Collection Period</v>
      </c>
      <c r="E7" s="690" t="s">
        <v>34</v>
      </c>
      <c r="F7" s="264" t="str">
        <f>'Cover Sheet'!F7</f>
        <v>01.08.2025</v>
      </c>
      <c r="G7" s="690" t="str">
        <f>'Cover Sheet'!G7</f>
        <v>to</v>
      </c>
      <c r="H7" s="264">
        <f>'Cover Sheet'!H7</f>
        <v>45900</v>
      </c>
      <c r="I7" s="690"/>
      <c r="J7" s="690"/>
      <c r="K7" s="690"/>
      <c r="L7" s="264"/>
      <c r="M7" s="264"/>
      <c r="N7" s="264"/>
      <c r="O7" s="265"/>
      <c r="P7" s="265"/>
      <c r="Q7" s="265"/>
      <c r="R7" s="266"/>
      <c r="S7" s="314"/>
      <c r="T7" s="686"/>
    </row>
    <row r="8" spans="1:21" ht="13">
      <c r="A8" s="285"/>
      <c r="B8" s="25"/>
      <c r="C8" s="25"/>
      <c r="D8" s="691"/>
      <c r="E8" s="6"/>
      <c r="F8" s="691"/>
      <c r="G8" s="25"/>
      <c r="H8" s="25"/>
      <c r="I8" s="25"/>
      <c r="J8" s="25"/>
      <c r="K8" s="25"/>
      <c r="L8" s="692"/>
      <c r="M8" s="692"/>
      <c r="N8" s="692"/>
      <c r="O8" s="25"/>
      <c r="P8" s="25"/>
      <c r="Q8" s="25"/>
      <c r="R8" s="25"/>
      <c r="S8" s="314"/>
    </row>
    <row r="9" spans="1:21" ht="13">
      <c r="A9" s="285"/>
      <c r="B9" s="693"/>
      <c r="C9" s="25"/>
      <c r="D9" s="691"/>
      <c r="E9" s="6"/>
      <c r="F9" s="691"/>
      <c r="G9" s="25"/>
      <c r="H9" s="25"/>
      <c r="I9" s="25"/>
      <c r="J9" s="25"/>
      <c r="K9" s="25"/>
      <c r="L9" s="692"/>
      <c r="M9" s="692"/>
      <c r="N9" s="692"/>
      <c r="O9" s="25"/>
      <c r="P9" s="25"/>
      <c r="Q9" s="25"/>
      <c r="R9" s="25"/>
      <c r="S9" s="314"/>
    </row>
    <row r="10" spans="1:21">
      <c r="A10" s="285"/>
      <c r="B10" s="25"/>
      <c r="C10" s="25"/>
      <c r="D10" s="25"/>
      <c r="E10" s="25"/>
      <c r="F10" s="25"/>
      <c r="G10" s="25"/>
      <c r="H10" s="25"/>
      <c r="I10" s="25"/>
      <c r="J10" s="25"/>
      <c r="K10" s="25"/>
      <c r="L10" s="694"/>
      <c r="M10" s="694"/>
      <c r="N10" s="694"/>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695" t="s">
        <v>7</v>
      </c>
      <c r="D13" s="695" t="s">
        <v>5</v>
      </c>
      <c r="E13" s="695"/>
      <c r="F13" s="695" t="s">
        <v>6</v>
      </c>
      <c r="G13" s="695"/>
      <c r="H13" s="695" t="s">
        <v>180</v>
      </c>
      <c r="I13" s="695"/>
      <c r="J13" s="695" t="s">
        <v>181</v>
      </c>
      <c r="K13" s="695"/>
      <c r="L13" s="695" t="s">
        <v>182</v>
      </c>
      <c r="M13" s="695"/>
      <c r="N13" s="695" t="s">
        <v>229</v>
      </c>
      <c r="O13" s="695"/>
      <c r="P13" s="695" t="s">
        <v>240</v>
      </c>
      <c r="Q13" s="695"/>
      <c r="R13" s="695"/>
      <c r="S13" s="314"/>
      <c r="T13" s="696"/>
    </row>
    <row r="14" spans="1:21" ht="12.75" customHeight="1">
      <c r="A14" s="285"/>
      <c r="B14" s="697" t="s">
        <v>16</v>
      </c>
      <c r="C14" s="698"/>
      <c r="D14" s="698"/>
      <c r="E14" s="698"/>
      <c r="F14" s="698"/>
      <c r="G14" s="698"/>
      <c r="H14" s="698"/>
      <c r="I14" s="698"/>
      <c r="J14" s="698"/>
      <c r="K14" s="698"/>
      <c r="L14" s="698"/>
      <c r="M14" s="698"/>
      <c r="N14" s="698"/>
      <c r="O14" s="698"/>
      <c r="P14" s="698"/>
      <c r="Q14" s="698"/>
      <c r="R14" s="699"/>
      <c r="S14" s="314"/>
      <c r="T14" s="696"/>
    </row>
    <row r="15" spans="1:21" ht="14.25" customHeight="1">
      <c r="A15" s="285"/>
      <c r="B15" s="285" t="s">
        <v>17</v>
      </c>
      <c r="C15" s="700"/>
      <c r="D15" s="82" t="s">
        <v>574</v>
      </c>
      <c r="E15" s="685"/>
      <c r="F15" s="82" t="s">
        <v>575</v>
      </c>
      <c r="G15" s="701"/>
      <c r="H15" s="82" t="s">
        <v>576</v>
      </c>
      <c r="I15" s="701"/>
      <c r="J15" s="82" t="s">
        <v>577</v>
      </c>
      <c r="K15" s="701"/>
      <c r="L15" s="82" t="s">
        <v>578</v>
      </c>
      <c r="M15" s="702"/>
      <c r="N15" s="82" t="s">
        <v>579</v>
      </c>
      <c r="O15" s="701"/>
      <c r="P15" s="82" t="s">
        <v>580</v>
      </c>
      <c r="Q15" s="700"/>
      <c r="R15" s="703"/>
      <c r="S15" s="314"/>
      <c r="T15" s="696"/>
    </row>
    <row r="16" spans="1:21" ht="14.25" customHeight="1">
      <c r="A16" s="285"/>
      <c r="B16" s="285" t="s">
        <v>56</v>
      </c>
      <c r="C16" s="700"/>
      <c r="D16" s="701" t="s">
        <v>54</v>
      </c>
      <c r="E16" s="701"/>
      <c r="F16" s="701" t="s">
        <v>54</v>
      </c>
      <c r="G16" s="704"/>
      <c r="H16" s="701" t="s">
        <v>54</v>
      </c>
      <c r="I16" s="704"/>
      <c r="J16" s="701" t="s">
        <v>54</v>
      </c>
      <c r="K16" s="704"/>
      <c r="L16" s="701" t="s">
        <v>54</v>
      </c>
      <c r="M16" s="701"/>
      <c r="N16" s="701" t="s">
        <v>54</v>
      </c>
      <c r="O16" s="704"/>
      <c r="P16" s="701" t="s">
        <v>54</v>
      </c>
      <c r="Q16" s="700"/>
      <c r="R16" s="703"/>
      <c r="S16" s="314"/>
      <c r="T16" s="696"/>
    </row>
    <row r="17" spans="1:21" ht="13">
      <c r="A17" s="285"/>
      <c r="B17" s="285" t="s">
        <v>18</v>
      </c>
      <c r="C17" s="694" t="s">
        <v>8</v>
      </c>
      <c r="D17" s="705">
        <v>0.75600000000000001</v>
      </c>
      <c r="E17" s="705"/>
      <c r="F17" s="705">
        <v>4.3999999999999997E-2</v>
      </c>
      <c r="G17" s="705"/>
      <c r="H17" s="705">
        <v>5.5E-2</v>
      </c>
      <c r="I17" s="705"/>
      <c r="J17" s="705">
        <v>0.04</v>
      </c>
      <c r="K17" s="705"/>
      <c r="L17" s="705">
        <v>5.0999999999999997E-2</v>
      </c>
      <c r="M17" s="705"/>
      <c r="N17" s="705">
        <v>2.5999999999999999E-2</v>
      </c>
      <c r="O17" s="705"/>
      <c r="P17" s="705">
        <v>2.8000000000000001E-2</v>
      </c>
      <c r="Q17" s="706"/>
      <c r="R17" s="707"/>
      <c r="S17" s="314"/>
      <c r="T17" s="708"/>
    </row>
    <row r="18" spans="1:21" ht="13">
      <c r="A18" s="285"/>
      <c r="B18" s="285" t="s">
        <v>139</v>
      </c>
      <c r="C18" s="694"/>
      <c r="D18" s="702">
        <v>49962</v>
      </c>
      <c r="E18" s="685"/>
      <c r="F18" s="702">
        <v>49962</v>
      </c>
      <c r="G18" s="701"/>
      <c r="H18" s="702">
        <v>49962</v>
      </c>
      <c r="I18" s="701"/>
      <c r="J18" s="702">
        <v>49962</v>
      </c>
      <c r="K18" s="701"/>
      <c r="L18" s="702">
        <v>49962</v>
      </c>
      <c r="M18" s="702"/>
      <c r="N18" s="702">
        <v>49962</v>
      </c>
      <c r="O18" s="701"/>
      <c r="P18" s="702">
        <v>49962</v>
      </c>
      <c r="Q18" s="706"/>
      <c r="R18" s="707"/>
      <c r="S18" s="314"/>
      <c r="T18" s="708"/>
    </row>
    <row r="19" spans="1:21" ht="13">
      <c r="A19" s="285"/>
      <c r="B19" s="285" t="s">
        <v>168</v>
      </c>
      <c r="C19" s="694"/>
      <c r="D19" s="702">
        <v>46705</v>
      </c>
      <c r="E19" s="685"/>
      <c r="F19" s="702">
        <v>46705</v>
      </c>
      <c r="G19" s="701"/>
      <c r="H19" s="702">
        <v>46705</v>
      </c>
      <c r="I19" s="701"/>
      <c r="J19" s="702">
        <v>46705</v>
      </c>
      <c r="K19" s="701"/>
      <c r="L19" s="702">
        <v>46705</v>
      </c>
      <c r="M19" s="702"/>
      <c r="N19" s="702">
        <v>45305</v>
      </c>
      <c r="O19" s="701"/>
      <c r="P19" s="702">
        <v>46705</v>
      </c>
      <c r="Q19" s="706"/>
      <c r="R19" s="707"/>
      <c r="S19" s="314"/>
      <c r="T19" s="708"/>
    </row>
    <row r="20" spans="1:21" ht="13">
      <c r="A20" s="285"/>
      <c r="B20" s="285" t="s">
        <v>244</v>
      </c>
      <c r="C20" s="694"/>
      <c r="D20" s="701" t="s">
        <v>406</v>
      </c>
      <c r="E20" s="701"/>
      <c r="F20" s="701" t="s">
        <v>602</v>
      </c>
      <c r="G20" s="701"/>
      <c r="H20" s="701" t="s">
        <v>605</v>
      </c>
      <c r="I20" s="701"/>
      <c r="J20" s="701" t="s">
        <v>429</v>
      </c>
      <c r="K20" s="701"/>
      <c r="L20" s="701" t="s">
        <v>603</v>
      </c>
      <c r="M20" s="701"/>
      <c r="N20" s="701" t="s">
        <v>604</v>
      </c>
      <c r="O20" s="701"/>
      <c r="P20" s="701" t="s">
        <v>407</v>
      </c>
      <c r="Q20" s="706"/>
      <c r="R20" s="707"/>
      <c r="S20" s="314"/>
      <c r="T20" s="708"/>
    </row>
    <row r="21" spans="1:21" ht="13">
      <c r="A21" s="285"/>
      <c r="B21" s="285" t="s">
        <v>245</v>
      </c>
      <c r="C21" s="709" t="s">
        <v>417</v>
      </c>
      <c r="D21" s="701" t="str">
        <f>VLOOKUP(D15,ratings,18,FALSE)</f>
        <v>AAA (sf)/Aaa (sf)</v>
      </c>
      <c r="E21" s="701"/>
      <c r="F21" s="701" t="str">
        <f>VLOOKUP(F15,ratings,18,FALSE)</f>
        <v>AA- (sf)/Aaa (sf)</v>
      </c>
      <c r="G21" s="701"/>
      <c r="H21" s="701" t="str">
        <f>VLOOKUP(H15,ratings,18,FALSE)</f>
        <v>A (sf)/Aa3 (sf)</v>
      </c>
      <c r="I21" s="701"/>
      <c r="J21" s="701" t="str">
        <f>VLOOKUP(J15,ratings,18,FALSE)</f>
        <v>BBB (sf)/Baa3 (sf)</v>
      </c>
      <c r="K21" s="701"/>
      <c r="L21" s="701" t="str">
        <f>VLOOKUP(L15,ratings,18,FALSE)</f>
        <v>B+ (sf)/Ba3 (sf)</v>
      </c>
      <c r="M21" s="701"/>
      <c r="N21" s="701" t="str">
        <f>VLOOKUP(N15,ratings,18,FALSE)</f>
        <v>CC (sf)/Caa1 (sf)</v>
      </c>
      <c r="O21" s="701"/>
      <c r="P21" s="701" t="str">
        <f>VLOOKUP(P15,ratings,18,FALSE)</f>
        <v/>
      </c>
      <c r="Q21" s="706"/>
      <c r="R21" s="707"/>
      <c r="S21" s="314"/>
      <c r="T21" s="708"/>
    </row>
    <row r="22" spans="1:21">
      <c r="A22" s="285"/>
      <c r="B22" s="285" t="s">
        <v>45</v>
      </c>
      <c r="C22" s="710">
        <f>SUM(D22:P22)</f>
        <v>1000000000</v>
      </c>
      <c r="D22" s="711">
        <v>756000000</v>
      </c>
      <c r="E22" s="701"/>
      <c r="F22" s="711">
        <v>44000000</v>
      </c>
      <c r="G22" s="701"/>
      <c r="H22" s="711">
        <v>55000000</v>
      </c>
      <c r="I22" s="701"/>
      <c r="J22" s="711">
        <v>40000000</v>
      </c>
      <c r="K22" s="701"/>
      <c r="L22" s="711">
        <v>51000000</v>
      </c>
      <c r="M22" s="701"/>
      <c r="N22" s="711">
        <v>26000000</v>
      </c>
      <c r="O22" s="701"/>
      <c r="P22" s="711">
        <v>28000000</v>
      </c>
      <c r="Q22" s="712"/>
      <c r="R22" s="713"/>
      <c r="S22" s="314"/>
    </row>
    <row r="23" spans="1:21">
      <c r="A23" s="285"/>
      <c r="B23" s="285" t="s">
        <v>19</v>
      </c>
      <c r="C23" s="693"/>
      <c r="D23" s="711">
        <v>100000</v>
      </c>
      <c r="E23" s="6"/>
      <c r="F23" s="711">
        <f>D23</f>
        <v>100000</v>
      </c>
      <c r="G23" s="6"/>
      <c r="H23" s="711">
        <f>D23</f>
        <v>100000</v>
      </c>
      <c r="I23" s="6"/>
      <c r="J23" s="711">
        <f>D23</f>
        <v>100000</v>
      </c>
      <c r="K23" s="6"/>
      <c r="L23" s="711">
        <f>D23</f>
        <v>100000</v>
      </c>
      <c r="M23" s="711"/>
      <c r="N23" s="711">
        <f>D23</f>
        <v>100000</v>
      </c>
      <c r="O23" s="6"/>
      <c r="P23" s="711">
        <v>100000</v>
      </c>
      <c r="Q23" s="25"/>
      <c r="R23" s="714"/>
      <c r="S23" s="314"/>
      <c r="U23" s="715"/>
    </row>
    <row r="24" spans="1:21">
      <c r="A24" s="285"/>
      <c r="B24" s="348" t="s">
        <v>20</v>
      </c>
      <c r="C24" s="716"/>
      <c r="D24" s="717">
        <f>D22/D23</f>
        <v>7560</v>
      </c>
      <c r="E24" s="718"/>
      <c r="F24" s="717">
        <f>F22/F23</f>
        <v>440</v>
      </c>
      <c r="G24" s="717"/>
      <c r="H24" s="717">
        <f>H22/H23</f>
        <v>550</v>
      </c>
      <c r="I24" s="717"/>
      <c r="J24" s="717">
        <f>J22/J23</f>
        <v>400</v>
      </c>
      <c r="K24" s="717"/>
      <c r="L24" s="717">
        <f>L22/L23</f>
        <v>510</v>
      </c>
      <c r="M24" s="717"/>
      <c r="N24" s="717">
        <f>N22/N23</f>
        <v>260</v>
      </c>
      <c r="O24" s="717"/>
      <c r="P24" s="717">
        <f>P22/P23</f>
        <v>280</v>
      </c>
      <c r="Q24" s="40"/>
      <c r="R24" s="719"/>
      <c r="S24" s="314"/>
    </row>
    <row r="25" spans="1:21" ht="12.75" customHeight="1">
      <c r="A25" s="285"/>
      <c r="B25" s="235"/>
      <c r="C25" s="236"/>
      <c r="D25" s="720"/>
      <c r="E25" s="236"/>
      <c r="F25" s="720"/>
      <c r="G25" s="236"/>
      <c r="H25" s="236"/>
      <c r="I25" s="236"/>
      <c r="J25" s="236"/>
      <c r="K25" s="236"/>
      <c r="L25" s="720"/>
      <c r="M25" s="720"/>
      <c r="N25" s="720"/>
      <c r="O25" s="236"/>
      <c r="P25" s="236"/>
      <c r="Q25" s="236"/>
      <c r="R25" s="721"/>
      <c r="S25" s="314"/>
    </row>
    <row r="26" spans="1:21" ht="13">
      <c r="A26" s="285"/>
      <c r="B26" s="722" t="s">
        <v>21</v>
      </c>
      <c r="C26" s="25"/>
      <c r="D26" s="25"/>
      <c r="E26" s="25"/>
      <c r="F26" s="25"/>
      <c r="G26" s="25"/>
      <c r="H26" s="25"/>
      <c r="I26" s="25"/>
      <c r="J26" s="25"/>
      <c r="K26" s="25"/>
      <c r="L26" s="25"/>
      <c r="M26" s="25"/>
      <c r="N26" s="25"/>
      <c r="O26" s="25"/>
      <c r="P26" s="25"/>
      <c r="Q26" s="25"/>
      <c r="R26" s="314"/>
      <c r="S26" s="314"/>
    </row>
    <row r="27" spans="1:21">
      <c r="A27" s="285"/>
      <c r="B27" s="285" t="s">
        <v>46</v>
      </c>
      <c r="C27" s="723">
        <f>SUM(D27,F27,H27,J27,L27,N27,P27)</f>
        <v>509625788.23999989</v>
      </c>
      <c r="D27" s="920">
        <f>VLOOKUP("A_Notes_bop",calcdata_22,2,FALSE)</f>
        <v>328115264.39999992</v>
      </c>
      <c r="E27" s="920"/>
      <c r="F27" s="920">
        <f>VLOOKUP("B_Notes_bop",calcdata_22,2,FALSE)</f>
        <v>30858286.800000001</v>
      </c>
      <c r="G27" s="920"/>
      <c r="H27" s="920">
        <f>VLOOKUP("C_Notes_bop",calcdata_22,2,FALSE)</f>
        <v>38572858.5</v>
      </c>
      <c r="I27" s="920"/>
      <c r="J27" s="920">
        <f>VLOOKUP("D_Notes_bop",calcdata_22,2,FALSE)</f>
        <v>28052988</v>
      </c>
      <c r="K27" s="920"/>
      <c r="L27" s="920">
        <f>VLOOKUP("E_Notes_bop",calcdata_22,2,FALSE)</f>
        <v>35767559.699999988</v>
      </c>
      <c r="M27" s="920"/>
      <c r="N27" s="920">
        <f>VLOOKUP("F_Notes_bop",calcdata_22,2,FALSE)</f>
        <v>20258830.840000004</v>
      </c>
      <c r="O27" s="920"/>
      <c r="P27" s="920">
        <f>VLOOKUP("G_Notes_bop",calcdata_22,2,FALSE)</f>
        <v>28000000</v>
      </c>
      <c r="Q27" s="693"/>
      <c r="R27" s="714"/>
      <c r="S27" s="314"/>
    </row>
    <row r="28" spans="1:21">
      <c r="A28" s="285"/>
      <c r="B28" s="285"/>
      <c r="C28" s="723"/>
      <c r="D28" s="723"/>
      <c r="E28" s="723"/>
      <c r="F28" s="723"/>
      <c r="G28" s="723"/>
      <c r="H28" s="723"/>
      <c r="I28" s="723"/>
      <c r="J28" s="723"/>
      <c r="K28" s="723"/>
      <c r="L28" s="723"/>
      <c r="M28" s="723"/>
      <c r="N28" s="723"/>
      <c r="O28" s="693"/>
      <c r="P28" s="693"/>
      <c r="Q28" s="693"/>
      <c r="R28" s="714"/>
      <c r="S28" s="314"/>
    </row>
    <row r="29" spans="1:21">
      <c r="A29" s="285"/>
      <c r="B29" s="285" t="s">
        <v>140</v>
      </c>
      <c r="C29" s="723">
        <f>VLOOKUP("Replenishment",calcdata_22,2,FALSE)</f>
        <v>0</v>
      </c>
      <c r="D29" s="723"/>
      <c r="E29" s="723"/>
      <c r="F29" s="723"/>
      <c r="G29" s="723"/>
      <c r="H29" s="723"/>
      <c r="I29" s="723"/>
      <c r="J29" s="723"/>
      <c r="K29" s="723"/>
      <c r="L29" s="723"/>
      <c r="M29" s="723"/>
      <c r="N29" s="723"/>
      <c r="O29" s="25"/>
      <c r="P29" s="25"/>
      <c r="Q29" s="25"/>
      <c r="R29" s="314"/>
      <c r="S29" s="314"/>
    </row>
    <row r="30" spans="1:21">
      <c r="A30" s="285"/>
      <c r="B30" s="285" t="s">
        <v>95</v>
      </c>
      <c r="C30" s="723">
        <f>VLOOKUP("Amortisation",calcdata_22,2,FALSE)</f>
        <v>15229468.800000001</v>
      </c>
      <c r="D30" s="723"/>
      <c r="E30" s="723"/>
      <c r="F30" s="723"/>
      <c r="G30" s="723"/>
      <c r="H30" s="723"/>
      <c r="I30" s="723"/>
      <c r="J30" s="723"/>
      <c r="K30" s="723"/>
      <c r="L30" s="723"/>
      <c r="M30" s="723"/>
      <c r="N30" s="723"/>
      <c r="O30" s="25"/>
      <c r="P30" s="25"/>
      <c r="Q30" s="25"/>
      <c r="R30" s="314"/>
      <c r="S30" s="314"/>
    </row>
    <row r="31" spans="1:21">
      <c r="A31" s="285"/>
      <c r="B31" s="285" t="s">
        <v>23</v>
      </c>
      <c r="C31" s="723"/>
      <c r="D31" s="723">
        <f>VLOOKUP("A_Redemption",calcdata_22,2,FALSE)</f>
        <v>15229468.800000001</v>
      </c>
      <c r="E31" s="723"/>
      <c r="F31" s="723">
        <f>VLOOKUP("B_Redemption",calcdata_22,2,FALSE)</f>
        <v>0</v>
      </c>
      <c r="G31" s="723"/>
      <c r="H31" s="723">
        <f>VLOOKUP("C_Redemption",calcdata_22,2,FALSE)</f>
        <v>0</v>
      </c>
      <c r="I31" s="723"/>
      <c r="J31" s="723">
        <f>VLOOKUP("D_Redemption",calcdata_22,2,FALSE)</f>
        <v>0</v>
      </c>
      <c r="K31" s="723"/>
      <c r="L31" s="723">
        <f>VLOOKUP("E_Redemption",calcdata_22,2,FALSE)</f>
        <v>0</v>
      </c>
      <c r="M31" s="723"/>
      <c r="N31" s="723">
        <f>VLOOKUP("F_Redemption",calcdata_22,2,FALSE)</f>
        <v>0</v>
      </c>
      <c r="O31" s="693"/>
      <c r="P31" s="723">
        <f>VLOOKUP("G_Redemption",calcdata_22,2,FALSE)</f>
        <v>0</v>
      </c>
      <c r="Q31" s="693"/>
      <c r="R31" s="714"/>
      <c r="S31" s="314"/>
    </row>
    <row r="32" spans="1:21">
      <c r="A32" s="285"/>
      <c r="B32" s="285" t="s">
        <v>22</v>
      </c>
      <c r="C32" s="723"/>
      <c r="D32" s="723">
        <f>IF(ISNUMBER(D31),D31/D24,"")</f>
        <v>2014.48</v>
      </c>
      <c r="E32" s="723"/>
      <c r="F32" s="723">
        <f>IF(ISNUMBER(F31),F31/F24,"")</f>
        <v>0</v>
      </c>
      <c r="G32" s="723"/>
      <c r="H32" s="723">
        <f>IF(ISNUMBER(H31),H31/H24,"")</f>
        <v>0</v>
      </c>
      <c r="I32" s="723"/>
      <c r="J32" s="723">
        <f>IF(ISNUMBER(J31),J31/J24,"")</f>
        <v>0</v>
      </c>
      <c r="K32" s="723"/>
      <c r="L32" s="723">
        <f>IF(ISNUMBER(L31),L31/L24,"")</f>
        <v>0</v>
      </c>
      <c r="M32" s="723"/>
      <c r="N32" s="723">
        <f>IF(ISNUMBER(N31),N31/N24,"")</f>
        <v>0</v>
      </c>
      <c r="O32" s="693"/>
      <c r="P32" s="723">
        <f>IF(ISNUMBER(P31),P31/P24,"")</f>
        <v>0</v>
      </c>
      <c r="Q32" s="693"/>
      <c r="R32" s="714"/>
      <c r="S32" s="314"/>
    </row>
    <row r="33" spans="1:19">
      <c r="A33" s="285"/>
      <c r="B33" s="285" t="s">
        <v>47</v>
      </c>
      <c r="C33" s="723">
        <f>SUM(D33,F33,H33,J33,L33,N33,P33)</f>
        <v>494396319.43999994</v>
      </c>
      <c r="D33" s="723">
        <f>D27-D31</f>
        <v>312885795.5999999</v>
      </c>
      <c r="E33" s="723"/>
      <c r="F33" s="723">
        <f>F27-F31</f>
        <v>30858286.800000001</v>
      </c>
      <c r="G33" s="723"/>
      <c r="H33" s="723">
        <f>H27-H31</f>
        <v>38572858.5</v>
      </c>
      <c r="I33" s="723"/>
      <c r="J33" s="723">
        <f>J27-J31</f>
        <v>28052988</v>
      </c>
      <c r="K33" s="723"/>
      <c r="L33" s="723">
        <f>L27-L31</f>
        <v>35767559.699999988</v>
      </c>
      <c r="M33" s="723"/>
      <c r="N33" s="723">
        <f>N27-N31</f>
        <v>20258830.840000004</v>
      </c>
      <c r="O33" s="25"/>
      <c r="P33" s="723">
        <f>P27-P31</f>
        <v>28000000</v>
      </c>
      <c r="Q33" s="25"/>
      <c r="R33" s="714"/>
      <c r="S33" s="314"/>
    </row>
    <row r="34" spans="1:19">
      <c r="A34" s="285"/>
      <c r="B34" s="285" t="s">
        <v>24</v>
      </c>
      <c r="C34" s="25"/>
      <c r="D34" s="724">
        <f>+D33/$C$33</f>
        <v>0.63286433028952149</v>
      </c>
      <c r="E34" s="25"/>
      <c r="F34" s="724">
        <f>+F33/$C$33</f>
        <v>6.241609329728226E-2</v>
      </c>
      <c r="G34" s="25"/>
      <c r="H34" s="724">
        <f>+H33/$C$33</f>
        <v>7.8020116621602825E-2</v>
      </c>
      <c r="I34" s="25"/>
      <c r="J34" s="724">
        <f>+J33/$C$33</f>
        <v>5.6741902997529327E-2</v>
      </c>
      <c r="K34" s="25"/>
      <c r="L34" s="724">
        <f>+L33/$C$33</f>
        <v>7.2345926321849871E-2</v>
      </c>
      <c r="M34" s="724"/>
      <c r="N34" s="724">
        <f>+N33/$C$33</f>
        <v>4.0976904647969617E-2</v>
      </c>
      <c r="O34" s="25"/>
      <c r="P34" s="724">
        <f>+P33/$C$33</f>
        <v>5.6634725824244503E-2</v>
      </c>
      <c r="Q34" s="25"/>
      <c r="R34" s="725"/>
      <c r="S34" s="314"/>
    </row>
    <row r="35" spans="1:19">
      <c r="A35" s="285"/>
      <c r="B35" s="348" t="s">
        <v>27</v>
      </c>
      <c r="C35" s="726">
        <f>C33/C22</f>
        <v>0.49439631943999995</v>
      </c>
      <c r="D35" s="726">
        <f>D33/D22</f>
        <v>0.41387009999999985</v>
      </c>
      <c r="E35" s="40"/>
      <c r="F35" s="726">
        <f>F33/F22</f>
        <v>0.70132470000000002</v>
      </c>
      <c r="G35" s="40"/>
      <c r="H35" s="726">
        <f>H33/H22</f>
        <v>0.70132470000000002</v>
      </c>
      <c r="I35" s="40"/>
      <c r="J35" s="726">
        <f>J33/J22</f>
        <v>0.70132470000000002</v>
      </c>
      <c r="K35" s="40"/>
      <c r="L35" s="726">
        <f>L33/L22</f>
        <v>0.7013246999999998</v>
      </c>
      <c r="M35" s="726"/>
      <c r="N35" s="726">
        <f>N33/N22</f>
        <v>0.77918580153846173</v>
      </c>
      <c r="O35" s="40"/>
      <c r="P35" s="726">
        <f>P33/P22</f>
        <v>1</v>
      </c>
      <c r="Q35" s="40"/>
      <c r="R35" s="727"/>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695" t="s">
        <v>7</v>
      </c>
      <c r="D37" s="695" t="s">
        <v>5</v>
      </c>
      <c r="E37" s="695"/>
      <c r="F37" s="695" t="s">
        <v>6</v>
      </c>
      <c r="G37" s="695"/>
      <c r="H37" s="695" t="s">
        <v>180</v>
      </c>
      <c r="I37" s="695"/>
      <c r="J37" s="695" t="s">
        <v>181</v>
      </c>
      <c r="K37" s="695"/>
      <c r="L37" s="695" t="s">
        <v>182</v>
      </c>
      <c r="M37" s="695"/>
      <c r="N37" s="695" t="s">
        <v>229</v>
      </c>
      <c r="O37" s="695"/>
      <c r="P37" s="695" t="s">
        <v>240</v>
      </c>
      <c r="Q37" s="695"/>
      <c r="R37" s="695"/>
      <c r="S37" s="314"/>
    </row>
    <row r="38" spans="1:19">
      <c r="A38" s="285"/>
      <c r="B38" s="235" t="s">
        <v>183</v>
      </c>
      <c r="C38" s="728">
        <f>VLOOKUP("1M_Euribor",calcdata_22,2,FALSE)</f>
        <v>1.866E-2</v>
      </c>
      <c r="D38" s="729" t="s">
        <v>467</v>
      </c>
      <c r="E38" s="730"/>
      <c r="F38" s="731" t="s">
        <v>581</v>
      </c>
      <c r="G38" s="731"/>
      <c r="H38" s="731" t="s">
        <v>582</v>
      </c>
      <c r="I38" s="731"/>
      <c r="J38" s="731" t="s">
        <v>583</v>
      </c>
      <c r="K38" s="731"/>
      <c r="L38" s="731" t="s">
        <v>584</v>
      </c>
      <c r="M38" s="731"/>
      <c r="N38" s="731" t="s">
        <v>585</v>
      </c>
      <c r="O38" s="731"/>
      <c r="P38" s="732" t="s">
        <v>586</v>
      </c>
      <c r="Q38" s="236"/>
      <c r="R38" s="733"/>
      <c r="S38" s="314"/>
    </row>
    <row r="39" spans="1:19">
      <c r="A39" s="285"/>
      <c r="B39" s="285" t="s">
        <v>57</v>
      </c>
      <c r="C39" s="734"/>
      <c r="D39" s="735" t="s">
        <v>55</v>
      </c>
      <c r="E39" s="6"/>
      <c r="F39" s="735" t="s">
        <v>55</v>
      </c>
      <c r="G39" s="6"/>
      <c r="H39" s="735" t="s">
        <v>55</v>
      </c>
      <c r="I39" s="6"/>
      <c r="J39" s="735" t="s">
        <v>55</v>
      </c>
      <c r="K39" s="6"/>
      <c r="L39" s="735" t="s">
        <v>55</v>
      </c>
      <c r="M39" s="735"/>
      <c r="N39" s="735" t="s">
        <v>55</v>
      </c>
      <c r="O39" s="6"/>
      <c r="P39" s="735" t="s">
        <v>55</v>
      </c>
      <c r="Q39" s="25"/>
      <c r="R39" s="736"/>
      <c r="S39" s="314"/>
    </row>
    <row r="40" spans="1:19">
      <c r="A40" s="285"/>
      <c r="B40" s="285" t="s">
        <v>93</v>
      </c>
      <c r="C40" s="734">
        <f>VLOOKUP("Interest_Days",calcdata_22,2,FALSE)</f>
        <v>31</v>
      </c>
      <c r="D40" s="737"/>
      <c r="E40" s="25"/>
      <c r="F40" s="737"/>
      <c r="G40" s="25"/>
      <c r="H40" s="25"/>
      <c r="I40" s="25"/>
      <c r="J40" s="25"/>
      <c r="K40" s="25"/>
      <c r="L40" s="738"/>
      <c r="M40" s="738"/>
      <c r="N40" s="738"/>
      <c r="O40" s="25"/>
      <c r="P40" s="738"/>
      <c r="Q40" s="25"/>
      <c r="R40" s="736"/>
      <c r="S40" s="314"/>
    </row>
    <row r="41" spans="1:19">
      <c r="A41" s="285"/>
      <c r="B41" s="285" t="s">
        <v>28</v>
      </c>
      <c r="C41" s="693"/>
      <c r="D41" s="723">
        <f>D27/D24</f>
        <v>43401.489999999991</v>
      </c>
      <c r="E41" s="723"/>
      <c r="F41" s="723">
        <f>F27/F24</f>
        <v>70132.47</v>
      </c>
      <c r="G41" s="723"/>
      <c r="H41" s="723">
        <f>H27/H24</f>
        <v>70132.47</v>
      </c>
      <c r="I41" s="723"/>
      <c r="J41" s="723">
        <f>J27/J24</f>
        <v>70132.47</v>
      </c>
      <c r="K41" s="723"/>
      <c r="L41" s="723">
        <f>L27/L24</f>
        <v>70132.469999999972</v>
      </c>
      <c r="M41" s="723"/>
      <c r="N41" s="723">
        <f>N27/N24</f>
        <v>77918.580153846167</v>
      </c>
      <c r="O41" s="25"/>
      <c r="P41" s="723">
        <f>P27/P24</f>
        <v>100000</v>
      </c>
      <c r="Q41" s="25"/>
      <c r="R41" s="714"/>
      <c r="S41" s="314"/>
    </row>
    <row r="42" spans="1:19" ht="13">
      <c r="A42" s="285"/>
      <c r="B42" s="285" t="s">
        <v>30</v>
      </c>
      <c r="C42" s="739"/>
      <c r="D42" s="740">
        <f>+D32</f>
        <v>2014.48</v>
      </c>
      <c r="E42" s="740"/>
      <c r="F42" s="740">
        <f>+F32</f>
        <v>0</v>
      </c>
      <c r="G42" s="740"/>
      <c r="H42" s="740">
        <f>+H32</f>
        <v>0</v>
      </c>
      <c r="I42" s="740"/>
      <c r="J42" s="740">
        <f>+J32</f>
        <v>0</v>
      </c>
      <c r="K42" s="740"/>
      <c r="L42" s="740">
        <f>+L32</f>
        <v>0</v>
      </c>
      <c r="M42" s="740"/>
      <c r="N42" s="740">
        <f>+N32</f>
        <v>0</v>
      </c>
      <c r="O42" s="24"/>
      <c r="P42" s="740">
        <f>+P32</f>
        <v>0</v>
      </c>
      <c r="Q42" s="24"/>
      <c r="R42" s="741"/>
      <c r="S42" s="314"/>
    </row>
    <row r="43" spans="1:19">
      <c r="A43" s="285"/>
      <c r="B43" s="285" t="s">
        <v>29</v>
      </c>
      <c r="C43" s="739"/>
      <c r="D43" s="723">
        <f>D41-D42</f>
        <v>41387.009999999987</v>
      </c>
      <c r="E43" s="723"/>
      <c r="F43" s="723">
        <f>F41-F42</f>
        <v>70132.47</v>
      </c>
      <c r="G43" s="723"/>
      <c r="H43" s="723">
        <f>H41-H42</f>
        <v>70132.47</v>
      </c>
      <c r="I43" s="723"/>
      <c r="J43" s="723">
        <f>J41-J42</f>
        <v>70132.47</v>
      </c>
      <c r="K43" s="723"/>
      <c r="L43" s="723">
        <f>L41-L42</f>
        <v>70132.469999999972</v>
      </c>
      <c r="M43" s="723"/>
      <c r="N43" s="723">
        <f>N41-N42</f>
        <v>77918.580153846167</v>
      </c>
      <c r="O43" s="25"/>
      <c r="P43" s="723">
        <f>P41-P42</f>
        <v>100000</v>
      </c>
      <c r="Q43" s="25"/>
      <c r="R43" s="714"/>
      <c r="S43" s="314"/>
    </row>
    <row r="44" spans="1:19" ht="13">
      <c r="A44" s="285"/>
      <c r="B44" s="285" t="s">
        <v>83</v>
      </c>
      <c r="C44" s="742"/>
      <c r="D44" s="740">
        <f>-'19. PoP + Transaction Costs'!E61</f>
        <v>-748364.39999999991</v>
      </c>
      <c r="E44" s="740"/>
      <c r="F44" s="740">
        <f>-'19. PoP + Transaction Costs'!G61</f>
        <v>-126614.39999999999</v>
      </c>
      <c r="G44" s="723"/>
      <c r="H44" s="740">
        <f>-'19. PoP + Transaction Costs'!I61</f>
        <v>-192555</v>
      </c>
      <c r="I44" s="723"/>
      <c r="J44" s="740">
        <f>-'19. PoP + Transaction Costs'!K61</f>
        <v>-183680</v>
      </c>
      <c r="K44" s="723"/>
      <c r="L44" s="740">
        <f>-'19. PoP + Transaction Costs'!M61</f>
        <v>-329572.2</v>
      </c>
      <c r="M44" s="740"/>
      <c r="N44" s="740">
        <f>-'19. PoP + Transaction Costs'!O61</f>
        <v>-249696.2</v>
      </c>
      <c r="O44" s="25"/>
      <c r="P44" s="740">
        <f>-'19. PoP + Transaction Costs'!Q61</f>
        <v>-13231209.6</v>
      </c>
      <c r="Q44" s="25"/>
      <c r="R44" s="714"/>
      <c r="S44" s="314"/>
    </row>
    <row r="45" spans="1:19" ht="13">
      <c r="A45" s="285"/>
      <c r="B45" s="285" t="s">
        <v>92</v>
      </c>
      <c r="C45" s="742"/>
      <c r="D45" s="740">
        <f>VLOOKUP("A_Interests",calcdata_22,2,0)</f>
        <v>748364.39999999991</v>
      </c>
      <c r="E45" s="740"/>
      <c r="F45" s="740">
        <f>VLOOKUP("B_Interests",calcdata_22,2,0)</f>
        <v>126614.39999999999</v>
      </c>
      <c r="G45" s="723"/>
      <c r="H45" s="740">
        <f>VLOOKUP("C_Interests",calcdata_22,2,0)</f>
        <v>192555</v>
      </c>
      <c r="I45" s="723"/>
      <c r="J45" s="740">
        <f>VLOOKUP("D_Interests",calcdata_22,2,0)</f>
        <v>183680</v>
      </c>
      <c r="K45" s="723"/>
      <c r="L45" s="740">
        <f>VLOOKUP("E_Interests",calcdata_22,2,0)</f>
        <v>329572.2</v>
      </c>
      <c r="M45" s="740"/>
      <c r="N45" s="740">
        <f>VLOOKUP("F_Interests",calcdata_22,2,0)</f>
        <v>249696.2</v>
      </c>
      <c r="O45" s="25"/>
      <c r="P45" s="740">
        <f>VLOOKUP("G_Interests",calcdata_22,2,0)</f>
        <v>0</v>
      </c>
      <c r="Q45" s="25"/>
      <c r="R45" s="714"/>
      <c r="S45" s="314"/>
    </row>
    <row r="46" spans="1:19" ht="13">
      <c r="A46" s="285"/>
      <c r="B46" s="348" t="s">
        <v>84</v>
      </c>
      <c r="C46" s="40"/>
      <c r="D46" s="743">
        <f>D45/D24</f>
        <v>98.989999999999981</v>
      </c>
      <c r="E46" s="743"/>
      <c r="F46" s="743">
        <f>F45/F24</f>
        <v>287.76</v>
      </c>
      <c r="G46" s="744"/>
      <c r="H46" s="743">
        <f>H45/H24</f>
        <v>350.1</v>
      </c>
      <c r="I46" s="744"/>
      <c r="J46" s="743">
        <f>J45/J24</f>
        <v>459.2</v>
      </c>
      <c r="K46" s="744"/>
      <c r="L46" s="743">
        <f>L45/L24</f>
        <v>646.22</v>
      </c>
      <c r="M46" s="743"/>
      <c r="N46" s="743">
        <f>N45/N24</f>
        <v>960.37</v>
      </c>
      <c r="O46" s="40"/>
      <c r="P46" s="743">
        <f>P45/P24</f>
        <v>0</v>
      </c>
      <c r="Q46" s="40"/>
      <c r="R46" s="745"/>
      <c r="S46" s="314"/>
    </row>
    <row r="47" spans="1:19" ht="13">
      <c r="A47" s="285"/>
      <c r="G47" s="746"/>
      <c r="H47" s="746"/>
      <c r="I47" s="746"/>
      <c r="J47" s="746"/>
      <c r="K47" s="746"/>
      <c r="L47" s="746"/>
      <c r="M47" s="746"/>
      <c r="N47" s="746"/>
      <c r="O47" s="746"/>
      <c r="P47" s="746"/>
      <c r="Q47" s="746"/>
      <c r="R47" s="746"/>
      <c r="S47" s="314"/>
    </row>
    <row r="48" spans="1:19">
      <c r="A48" s="285"/>
      <c r="B48" s="25"/>
      <c r="C48" s="693"/>
      <c r="D48" s="693"/>
      <c r="E48" s="25"/>
      <c r="F48" s="693"/>
      <c r="G48" s="25"/>
      <c r="H48" s="25"/>
      <c r="I48" s="25"/>
      <c r="J48" s="25"/>
      <c r="K48" s="25"/>
      <c r="L48" s="693"/>
      <c r="M48" s="693"/>
      <c r="N48" s="693"/>
      <c r="O48" s="25"/>
      <c r="P48" s="25"/>
      <c r="Q48" s="25"/>
      <c r="R48" s="693"/>
      <c r="S48" s="314"/>
    </row>
    <row r="49" spans="1:19" ht="18">
      <c r="A49" s="285"/>
      <c r="B49" s="275" t="s">
        <v>31</v>
      </c>
      <c r="C49" s="25"/>
      <c r="D49" s="695" t="s">
        <v>5</v>
      </c>
      <c r="E49" s="695"/>
      <c r="F49" s="695" t="s">
        <v>6</v>
      </c>
      <c r="G49" s="25"/>
      <c r="H49" s="695" t="s">
        <v>180</v>
      </c>
      <c r="I49" s="695"/>
      <c r="J49" s="695" t="s">
        <v>181</v>
      </c>
      <c r="K49" s="695"/>
      <c r="L49" s="695" t="s">
        <v>182</v>
      </c>
      <c r="M49" s="695"/>
      <c r="N49" s="695" t="s">
        <v>229</v>
      </c>
      <c r="O49" s="25"/>
      <c r="P49" s="695" t="s">
        <v>240</v>
      </c>
      <c r="Q49" s="25"/>
      <c r="R49" s="25"/>
      <c r="S49" s="314"/>
    </row>
    <row r="50" spans="1:19">
      <c r="A50" s="285"/>
      <c r="B50" s="235" t="s">
        <v>53</v>
      </c>
      <c r="C50" s="236"/>
      <c r="D50" s="747">
        <v>0.26539999999999997</v>
      </c>
      <c r="E50" s="747"/>
      <c r="F50" s="747">
        <v>0.22139999999999999</v>
      </c>
      <c r="G50" s="747"/>
      <c r="H50" s="747">
        <v>0.16639999999999999</v>
      </c>
      <c r="I50" s="747"/>
      <c r="J50" s="747">
        <v>0.12639999999999998</v>
      </c>
      <c r="K50" s="747"/>
      <c r="L50" s="747">
        <v>7.5399999999999995E-2</v>
      </c>
      <c r="M50" s="747"/>
      <c r="N50" s="747">
        <v>4.9399999999999999E-2</v>
      </c>
      <c r="O50" s="747"/>
      <c r="P50" s="747">
        <v>2.1399999999999999E-2</v>
      </c>
      <c r="Q50" s="748"/>
      <c r="R50" s="749"/>
      <c r="S50" s="314"/>
    </row>
    <row r="51" spans="1:19">
      <c r="A51" s="285"/>
      <c r="B51" s="348" t="s">
        <v>230</v>
      </c>
      <c r="C51" s="40"/>
      <c r="D51" s="750">
        <f>1-'5. Outstanding Notes'!D33/'1. Portfolio Information'!$F$32+'2. Reserve Accounts'!$D$24/'1. Portfolio Information'!$F$32</f>
        <v>0.3712140350471696</v>
      </c>
      <c r="E51" s="750"/>
      <c r="F51" s="750">
        <f>1-SUM('5. Outstanding Notes'!F33,D33)/'1. Portfolio Information'!$F$32+'2. Reserve Accounts'!$D$24/'1. Portfolio Information'!$F$32</f>
        <v>0.30659031863945324</v>
      </c>
      <c r="G51" s="750"/>
      <c r="H51" s="750">
        <f>1-SUM('5. Outstanding Notes'!H33,F33,D33)/'1. Portfolio Information'!$F$32+'2. Reserve Accounts'!$D$24/'1. Portfolio Information'!$F$32</f>
        <v>0.22581067312980793</v>
      </c>
      <c r="I51" s="750"/>
      <c r="J51" s="750">
        <f>1-SUM('5. Outstanding Notes'!J33,H33,F33,D33)/'1. Portfolio Information'!$F$32+'2. Reserve Accounts'!$D$24/'1. Portfolio Information'!$F$32</f>
        <v>0.16706184003188393</v>
      </c>
      <c r="K51" s="750"/>
      <c r="L51" s="750">
        <f>1-SUM('5. Outstanding Notes'!L33,J33,H33,F33,D33)/'1. Portfolio Information'!$F$32+'2. Reserve Accounts'!$D$24/'1. Portfolio Information'!$F$32</f>
        <v>9.2157077832030934E-2</v>
      </c>
      <c r="M51" s="750"/>
      <c r="N51" s="750">
        <f>1-SUM(L33,J33,H33,F33,D33,'5. Outstanding Notes'!N33)/'1. Portfolio Information'!$F$32+'2. Reserve Accounts'!$D$24/'1. Portfolio Information'!$F$32</f>
        <v>4.9730842459947369E-2</v>
      </c>
      <c r="O51" s="750"/>
      <c r="P51" s="750">
        <f>1-SUM('5. Outstanding Notes'!P33,N33,L33,J33,H33,F33,D33)/'1. Portfolio Information'!$F$32+'2. Reserve Accounts'!$D$24/'1. Portfolio Information'!$F$32</f>
        <v>-8.9070226666434875E-3</v>
      </c>
      <c r="Q51" s="751"/>
      <c r="R51" s="752"/>
      <c r="S51" s="314"/>
    </row>
    <row r="52" spans="1:19">
      <c r="A52" s="285"/>
      <c r="B52" s="25"/>
      <c r="C52" s="25"/>
      <c r="D52" s="739"/>
      <c r="E52" s="739"/>
      <c r="F52" s="739"/>
      <c r="G52" s="739"/>
      <c r="H52" s="739"/>
      <c r="I52" s="739"/>
      <c r="J52" s="739"/>
      <c r="K52" s="739"/>
      <c r="L52" s="739"/>
      <c r="M52" s="739"/>
      <c r="N52" s="739"/>
      <c r="O52" s="739"/>
      <c r="P52" s="739"/>
      <c r="Q52" s="739"/>
      <c r="R52" s="739"/>
      <c r="S52" s="314"/>
    </row>
    <row r="53" spans="1:19">
      <c r="A53" s="285"/>
      <c r="B53" s="64"/>
      <c r="C53" s="25"/>
      <c r="D53" s="739"/>
      <c r="E53" s="739"/>
      <c r="F53" s="739"/>
      <c r="G53" s="739"/>
      <c r="H53" s="739"/>
      <c r="I53" s="739"/>
      <c r="J53" s="739"/>
      <c r="K53" s="739"/>
      <c r="L53" s="739"/>
      <c r="M53" s="739"/>
      <c r="N53" s="739"/>
      <c r="O53" s="739"/>
      <c r="P53" s="739"/>
      <c r="Q53" s="739"/>
      <c r="R53" s="739"/>
      <c r="S53" s="314"/>
    </row>
    <row r="54" spans="1:19" ht="13.5" customHeight="1">
      <c r="A54" s="348"/>
      <c r="B54" s="40" t="s">
        <v>1043</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35</v>
      </c>
      <c r="G4" s="113"/>
      <c r="H4" s="118"/>
      <c r="I4" s="113"/>
      <c r="J4" s="119"/>
      <c r="K4" s="359"/>
      <c r="M4" s="164"/>
      <c r="N4" s="21"/>
      <c r="O4" s="229"/>
      <c r="P4" s="21"/>
      <c r="Q4" s="164"/>
      <c r="R4" s="21"/>
    </row>
    <row r="5" spans="1:18" s="102" customFormat="1" ht="18">
      <c r="A5" s="103"/>
      <c r="B5" s="160" t="s">
        <v>163</v>
      </c>
      <c r="C5" s="120"/>
      <c r="D5" s="112" t="str">
        <f>'Cover Sheet'!D5</f>
        <v>Monthly Period</v>
      </c>
      <c r="E5" s="113"/>
      <c r="F5" s="121">
        <f>'Cover Sheet'!F5</f>
        <v>45915</v>
      </c>
      <c r="G5" s="113"/>
      <c r="H5" s="118"/>
      <c r="I5" s="113"/>
      <c r="J5" s="119"/>
      <c r="K5" s="125"/>
      <c r="M5" s="164"/>
      <c r="N5" s="21"/>
      <c r="O5" s="497"/>
      <c r="P5" s="21"/>
      <c r="Q5" s="164"/>
      <c r="R5" s="21"/>
    </row>
    <row r="6" spans="1:18"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c r="R6" s="21"/>
    </row>
    <row r="7" spans="1:18"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4"/>
      <c r="C13" s="21"/>
      <c r="D13" s="674" t="s">
        <v>67</v>
      </c>
      <c r="E13" s="667" t="s">
        <v>68</v>
      </c>
      <c r="F13" s="479" t="s">
        <v>113</v>
      </c>
      <c r="G13" s="667" t="s">
        <v>61</v>
      </c>
      <c r="H13" s="646" t="s">
        <v>114</v>
      </c>
      <c r="I13" s="173"/>
      <c r="K13" s="110"/>
      <c r="M13" s="216"/>
      <c r="N13" s="495"/>
      <c r="O13" s="215"/>
      <c r="P13" s="495"/>
      <c r="Q13" s="495"/>
      <c r="R13" s="21"/>
    </row>
    <row r="14" spans="1:18" s="102" customFormat="1">
      <c r="A14" s="103"/>
      <c r="B14" s="172"/>
      <c r="C14" s="172"/>
      <c r="D14" s="923" t="s">
        <v>842</v>
      </c>
      <c r="E14" s="668">
        <f t="shared" ref="E14:E45" si="0">VLOOKUP(CONCATENATE("OPB_",D14),Assets,3,0)</f>
        <v>1039431.7499999993</v>
      </c>
      <c r="F14" s="669">
        <f>E14/$E$65</f>
        <v>1.2903498410208171E-3</v>
      </c>
      <c r="G14" s="670">
        <f t="shared" ref="G14:G45" si="1">VLOOKUP(CONCATENATE("OPB_",D14),Assets,2,0)</f>
        <v>783</v>
      </c>
      <c r="H14" s="671">
        <f>G14/$G$65</f>
        <v>1.9593613933236574E-2</v>
      </c>
      <c r="I14" s="173"/>
      <c r="K14" s="110"/>
      <c r="M14" s="197"/>
      <c r="N14" s="13"/>
      <c r="O14" s="198"/>
      <c r="P14" s="199"/>
      <c r="Q14" s="198"/>
      <c r="R14" s="21"/>
    </row>
    <row r="15" spans="1:18">
      <c r="A15" s="180"/>
      <c r="B15" s="14"/>
      <c r="C15" s="13"/>
      <c r="D15" s="923" t="s">
        <v>843</v>
      </c>
      <c r="E15" s="668">
        <f t="shared" si="0"/>
        <v>9128966.9299999215</v>
      </c>
      <c r="F15" s="669">
        <f t="shared" ref="F15:F64" si="2">E15/$E$65</f>
        <v>1.1332693105448918E-2</v>
      </c>
      <c r="G15" s="670">
        <f t="shared" si="1"/>
        <v>3178</v>
      </c>
      <c r="H15" s="671">
        <f t="shared" ref="H15:H64" si="3">G15/$G$65</f>
        <v>7.9525549271808216E-2</v>
      </c>
      <c r="I15" s="173"/>
      <c r="K15" s="174"/>
      <c r="M15" s="197"/>
      <c r="N15" s="13"/>
      <c r="O15" s="198"/>
      <c r="P15" s="199"/>
      <c r="Q15" s="198"/>
      <c r="R15" s="21"/>
    </row>
    <row r="16" spans="1:18">
      <c r="A16" s="180"/>
      <c r="B16" s="14"/>
      <c r="C16" s="13"/>
      <c r="D16" s="923" t="s">
        <v>844</v>
      </c>
      <c r="E16" s="668">
        <f t="shared" si="0"/>
        <v>19223234.390000183</v>
      </c>
      <c r="F16" s="669">
        <f t="shared" si="2"/>
        <v>2.3863709607718501E-2</v>
      </c>
      <c r="G16" s="670">
        <f t="shared" si="1"/>
        <v>3926</v>
      </c>
      <c r="H16" s="671">
        <f t="shared" si="3"/>
        <v>9.8243331164606373E-2</v>
      </c>
      <c r="I16" s="173"/>
      <c r="K16" s="174"/>
      <c r="M16" s="197"/>
      <c r="N16" s="13"/>
      <c r="O16" s="198"/>
      <c r="P16" s="199"/>
      <c r="Q16" s="198"/>
      <c r="R16" s="21"/>
    </row>
    <row r="17" spans="1:18">
      <c r="A17" s="180"/>
      <c r="B17" s="14"/>
      <c r="C17" s="13"/>
      <c r="D17" s="923" t="s">
        <v>845</v>
      </c>
      <c r="E17" s="668">
        <f t="shared" si="0"/>
        <v>23584819.649999976</v>
      </c>
      <c r="F17" s="669">
        <f t="shared" si="2"/>
        <v>2.9278178471921924E-2</v>
      </c>
      <c r="G17" s="670">
        <f t="shared" si="1"/>
        <v>3423</v>
      </c>
      <c r="H17" s="671">
        <f t="shared" si="3"/>
        <v>8.5656373554877138E-2</v>
      </c>
      <c r="I17" s="173"/>
      <c r="K17" s="174"/>
      <c r="M17" s="197"/>
      <c r="N17" s="13"/>
      <c r="O17" s="198"/>
      <c r="P17" s="199"/>
      <c r="Q17" s="198"/>
      <c r="R17" s="21"/>
    </row>
    <row r="18" spans="1:18">
      <c r="A18" s="180"/>
      <c r="B18" s="14"/>
      <c r="C18" s="13"/>
      <c r="D18" s="923" t="s">
        <v>846</v>
      </c>
      <c r="E18" s="668">
        <f t="shared" si="0"/>
        <v>22441182.679999955</v>
      </c>
      <c r="F18" s="669">
        <f t="shared" si="2"/>
        <v>2.7858468344320899E-2</v>
      </c>
      <c r="G18" s="670">
        <f t="shared" si="1"/>
        <v>2546</v>
      </c>
      <c r="H18" s="671">
        <f t="shared" si="3"/>
        <v>6.371052499874881E-2</v>
      </c>
      <c r="I18" s="173"/>
      <c r="K18" s="174"/>
      <c r="M18" s="197"/>
      <c r="N18" s="13"/>
      <c r="O18" s="198"/>
      <c r="P18" s="199"/>
      <c r="Q18" s="198"/>
      <c r="R18" s="21"/>
    </row>
    <row r="19" spans="1:18">
      <c r="A19" s="180"/>
      <c r="B19" s="14"/>
      <c r="C19" s="13"/>
      <c r="D19" s="923" t="s">
        <v>847</v>
      </c>
      <c r="E19" s="668">
        <f t="shared" si="0"/>
        <v>35056494.789999984</v>
      </c>
      <c r="F19" s="669">
        <f t="shared" si="2"/>
        <v>4.3519107896236198E-2</v>
      </c>
      <c r="G19" s="670">
        <f t="shared" si="1"/>
        <v>3302</v>
      </c>
      <c r="H19" s="671">
        <f t="shared" si="3"/>
        <v>8.2628497072218601E-2</v>
      </c>
      <c r="I19" s="173"/>
      <c r="K19" s="174"/>
      <c r="M19" s="197"/>
      <c r="N19" s="13"/>
      <c r="O19" s="198"/>
      <c r="P19" s="199"/>
      <c r="Q19" s="198"/>
      <c r="R19" s="21"/>
    </row>
    <row r="20" spans="1:18">
      <c r="A20" s="180"/>
      <c r="B20" s="14"/>
      <c r="C20" s="13"/>
      <c r="D20" s="923" t="s">
        <v>848</v>
      </c>
      <c r="E20" s="668">
        <f t="shared" si="0"/>
        <v>26126857.280000072</v>
      </c>
      <c r="F20" s="669">
        <f t="shared" si="2"/>
        <v>3.243386219212728E-2</v>
      </c>
      <c r="G20" s="670">
        <f t="shared" si="1"/>
        <v>2040</v>
      </c>
      <c r="H20" s="671">
        <f t="shared" si="3"/>
        <v>5.1048496071267706E-2</v>
      </c>
      <c r="I20" s="173"/>
      <c r="K20" s="174"/>
      <c r="M20" s="197"/>
      <c r="N20" s="13"/>
      <c r="O20" s="198"/>
      <c r="P20" s="199"/>
      <c r="Q20" s="198"/>
      <c r="R20" s="21"/>
    </row>
    <row r="21" spans="1:18">
      <c r="A21" s="180"/>
      <c r="B21" s="14"/>
      <c r="C21" s="13"/>
      <c r="D21" s="924" t="s">
        <v>849</v>
      </c>
      <c r="E21" s="668">
        <f t="shared" si="0"/>
        <v>32906857.190000132</v>
      </c>
      <c r="F21" s="669">
        <f t="shared" si="2"/>
        <v>4.0850549296393368E-2</v>
      </c>
      <c r="G21" s="670">
        <f t="shared" si="1"/>
        <v>2195</v>
      </c>
      <c r="H21" s="671">
        <f t="shared" si="3"/>
        <v>5.4927180821780691E-2</v>
      </c>
      <c r="I21" s="173"/>
      <c r="K21" s="174"/>
      <c r="M21" s="197"/>
      <c r="N21" s="13"/>
      <c r="O21" s="198"/>
      <c r="P21" s="199"/>
      <c r="Q21" s="198"/>
      <c r="R21" s="21"/>
    </row>
    <row r="22" spans="1:18">
      <c r="A22" s="180"/>
      <c r="B22" s="14"/>
      <c r="C22" s="13"/>
      <c r="D22" s="923" t="s">
        <v>850</v>
      </c>
      <c r="E22" s="668">
        <f t="shared" si="0"/>
        <v>24207621.460000008</v>
      </c>
      <c r="F22" s="669">
        <f t="shared" si="2"/>
        <v>3.0051324199403328E-2</v>
      </c>
      <c r="G22" s="670">
        <f t="shared" si="1"/>
        <v>1433</v>
      </c>
      <c r="H22" s="671">
        <f t="shared" si="3"/>
        <v>3.5859066112807168E-2</v>
      </c>
      <c r="I22" s="173"/>
      <c r="K22" s="174"/>
      <c r="M22" s="197"/>
      <c r="N22" s="13"/>
      <c r="O22" s="198"/>
      <c r="P22" s="199"/>
      <c r="Q22" s="198"/>
      <c r="R22" s="21"/>
    </row>
    <row r="23" spans="1:18">
      <c r="A23" s="180"/>
      <c r="B23" s="14"/>
      <c r="C23" s="13"/>
      <c r="D23" s="923" t="s">
        <v>851</v>
      </c>
      <c r="E23" s="668">
        <f t="shared" si="0"/>
        <v>24289405.420000002</v>
      </c>
      <c r="F23" s="669">
        <f t="shared" si="2"/>
        <v>3.0152850749640074E-2</v>
      </c>
      <c r="G23" s="670">
        <f t="shared" si="1"/>
        <v>1289</v>
      </c>
      <c r="H23" s="671">
        <f t="shared" si="3"/>
        <v>3.2255642860717679E-2</v>
      </c>
      <c r="I23" s="173"/>
      <c r="K23" s="174"/>
      <c r="M23" s="197"/>
      <c r="N23" s="13"/>
      <c r="O23" s="198"/>
      <c r="P23" s="199"/>
      <c r="Q23" s="198"/>
      <c r="R23" s="21"/>
    </row>
    <row r="24" spans="1:18">
      <c r="A24" s="180"/>
      <c r="B24" s="14"/>
      <c r="C24" s="13"/>
      <c r="D24" s="923" t="s">
        <v>852</v>
      </c>
      <c r="E24" s="668">
        <f t="shared" si="0"/>
        <v>41426215.07999979</v>
      </c>
      <c r="F24" s="669">
        <f t="shared" si="2"/>
        <v>5.1426474169729702E-2</v>
      </c>
      <c r="G24" s="670">
        <f t="shared" si="1"/>
        <v>2010</v>
      </c>
      <c r="H24" s="671">
        <f t="shared" si="3"/>
        <v>5.029778289374906E-2</v>
      </c>
      <c r="I24" s="173"/>
      <c r="K24" s="174"/>
      <c r="M24" s="197"/>
      <c r="N24" s="13"/>
      <c r="O24" s="198"/>
      <c r="P24" s="199"/>
      <c r="Q24" s="198"/>
      <c r="R24" s="21"/>
    </row>
    <row r="25" spans="1:18">
      <c r="A25" s="180"/>
      <c r="B25" s="14"/>
      <c r="C25" s="13"/>
      <c r="D25" s="923" t="s">
        <v>853</v>
      </c>
      <c r="E25" s="668">
        <f t="shared" si="0"/>
        <v>26391146.190000035</v>
      </c>
      <c r="F25" s="669">
        <f t="shared" si="2"/>
        <v>3.2761950258517414E-2</v>
      </c>
      <c r="G25" s="670">
        <f t="shared" si="1"/>
        <v>1154</v>
      </c>
      <c r="H25" s="671">
        <f t="shared" si="3"/>
        <v>2.887743356188379E-2</v>
      </c>
      <c r="I25" s="173"/>
      <c r="K25" s="174"/>
      <c r="M25" s="197"/>
      <c r="N25" s="13"/>
      <c r="O25" s="198"/>
      <c r="P25" s="199"/>
      <c r="Q25" s="198"/>
      <c r="R25" s="21"/>
    </row>
    <row r="26" spans="1:18">
      <c r="A26" s="180"/>
      <c r="B26" s="14"/>
      <c r="C26" s="13"/>
      <c r="D26" s="923" t="s">
        <v>854</v>
      </c>
      <c r="E26" s="668">
        <f t="shared" si="0"/>
        <v>37710427.910000019</v>
      </c>
      <c r="F26" s="669">
        <f t="shared" si="2"/>
        <v>4.6813698598773358E-2</v>
      </c>
      <c r="G26" s="670">
        <f t="shared" si="1"/>
        <v>1513</v>
      </c>
      <c r="H26" s="671">
        <f t="shared" si="3"/>
        <v>3.786096791952355E-2</v>
      </c>
      <c r="I26" s="173"/>
      <c r="K26" s="174"/>
      <c r="M26" s="197"/>
      <c r="N26" s="13"/>
      <c r="O26" s="198"/>
      <c r="P26" s="199"/>
      <c r="Q26" s="198"/>
      <c r="R26" s="21"/>
    </row>
    <row r="27" spans="1:18">
      <c r="A27" s="180"/>
      <c r="B27" s="14"/>
      <c r="C27" s="13"/>
      <c r="D27" s="923" t="s">
        <v>855</v>
      </c>
      <c r="E27" s="668">
        <f t="shared" si="0"/>
        <v>26776090.650000066</v>
      </c>
      <c r="F27" s="669">
        <f t="shared" si="2"/>
        <v>3.3239820039542366E-2</v>
      </c>
      <c r="G27" s="670">
        <f t="shared" si="1"/>
        <v>998</v>
      </c>
      <c r="H27" s="671">
        <f t="shared" si="3"/>
        <v>2.4973725038786847E-2</v>
      </c>
      <c r="I27" s="173"/>
      <c r="K27" s="174"/>
      <c r="M27" s="197"/>
      <c r="N27" s="13"/>
      <c r="O27" s="198"/>
      <c r="P27" s="199"/>
      <c r="Q27" s="198"/>
      <c r="R27" s="21"/>
    </row>
    <row r="28" spans="1:18">
      <c r="A28" s="180"/>
      <c r="B28" s="14"/>
      <c r="C28" s="13"/>
      <c r="D28" s="923" t="s">
        <v>856</v>
      </c>
      <c r="E28" s="668">
        <f t="shared" si="0"/>
        <v>25506896.189999975</v>
      </c>
      <c r="F28" s="669">
        <f t="shared" si="2"/>
        <v>3.1664242932449363E-2</v>
      </c>
      <c r="G28" s="670">
        <f t="shared" si="1"/>
        <v>882</v>
      </c>
      <c r="H28" s="671">
        <f t="shared" si="3"/>
        <v>2.2070967419048095E-2</v>
      </c>
      <c r="I28" s="173"/>
      <c r="K28" s="174"/>
      <c r="M28" s="197"/>
      <c r="N28" s="13"/>
      <c r="O28" s="198"/>
      <c r="P28" s="199"/>
      <c r="Q28" s="198"/>
      <c r="R28" s="21"/>
    </row>
    <row r="29" spans="1:18">
      <c r="A29" s="180"/>
      <c r="B29" s="14"/>
      <c r="C29" s="13"/>
      <c r="D29" s="923" t="s">
        <v>857</v>
      </c>
      <c r="E29" s="668">
        <f t="shared" si="0"/>
        <v>40538709.400000036</v>
      </c>
      <c r="F29" s="669">
        <f t="shared" si="2"/>
        <v>5.0324725244807252E-2</v>
      </c>
      <c r="G29" s="670">
        <f t="shared" si="1"/>
        <v>1324</v>
      </c>
      <c r="H29" s="671">
        <f t="shared" si="3"/>
        <v>3.3131474901156095E-2</v>
      </c>
      <c r="I29" s="173"/>
      <c r="K29" s="174"/>
      <c r="M29" s="197"/>
      <c r="N29" s="13"/>
      <c r="O29" s="198"/>
      <c r="P29" s="199"/>
      <c r="Q29" s="198"/>
      <c r="R29" s="21"/>
    </row>
    <row r="30" spans="1:18">
      <c r="A30" s="180"/>
      <c r="B30" s="14"/>
      <c r="C30" s="13"/>
      <c r="D30" s="923" t="s">
        <v>858</v>
      </c>
      <c r="E30" s="668">
        <f t="shared" si="0"/>
        <v>21885041.65000001</v>
      </c>
      <c r="F30" s="669">
        <f t="shared" si="2"/>
        <v>2.7168075262095363E-2</v>
      </c>
      <c r="G30" s="670">
        <f t="shared" si="1"/>
        <v>667</v>
      </c>
      <c r="H30" s="671">
        <f t="shared" si="3"/>
        <v>1.6690856313497822E-2</v>
      </c>
      <c r="I30" s="173"/>
      <c r="J30" s="173"/>
      <c r="K30" s="174"/>
      <c r="M30" s="197"/>
      <c r="N30" s="13"/>
      <c r="O30" s="198"/>
      <c r="P30" s="199"/>
      <c r="Q30" s="198"/>
      <c r="R30" s="21"/>
    </row>
    <row r="31" spans="1:18">
      <c r="A31" s="180"/>
      <c r="B31" s="14"/>
      <c r="C31" s="13"/>
      <c r="D31" s="923" t="s">
        <v>859</v>
      </c>
      <c r="E31" s="668">
        <f t="shared" si="0"/>
        <v>26638344.069999978</v>
      </c>
      <c r="F31" s="669">
        <f t="shared" si="2"/>
        <v>3.3068821532325057E-2</v>
      </c>
      <c r="G31" s="670">
        <f t="shared" si="1"/>
        <v>763</v>
      </c>
      <c r="H31" s="671">
        <f t="shared" si="3"/>
        <v>1.909313848155748E-2</v>
      </c>
      <c r="I31" s="173"/>
      <c r="J31" s="173"/>
      <c r="K31" s="174"/>
      <c r="M31" s="197"/>
      <c r="N31" s="13"/>
      <c r="O31" s="198"/>
      <c r="P31" s="199"/>
      <c r="Q31" s="198"/>
      <c r="R31" s="21"/>
    </row>
    <row r="32" spans="1:18">
      <c r="A32" s="180"/>
      <c r="B32" s="14"/>
      <c r="C32" s="13"/>
      <c r="D32" s="923" t="s">
        <v>860</v>
      </c>
      <c r="E32" s="668">
        <f t="shared" si="0"/>
        <v>21806589.139999967</v>
      </c>
      <c r="F32" s="669">
        <f t="shared" si="2"/>
        <v>2.7070684371537864E-2</v>
      </c>
      <c r="G32" s="670">
        <f t="shared" si="1"/>
        <v>591</v>
      </c>
      <c r="H32" s="671">
        <f t="shared" si="3"/>
        <v>1.4789049597117262E-2</v>
      </c>
      <c r="I32" s="173"/>
      <c r="J32" s="173"/>
      <c r="K32" s="174"/>
      <c r="M32" s="197"/>
      <c r="N32" s="13"/>
      <c r="O32" s="198"/>
      <c r="P32" s="199"/>
      <c r="Q32" s="198"/>
      <c r="R32" s="21"/>
    </row>
    <row r="33" spans="1:18">
      <c r="A33" s="180"/>
      <c r="B33" s="14"/>
      <c r="C33" s="13"/>
      <c r="D33" s="923" t="s">
        <v>861</v>
      </c>
      <c r="E33" s="668">
        <f t="shared" si="0"/>
        <v>17601766.760000005</v>
      </c>
      <c r="F33" s="669">
        <f t="shared" si="2"/>
        <v>2.1850820835953418E-2</v>
      </c>
      <c r="G33" s="670">
        <f t="shared" si="1"/>
        <v>452</v>
      </c>
      <c r="H33" s="671">
        <f t="shared" si="3"/>
        <v>1.131074520794755E-2</v>
      </c>
      <c r="I33" s="173"/>
      <c r="J33" s="173"/>
      <c r="K33" s="174"/>
      <c r="M33" s="197"/>
      <c r="N33" s="13"/>
      <c r="O33" s="198"/>
      <c r="P33" s="199"/>
      <c r="Q33" s="198"/>
      <c r="R33" s="21"/>
    </row>
    <row r="34" spans="1:18">
      <c r="A34" s="180"/>
      <c r="B34" s="14"/>
      <c r="C34" s="13"/>
      <c r="D34" s="923" t="s">
        <v>862</v>
      </c>
      <c r="E34" s="668">
        <f t="shared" si="0"/>
        <v>28446424.099999882</v>
      </c>
      <c r="F34" s="669">
        <f t="shared" si="2"/>
        <v>3.5313370805774992E-2</v>
      </c>
      <c r="G34" s="670">
        <f t="shared" si="1"/>
        <v>700</v>
      </c>
      <c r="H34" s="671">
        <f t="shared" si="3"/>
        <v>1.751664080876833E-2</v>
      </c>
      <c r="I34" s="173"/>
      <c r="J34" s="173"/>
      <c r="K34" s="174"/>
      <c r="M34" s="197"/>
      <c r="N34" s="13"/>
      <c r="O34" s="198"/>
      <c r="P34" s="199"/>
      <c r="Q34" s="198"/>
      <c r="R34" s="21"/>
    </row>
    <row r="35" spans="1:18">
      <c r="A35" s="180"/>
      <c r="B35" s="14"/>
      <c r="C35" s="13"/>
      <c r="D35" s="923" t="s">
        <v>863</v>
      </c>
      <c r="E35" s="668">
        <f t="shared" si="0"/>
        <v>17103571.649999987</v>
      </c>
      <c r="F35" s="669">
        <f t="shared" si="2"/>
        <v>2.1232361777928806E-2</v>
      </c>
      <c r="G35" s="670">
        <f t="shared" si="1"/>
        <v>399</v>
      </c>
      <c r="H35" s="671">
        <f t="shared" si="3"/>
        <v>9.9844852609979485E-3</v>
      </c>
      <c r="I35" s="173"/>
      <c r="J35" s="173"/>
      <c r="K35" s="174"/>
      <c r="M35" s="197"/>
      <c r="N35" s="13"/>
      <c r="O35" s="198"/>
      <c r="P35" s="199"/>
      <c r="Q35" s="198"/>
      <c r="R35" s="21"/>
    </row>
    <row r="36" spans="1:18">
      <c r="A36" s="180"/>
      <c r="B36" s="14"/>
      <c r="C36" s="13"/>
      <c r="D36" s="923" t="s">
        <v>864</v>
      </c>
      <c r="E36" s="668">
        <f t="shared" si="0"/>
        <v>21798907.199999981</v>
      </c>
      <c r="F36" s="669">
        <f t="shared" si="2"/>
        <v>2.7061148016642302E-2</v>
      </c>
      <c r="G36" s="670">
        <f t="shared" si="1"/>
        <v>485</v>
      </c>
      <c r="H36" s="671">
        <f t="shared" si="3"/>
        <v>1.2136529703218057E-2</v>
      </c>
      <c r="I36" s="173"/>
      <c r="J36" s="173"/>
      <c r="K36" s="174"/>
      <c r="M36" s="197"/>
      <c r="N36" s="13"/>
      <c r="O36" s="198"/>
      <c r="P36" s="199"/>
      <c r="Q36" s="198"/>
      <c r="R36" s="21"/>
    </row>
    <row r="37" spans="1:18">
      <c r="A37" s="180"/>
      <c r="B37" s="14"/>
      <c r="C37" s="13"/>
      <c r="D37" s="923" t="s">
        <v>865</v>
      </c>
      <c r="E37" s="668">
        <f t="shared" si="0"/>
        <v>16585218.989999991</v>
      </c>
      <c r="F37" s="669">
        <f t="shared" si="2"/>
        <v>2.058887915155751E-2</v>
      </c>
      <c r="G37" s="670">
        <f t="shared" si="1"/>
        <v>353</v>
      </c>
      <c r="H37" s="671">
        <f t="shared" si="3"/>
        <v>8.8333917221360293E-3</v>
      </c>
      <c r="I37" s="173"/>
      <c r="J37" s="173"/>
      <c r="K37" s="174"/>
      <c r="M37" s="197"/>
      <c r="N37" s="13"/>
      <c r="O37" s="198"/>
      <c r="P37" s="199"/>
      <c r="Q37" s="198"/>
      <c r="R37" s="21"/>
    </row>
    <row r="38" spans="1:18">
      <c r="A38" s="180"/>
      <c r="B38" s="14"/>
      <c r="C38" s="13"/>
      <c r="D38" s="923" t="s">
        <v>866</v>
      </c>
      <c r="E38" s="668">
        <f t="shared" si="0"/>
        <v>15977848.609999994</v>
      </c>
      <c r="F38" s="669">
        <f t="shared" si="2"/>
        <v>1.9834889990389643E-2</v>
      </c>
      <c r="G38" s="670">
        <f t="shared" si="1"/>
        <v>327</v>
      </c>
      <c r="H38" s="671">
        <f t="shared" si="3"/>
        <v>8.1827736349532054E-3</v>
      </c>
      <c r="I38" s="173"/>
      <c r="J38" s="173"/>
      <c r="K38" s="174"/>
      <c r="M38" s="197"/>
      <c r="N38" s="13"/>
      <c r="O38" s="198"/>
      <c r="P38" s="199"/>
      <c r="Q38" s="198"/>
      <c r="R38" s="21"/>
    </row>
    <row r="39" spans="1:18">
      <c r="A39" s="180"/>
      <c r="B39" s="14"/>
      <c r="C39" s="13"/>
      <c r="D39" s="923" t="s">
        <v>867</v>
      </c>
      <c r="E39" s="668">
        <f t="shared" si="0"/>
        <v>29095240.239999991</v>
      </c>
      <c r="F39" s="669">
        <f t="shared" si="2"/>
        <v>3.6118810704162625E-2</v>
      </c>
      <c r="G39" s="670">
        <f t="shared" si="1"/>
        <v>578</v>
      </c>
      <c r="H39" s="671">
        <f t="shared" si="3"/>
        <v>1.4463740553525849E-2</v>
      </c>
      <c r="I39" s="173"/>
      <c r="J39" s="173"/>
      <c r="K39" s="174"/>
      <c r="M39" s="197"/>
      <c r="N39" s="13"/>
      <c r="O39" s="198"/>
      <c r="P39" s="199"/>
      <c r="Q39" s="198"/>
      <c r="R39" s="21"/>
    </row>
    <row r="40" spans="1:18">
      <c r="A40" s="180"/>
      <c r="B40" s="14"/>
      <c r="C40" s="13"/>
      <c r="D40" s="923" t="s">
        <v>868</v>
      </c>
      <c r="E40" s="668">
        <f t="shared" si="0"/>
        <v>15549712.050000014</v>
      </c>
      <c r="F40" s="669">
        <f t="shared" si="2"/>
        <v>1.9303401566901354E-2</v>
      </c>
      <c r="G40" s="670">
        <f t="shared" si="1"/>
        <v>294</v>
      </c>
      <c r="H40" s="671">
        <f t="shared" si="3"/>
        <v>7.356989139682699E-3</v>
      </c>
      <c r="I40" s="173"/>
      <c r="J40" s="21"/>
      <c r="K40" s="174"/>
      <c r="M40" s="197"/>
      <c r="N40" s="13"/>
      <c r="O40" s="198"/>
      <c r="P40" s="199"/>
      <c r="Q40" s="198"/>
      <c r="R40" s="21"/>
    </row>
    <row r="41" spans="1:18">
      <c r="A41" s="180"/>
      <c r="B41" s="14"/>
      <c r="C41" s="13"/>
      <c r="D41" s="923" t="s">
        <v>869</v>
      </c>
      <c r="E41" s="668">
        <f t="shared" si="0"/>
        <v>15330874.130000008</v>
      </c>
      <c r="F41" s="669">
        <f t="shared" si="2"/>
        <v>1.9031736327426673E-2</v>
      </c>
      <c r="G41" s="670">
        <f t="shared" si="1"/>
        <v>279</v>
      </c>
      <c r="H41" s="671">
        <f t="shared" si="3"/>
        <v>6.981632550923377E-3</v>
      </c>
      <c r="I41" s="173"/>
      <c r="J41" s="21"/>
      <c r="K41" s="174"/>
      <c r="M41" s="197"/>
      <c r="N41" s="13"/>
      <c r="O41" s="198"/>
      <c r="P41" s="199"/>
      <c r="Q41" s="198"/>
      <c r="R41" s="21"/>
    </row>
    <row r="42" spans="1:18">
      <c r="A42" s="180"/>
      <c r="B42" s="14"/>
      <c r="C42" s="13"/>
      <c r="D42" s="923" t="s">
        <v>870</v>
      </c>
      <c r="E42" s="668">
        <f t="shared" si="0"/>
        <v>10772162.759999998</v>
      </c>
      <c r="F42" s="669">
        <f t="shared" si="2"/>
        <v>1.3372555249362329E-2</v>
      </c>
      <c r="G42" s="670">
        <f t="shared" si="1"/>
        <v>189</v>
      </c>
      <c r="H42" s="671">
        <f t="shared" si="3"/>
        <v>4.7294930183674495E-3</v>
      </c>
      <c r="I42" s="173"/>
      <c r="J42" s="21"/>
      <c r="K42" s="174"/>
      <c r="M42" s="197"/>
      <c r="N42" s="13"/>
      <c r="O42" s="198"/>
      <c r="P42" s="199"/>
      <c r="Q42" s="198"/>
      <c r="R42" s="21"/>
    </row>
    <row r="43" spans="1:18">
      <c r="A43" s="180"/>
      <c r="B43" s="14"/>
      <c r="C43" s="13"/>
      <c r="D43" s="923" t="s">
        <v>871</v>
      </c>
      <c r="E43" s="668">
        <f t="shared" si="0"/>
        <v>11013950.290000007</v>
      </c>
      <c r="F43" s="669">
        <f t="shared" si="2"/>
        <v>1.3672710118497631E-2</v>
      </c>
      <c r="G43" s="670">
        <f t="shared" si="1"/>
        <v>187</v>
      </c>
      <c r="H43" s="671">
        <f t="shared" si="3"/>
        <v>4.6794454731995394E-3</v>
      </c>
      <c r="I43" s="173"/>
      <c r="J43" s="21"/>
      <c r="K43" s="174"/>
      <c r="M43" s="197"/>
      <c r="N43" s="13"/>
      <c r="O43" s="198"/>
      <c r="P43" s="199"/>
      <c r="Q43" s="198"/>
      <c r="R43" s="21"/>
    </row>
    <row r="44" spans="1:18">
      <c r="A44" s="180"/>
      <c r="B44" s="14"/>
      <c r="C44" s="13"/>
      <c r="D44" s="923" t="s">
        <v>872</v>
      </c>
      <c r="E44" s="668">
        <f t="shared" si="0"/>
        <v>20594455.68999999</v>
      </c>
      <c r="F44" s="669">
        <f t="shared" si="2"/>
        <v>2.5565942761996415E-2</v>
      </c>
      <c r="G44" s="670">
        <f t="shared" si="1"/>
        <v>341</v>
      </c>
      <c r="H44" s="671">
        <f t="shared" si="3"/>
        <v>8.5331064511285724E-3</v>
      </c>
      <c r="I44" s="173"/>
      <c r="J44" s="21"/>
      <c r="K44" s="174"/>
      <c r="M44" s="197"/>
      <c r="N44" s="13"/>
      <c r="O44" s="198"/>
      <c r="P44" s="199"/>
      <c r="Q44" s="198"/>
      <c r="R44" s="21"/>
    </row>
    <row r="45" spans="1:18" s="102" customFormat="1" ht="12.75" customHeight="1">
      <c r="A45" s="103"/>
      <c r="B45" s="14"/>
      <c r="C45" s="13"/>
      <c r="D45" s="923" t="s">
        <v>873</v>
      </c>
      <c r="E45" s="668">
        <f t="shared" si="0"/>
        <v>10577633.140000002</v>
      </c>
      <c r="F45" s="669">
        <f t="shared" si="2"/>
        <v>1.3131066316355584E-2</v>
      </c>
      <c r="G45" s="670">
        <f t="shared" si="1"/>
        <v>168</v>
      </c>
      <c r="H45" s="671">
        <f t="shared" si="3"/>
        <v>4.203993794104399E-3</v>
      </c>
      <c r="I45" s="145"/>
      <c r="J45" s="105"/>
      <c r="K45" s="110"/>
      <c r="M45" s="197"/>
      <c r="N45" s="13"/>
      <c r="O45" s="198"/>
      <c r="P45" s="199"/>
      <c r="Q45" s="198"/>
      <c r="R45" s="21"/>
    </row>
    <row r="46" spans="1:18" s="102" customFormat="1">
      <c r="A46" s="103"/>
      <c r="B46" s="14"/>
      <c r="C46" s="13"/>
      <c r="D46" s="923" t="s">
        <v>874</v>
      </c>
      <c r="E46" s="668">
        <f t="shared" ref="E46:E64" si="4">VLOOKUP(CONCATENATE("OPB_",D46),Assets,3,0)</f>
        <v>11424926.799999997</v>
      </c>
      <c r="F46" s="669">
        <f t="shared" si="2"/>
        <v>1.4182896068024167E-2</v>
      </c>
      <c r="G46" s="670">
        <f t="shared" ref="G46:G64" si="5">VLOOKUP(CONCATENATE("OPB_",D46),Assets,2,0)</f>
        <v>176</v>
      </c>
      <c r="H46" s="671">
        <f t="shared" si="3"/>
        <v>4.4041839747760375E-3</v>
      </c>
      <c r="I46" s="145"/>
      <c r="J46" s="105"/>
      <c r="K46" s="110"/>
      <c r="M46" s="197"/>
      <c r="N46" s="13"/>
      <c r="O46" s="198"/>
      <c r="P46" s="199"/>
      <c r="Q46" s="198"/>
      <c r="R46" s="21"/>
    </row>
    <row r="47" spans="1:18">
      <c r="A47" s="180"/>
      <c r="B47" s="14"/>
      <c r="C47" s="13"/>
      <c r="D47" s="923" t="s">
        <v>875</v>
      </c>
      <c r="E47" s="668">
        <f t="shared" si="4"/>
        <v>7497812.5400000047</v>
      </c>
      <c r="F47" s="669">
        <f t="shared" si="2"/>
        <v>9.3077791966551925E-3</v>
      </c>
      <c r="G47" s="670">
        <f t="shared" si="5"/>
        <v>112</v>
      </c>
      <c r="H47" s="671">
        <f t="shared" si="3"/>
        <v>2.802662529402933E-3</v>
      </c>
      <c r="I47" s="173"/>
      <c r="J47" s="21"/>
      <c r="K47" s="174"/>
      <c r="M47" s="197"/>
      <c r="N47" s="13"/>
      <c r="O47" s="198"/>
      <c r="P47" s="199"/>
      <c r="Q47" s="198"/>
      <c r="R47" s="21"/>
    </row>
    <row r="48" spans="1:18">
      <c r="A48" s="180"/>
      <c r="B48" s="14"/>
      <c r="C48" s="13"/>
      <c r="D48" s="923" t="s">
        <v>876</v>
      </c>
      <c r="E48" s="668">
        <f t="shared" si="4"/>
        <v>7299374.8900000025</v>
      </c>
      <c r="F48" s="669">
        <f t="shared" si="2"/>
        <v>9.0614388379639671E-3</v>
      </c>
      <c r="G48" s="670">
        <f t="shared" si="5"/>
        <v>106</v>
      </c>
      <c r="H48" s="671">
        <f t="shared" si="3"/>
        <v>2.6525198938992041E-3</v>
      </c>
      <c r="I48" s="173"/>
      <c r="J48" s="21"/>
      <c r="K48" s="174"/>
      <c r="M48" s="197"/>
      <c r="N48" s="13"/>
      <c r="O48" s="198"/>
      <c r="P48" s="199"/>
      <c r="Q48" s="198"/>
      <c r="R48" s="21"/>
    </row>
    <row r="49" spans="1:18">
      <c r="A49" s="180"/>
      <c r="B49" s="14"/>
      <c r="C49" s="13"/>
      <c r="D49" s="923" t="s">
        <v>877</v>
      </c>
      <c r="E49" s="668">
        <f t="shared" si="4"/>
        <v>10850824.029999999</v>
      </c>
      <c r="F49" s="669">
        <f t="shared" si="2"/>
        <v>1.3470205294436474E-2</v>
      </c>
      <c r="G49" s="670">
        <f t="shared" si="5"/>
        <v>154</v>
      </c>
      <c r="H49" s="671">
        <f t="shared" si="3"/>
        <v>3.8536609779290325E-3</v>
      </c>
      <c r="I49" s="173"/>
      <c r="J49" s="21"/>
      <c r="K49" s="174"/>
      <c r="M49" s="197"/>
      <c r="N49" s="13"/>
      <c r="O49" s="198"/>
      <c r="P49" s="199"/>
      <c r="Q49" s="198"/>
      <c r="R49" s="21"/>
    </row>
    <row r="50" spans="1:18">
      <c r="A50" s="180"/>
      <c r="B50" s="14"/>
      <c r="C50" s="13"/>
      <c r="D50" s="923" t="s">
        <v>878</v>
      </c>
      <c r="E50" s="668">
        <f t="shared" si="4"/>
        <v>6485874.8399999971</v>
      </c>
      <c r="F50" s="669">
        <f t="shared" si="2"/>
        <v>8.0515604499044012E-3</v>
      </c>
      <c r="G50" s="670">
        <f t="shared" si="5"/>
        <v>89</v>
      </c>
      <c r="H50" s="671">
        <f t="shared" si="3"/>
        <v>2.2271157599719734E-3</v>
      </c>
      <c r="I50" s="173"/>
      <c r="J50" s="21"/>
      <c r="K50" s="174"/>
      <c r="M50" s="197"/>
      <c r="N50" s="13"/>
      <c r="O50" s="198"/>
      <c r="P50" s="199"/>
      <c r="Q50" s="198"/>
      <c r="R50" s="21"/>
    </row>
    <row r="51" spans="1:18">
      <c r="A51" s="180"/>
      <c r="B51" s="14"/>
      <c r="C51" s="13"/>
      <c r="D51" s="923" t="s">
        <v>879</v>
      </c>
      <c r="E51" s="668">
        <f t="shared" si="4"/>
        <v>16711421.899999999</v>
      </c>
      <c r="F51" s="669">
        <f t="shared" si="2"/>
        <v>2.0745547354982002E-2</v>
      </c>
      <c r="G51" s="670">
        <f t="shared" si="5"/>
        <v>223</v>
      </c>
      <c r="H51" s="671">
        <f t="shared" si="3"/>
        <v>5.5803012862219109E-3</v>
      </c>
      <c r="I51" s="173"/>
      <c r="J51" s="21"/>
      <c r="K51" s="174"/>
      <c r="M51" s="197"/>
      <c r="N51" s="13"/>
      <c r="O51" s="198"/>
      <c r="P51" s="199"/>
      <c r="Q51" s="198"/>
      <c r="R51" s="21"/>
    </row>
    <row r="52" spans="1:18">
      <c r="A52" s="180"/>
      <c r="B52" s="14"/>
      <c r="C52" s="13"/>
      <c r="D52" s="923" t="s">
        <v>880</v>
      </c>
      <c r="E52" s="668">
        <f t="shared" si="4"/>
        <v>3851853.9300000006</v>
      </c>
      <c r="F52" s="669">
        <f t="shared" si="2"/>
        <v>4.7816887508111174E-3</v>
      </c>
      <c r="G52" s="670">
        <f t="shared" si="5"/>
        <v>50</v>
      </c>
      <c r="H52" s="671">
        <f t="shared" si="3"/>
        <v>1.2511886291977378E-3</v>
      </c>
      <c r="I52" s="173"/>
      <c r="J52" s="21"/>
      <c r="K52" s="174"/>
      <c r="M52" s="197"/>
      <c r="N52" s="13"/>
      <c r="O52" s="198"/>
      <c r="P52" s="199"/>
      <c r="Q52" s="198"/>
      <c r="R52" s="21"/>
    </row>
    <row r="53" spans="1:18">
      <c r="A53" s="180"/>
      <c r="B53" s="14"/>
      <c r="C53" s="13"/>
      <c r="D53" s="923" t="s">
        <v>881</v>
      </c>
      <c r="E53" s="668">
        <f t="shared" si="4"/>
        <v>5680628.7899999954</v>
      </c>
      <c r="F53" s="669">
        <f t="shared" si="2"/>
        <v>7.0519285716207679E-3</v>
      </c>
      <c r="G53" s="670">
        <f t="shared" si="5"/>
        <v>72</v>
      </c>
      <c r="H53" s="671">
        <f t="shared" si="3"/>
        <v>1.8017116260447424E-3</v>
      </c>
      <c r="I53" s="173"/>
      <c r="J53" s="21"/>
      <c r="K53" s="174"/>
      <c r="M53" s="197"/>
      <c r="N53" s="13"/>
      <c r="O53" s="198"/>
      <c r="P53" s="199"/>
      <c r="Q53" s="198"/>
      <c r="R53" s="21"/>
    </row>
    <row r="54" spans="1:18">
      <c r="A54" s="180"/>
      <c r="B54" s="14"/>
      <c r="C54" s="13"/>
      <c r="D54" s="923" t="s">
        <v>882</v>
      </c>
      <c r="E54" s="668">
        <f t="shared" si="4"/>
        <v>3714611.7000000007</v>
      </c>
      <c r="F54" s="669">
        <f t="shared" si="2"/>
        <v>4.6113163433280455E-3</v>
      </c>
      <c r="G54" s="670">
        <f t="shared" si="5"/>
        <v>46</v>
      </c>
      <c r="H54" s="671">
        <f t="shared" si="3"/>
        <v>1.1510935388619188E-3</v>
      </c>
      <c r="I54" s="173"/>
      <c r="J54" s="21"/>
      <c r="K54" s="174"/>
      <c r="M54" s="197"/>
      <c r="N54" s="13"/>
      <c r="O54" s="198"/>
      <c r="P54" s="199"/>
      <c r="Q54" s="198"/>
      <c r="R54" s="21"/>
    </row>
    <row r="55" spans="1:18">
      <c r="A55" s="180"/>
      <c r="B55" s="14"/>
      <c r="C55" s="13"/>
      <c r="D55" s="923" t="s">
        <v>883</v>
      </c>
      <c r="E55" s="668">
        <f t="shared" si="4"/>
        <v>2405833.5000000005</v>
      </c>
      <c r="F55" s="669">
        <f t="shared" si="2"/>
        <v>2.9866000093296732E-3</v>
      </c>
      <c r="G55" s="670">
        <f t="shared" si="5"/>
        <v>29</v>
      </c>
      <c r="H55" s="671">
        <f t="shared" si="3"/>
        <v>7.2568940493468795E-4</v>
      </c>
      <c r="I55" s="173"/>
      <c r="J55" s="21"/>
      <c r="K55" s="174"/>
      <c r="M55" s="197"/>
      <c r="N55" s="13"/>
      <c r="O55" s="198"/>
      <c r="P55" s="199"/>
      <c r="Q55" s="198"/>
      <c r="R55" s="21"/>
    </row>
    <row r="56" spans="1:18">
      <c r="A56" s="180"/>
      <c r="B56" s="14"/>
      <c r="C56" s="13"/>
      <c r="D56" s="923" t="s">
        <v>884</v>
      </c>
      <c r="E56" s="668">
        <f t="shared" si="4"/>
        <v>3991420.8699999996</v>
      </c>
      <c r="F56" s="669">
        <f t="shared" si="2"/>
        <v>4.9549470516478591E-3</v>
      </c>
      <c r="G56" s="670">
        <f t="shared" si="5"/>
        <v>47</v>
      </c>
      <c r="H56" s="671">
        <f t="shared" si="3"/>
        <v>1.1761173114458736E-3</v>
      </c>
      <c r="I56" s="173"/>
      <c r="J56" s="21"/>
      <c r="K56" s="174"/>
      <c r="M56" s="197"/>
      <c r="N56" s="13"/>
      <c r="O56" s="198"/>
      <c r="P56" s="199"/>
      <c r="Q56" s="198"/>
      <c r="R56" s="21"/>
    </row>
    <row r="57" spans="1:18">
      <c r="A57" s="180"/>
      <c r="B57" s="14"/>
      <c r="C57" s="13"/>
      <c r="D57" s="923" t="s">
        <v>885</v>
      </c>
      <c r="E57" s="668">
        <f t="shared" si="4"/>
        <v>2348393.1900000004</v>
      </c>
      <c r="F57" s="669">
        <f t="shared" si="2"/>
        <v>2.9152936490258953E-3</v>
      </c>
      <c r="G57" s="670">
        <f t="shared" si="5"/>
        <v>27</v>
      </c>
      <c r="H57" s="671">
        <f t="shared" si="3"/>
        <v>6.7564185976677843E-4</v>
      </c>
      <c r="I57" s="173"/>
      <c r="J57" s="21"/>
      <c r="K57" s="174"/>
      <c r="M57" s="197"/>
      <c r="N57" s="13"/>
      <c r="O57" s="198"/>
      <c r="P57" s="199"/>
      <c r="Q57" s="198"/>
      <c r="R57" s="21"/>
    </row>
    <row r="58" spans="1:18">
      <c r="A58" s="180"/>
      <c r="B58" s="14"/>
      <c r="C58" s="13"/>
      <c r="D58" s="923" t="s">
        <v>886</v>
      </c>
      <c r="E58" s="668">
        <f t="shared" si="4"/>
        <v>1780097.41</v>
      </c>
      <c r="F58" s="669">
        <f t="shared" si="2"/>
        <v>2.2098116687267536E-3</v>
      </c>
      <c r="G58" s="670">
        <f t="shared" si="5"/>
        <v>20</v>
      </c>
      <c r="H58" s="671">
        <f t="shared" si="3"/>
        <v>5.0047545167909518E-4</v>
      </c>
      <c r="I58" s="173"/>
      <c r="J58" s="21"/>
      <c r="K58" s="174"/>
      <c r="M58" s="197"/>
      <c r="N58" s="13"/>
      <c r="O58" s="198"/>
      <c r="P58" s="199"/>
      <c r="Q58" s="198"/>
      <c r="R58" s="21"/>
    </row>
    <row r="59" spans="1:18">
      <c r="A59" s="180"/>
      <c r="B59" s="14"/>
      <c r="C59" s="13"/>
      <c r="D59" s="923" t="s">
        <v>887</v>
      </c>
      <c r="E59" s="668">
        <f t="shared" si="4"/>
        <v>815162.87</v>
      </c>
      <c r="F59" s="669">
        <f t="shared" si="2"/>
        <v>1.0119426116342643E-3</v>
      </c>
      <c r="G59" s="670">
        <f t="shared" si="5"/>
        <v>9</v>
      </c>
      <c r="H59" s="671">
        <f t="shared" si="3"/>
        <v>2.252139532555928E-4</v>
      </c>
      <c r="I59" s="173"/>
      <c r="J59" s="21"/>
      <c r="K59" s="174"/>
      <c r="M59" s="197"/>
      <c r="N59" s="13"/>
      <c r="O59" s="198"/>
      <c r="P59" s="199"/>
      <c r="Q59" s="198"/>
      <c r="R59" s="21"/>
    </row>
    <row r="60" spans="1:18">
      <c r="A60" s="180"/>
      <c r="B60" s="14"/>
      <c r="C60" s="13"/>
      <c r="D60" s="923" t="s">
        <v>888</v>
      </c>
      <c r="E60" s="668">
        <f t="shared" si="4"/>
        <v>650577.41999999993</v>
      </c>
      <c r="F60" s="669">
        <f t="shared" si="2"/>
        <v>8.0762635013672981E-4</v>
      </c>
      <c r="G60" s="670">
        <f t="shared" si="5"/>
        <v>7</v>
      </c>
      <c r="H60" s="671">
        <f t="shared" si="3"/>
        <v>1.7516640808768331E-4</v>
      </c>
      <c r="I60" s="173"/>
      <c r="J60" s="21"/>
      <c r="K60" s="174"/>
      <c r="M60" s="197"/>
      <c r="N60" s="13"/>
      <c r="O60" s="198"/>
      <c r="P60" s="199"/>
      <c r="Q60" s="198"/>
      <c r="R60" s="21"/>
    </row>
    <row r="61" spans="1:18">
      <c r="A61" s="180"/>
      <c r="B61" s="14"/>
      <c r="C61" s="13"/>
      <c r="D61" s="923" t="s">
        <v>889</v>
      </c>
      <c r="E61" s="668">
        <f t="shared" si="4"/>
        <v>378120.56999999995</v>
      </c>
      <c r="F61" s="669">
        <f t="shared" si="2"/>
        <v>4.6939860879389241E-4</v>
      </c>
      <c r="G61" s="670">
        <f t="shared" si="5"/>
        <v>4</v>
      </c>
      <c r="H61" s="671">
        <f t="shared" si="3"/>
        <v>1.0009509033581902E-4</v>
      </c>
      <c r="I61" s="173"/>
      <c r="J61" s="21"/>
      <c r="K61" s="174"/>
      <c r="M61" s="197"/>
      <c r="N61" s="13"/>
      <c r="O61" s="198"/>
      <c r="P61" s="199"/>
      <c r="Q61" s="198"/>
      <c r="R61" s="21"/>
    </row>
    <row r="62" spans="1:18">
      <c r="A62" s="180"/>
      <c r="B62" s="14"/>
      <c r="C62" s="13"/>
      <c r="D62" s="923" t="s">
        <v>890</v>
      </c>
      <c r="E62" s="668">
        <f t="shared" si="4"/>
        <v>387124.75999999995</v>
      </c>
      <c r="F62" s="669">
        <f t="shared" si="2"/>
        <v>4.8057640390648278E-4</v>
      </c>
      <c r="G62" s="670">
        <f t="shared" si="5"/>
        <v>4</v>
      </c>
      <c r="H62" s="671">
        <f t="shared" si="3"/>
        <v>1.0009509033581902E-4</v>
      </c>
      <c r="I62" s="173"/>
      <c r="J62" s="21"/>
      <c r="K62" s="174"/>
      <c r="M62" s="197"/>
      <c r="N62" s="13"/>
      <c r="O62" s="198"/>
      <c r="P62" s="199"/>
      <c r="Q62" s="198"/>
      <c r="R62" s="21"/>
    </row>
    <row r="63" spans="1:18">
      <c r="A63" s="180"/>
      <c r="B63" s="14"/>
      <c r="C63" s="13"/>
      <c r="D63" s="923" t="s">
        <v>891</v>
      </c>
      <c r="E63" s="668">
        <f t="shared" si="4"/>
        <v>295906.86</v>
      </c>
      <c r="F63" s="669">
        <f t="shared" si="2"/>
        <v>3.6733856721037181E-4</v>
      </c>
      <c r="G63" s="670">
        <f t="shared" si="5"/>
        <v>3</v>
      </c>
      <c r="H63" s="671">
        <f t="shared" si="3"/>
        <v>7.5071317751864276E-5</v>
      </c>
      <c r="I63" s="173"/>
      <c r="J63" s="21"/>
      <c r="K63" s="174"/>
      <c r="M63" s="197"/>
      <c r="N63" s="13"/>
      <c r="O63" s="198"/>
      <c r="P63" s="199"/>
      <c r="Q63" s="198"/>
      <c r="R63" s="21"/>
    </row>
    <row r="64" spans="1:18" ht="13" thickBot="1">
      <c r="A64" s="180"/>
      <c r="B64" s="14"/>
      <c r="C64" s="13"/>
      <c r="D64" s="923" t="s">
        <v>892</v>
      </c>
      <c r="E64" s="668">
        <f t="shared" si="4"/>
        <v>1840523.4200000002</v>
      </c>
      <c r="F64" s="669">
        <f t="shared" si="2"/>
        <v>2.2848244749038042E-3</v>
      </c>
      <c r="G64" s="670">
        <f t="shared" si="5"/>
        <v>15</v>
      </c>
      <c r="H64" s="671">
        <f t="shared" si="3"/>
        <v>3.7535658875932138E-4</v>
      </c>
      <c r="I64" s="173"/>
      <c r="J64" s="21"/>
      <c r="K64" s="174"/>
      <c r="M64" s="197"/>
      <c r="N64" s="13"/>
      <c r="O64" s="198"/>
      <c r="P64" s="199"/>
      <c r="Q64" s="198"/>
      <c r="R64" s="21"/>
    </row>
    <row r="65" spans="1:18" ht="14" thickTop="1" thickBot="1">
      <c r="A65" s="180"/>
      <c r="B65" s="204"/>
      <c r="C65" s="233"/>
      <c r="D65" s="675" t="s">
        <v>36</v>
      </c>
      <c r="E65" s="676">
        <f>SUM(E14:E64)</f>
        <v>805542587.71999979</v>
      </c>
      <c r="F65" s="677">
        <f>SUM(F14:F64)</f>
        <v>1.0000000000000002</v>
      </c>
      <c r="G65" s="678">
        <f>SUM(G14:G64)</f>
        <v>39962</v>
      </c>
      <c r="H65" s="679">
        <f>SUM(H14:H64)</f>
        <v>0.99999999999999989</v>
      </c>
      <c r="I65" s="173"/>
      <c r="J65" s="21"/>
      <c r="K65" s="174"/>
      <c r="M65" s="680"/>
      <c r="N65" s="681"/>
      <c r="O65" s="682"/>
      <c r="P65" s="683"/>
      <c r="Q65" s="682"/>
      <c r="R65" s="21"/>
    </row>
    <row r="66" spans="1:18" ht="13">
      <c r="A66" s="180"/>
      <c r="B66" s="204"/>
      <c r="C66" s="233"/>
      <c r="D66" s="680"/>
      <c r="E66" s="681"/>
      <c r="F66" s="682"/>
      <c r="G66" s="683"/>
      <c r="H66" s="682"/>
      <c r="I66" s="173"/>
      <c r="J66" s="21"/>
      <c r="K66" s="174"/>
      <c r="M66" s="680"/>
      <c r="N66" s="681"/>
      <c r="O66" s="682"/>
      <c r="P66" s="683"/>
      <c r="Q66" s="682"/>
      <c r="R66" s="21"/>
    </row>
    <row r="67" spans="1:18" ht="13">
      <c r="A67" s="180"/>
      <c r="B67" s="204"/>
      <c r="C67" s="233"/>
      <c r="D67" s="680"/>
      <c r="E67" s="681"/>
      <c r="F67" s="682"/>
      <c r="G67" s="683"/>
      <c r="H67" s="682"/>
      <c r="I67" s="173"/>
      <c r="J67" s="21"/>
      <c r="K67" s="174"/>
      <c r="M67" s="680"/>
      <c r="N67" s="681"/>
      <c r="O67" s="682"/>
      <c r="P67" s="683"/>
      <c r="Q67" s="682"/>
      <c r="R67" s="21"/>
    </row>
    <row r="68" spans="1:18" ht="13.5" thickBot="1">
      <c r="A68" s="180"/>
      <c r="B68" s="210"/>
      <c r="C68" s="233"/>
      <c r="D68" s="570" t="s">
        <v>69</v>
      </c>
      <c r="E68" s="570" t="s">
        <v>59</v>
      </c>
      <c r="F68" s="102"/>
      <c r="G68" s="102"/>
      <c r="H68" s="102"/>
      <c r="I68" s="173"/>
      <c r="J68" s="21"/>
      <c r="K68" s="174"/>
      <c r="M68" s="508"/>
      <c r="N68" s="508"/>
      <c r="O68" s="21"/>
      <c r="P68" s="21"/>
      <c r="Q68" s="21"/>
      <c r="R68" s="21"/>
    </row>
    <row r="69" spans="1:18" ht="13" thickBot="1">
      <c r="A69" s="180"/>
      <c r="B69" s="210"/>
      <c r="C69" s="233"/>
      <c r="D69" s="515" t="s">
        <v>60</v>
      </c>
      <c r="E69" s="516">
        <f>E65/G65</f>
        <v>20157.7145217957</v>
      </c>
      <c r="F69" s="102"/>
      <c r="G69" s="102"/>
      <c r="H69" s="102"/>
      <c r="I69" s="173"/>
      <c r="J69" s="21"/>
      <c r="K69" s="174"/>
      <c r="M69" s="204"/>
      <c r="N69" s="233"/>
      <c r="O69" s="21"/>
      <c r="P69" s="21"/>
      <c r="Q69" s="21"/>
      <c r="R69" s="21"/>
    </row>
    <row r="70" spans="1:18">
      <c r="A70" s="180"/>
      <c r="B70" s="21"/>
      <c r="I70" s="496"/>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164</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141</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4"/>
      <c r="C13" s="21"/>
      <c r="D13" s="478" t="s">
        <v>70</v>
      </c>
      <c r="E13" s="479" t="s">
        <v>71</v>
      </c>
      <c r="F13" s="479" t="s">
        <v>113</v>
      </c>
      <c r="G13" s="667" t="s">
        <v>61</v>
      </c>
      <c r="H13" s="646" t="s">
        <v>114</v>
      </c>
      <c r="I13" s="173"/>
      <c r="K13" s="110"/>
      <c r="M13" s="654"/>
      <c r="N13" s="215"/>
      <c r="O13" s="215"/>
      <c r="P13" s="495"/>
      <c r="Q13" s="495"/>
    </row>
    <row r="14" spans="1:17">
      <c r="A14" s="180"/>
      <c r="B14" s="14"/>
      <c r="C14" s="13"/>
      <c r="D14" s="923" t="s">
        <v>893</v>
      </c>
      <c r="E14" s="668">
        <f t="shared" ref="E14:E54" si="0">VLOOKUP(CONCATENATE("CPB_",D14),Assets,3,0)</f>
        <v>6468494.5600000182</v>
      </c>
      <c r="F14" s="669">
        <f>E14/$E$55</f>
        <v>1.3546382588818016E-2</v>
      </c>
      <c r="G14" s="670">
        <f t="shared" ref="G14:G54" si="1">VLOOKUP(CONCATENATE("CPB_",D14),Assets,2,0)</f>
        <v>6472</v>
      </c>
      <c r="H14" s="671">
        <f>G14/$G$55</f>
        <v>0.1619538561633552</v>
      </c>
      <c r="I14" s="173"/>
      <c r="K14" s="174"/>
      <c r="M14" s="197"/>
      <c r="N14" s="13"/>
      <c r="O14" s="198"/>
      <c r="P14" s="199"/>
      <c r="Q14" s="198"/>
    </row>
    <row r="15" spans="1:17">
      <c r="A15" s="180"/>
      <c r="B15" s="14"/>
      <c r="C15" s="13"/>
      <c r="D15" s="923" t="s">
        <v>894</v>
      </c>
      <c r="E15" s="668">
        <f t="shared" si="0"/>
        <v>16186769.379999978</v>
      </c>
      <c r="F15" s="669">
        <f t="shared" ref="F15:F54" si="2">E15/$E$55</f>
        <v>3.3898485785917344E-2</v>
      </c>
      <c r="G15" s="670">
        <f t="shared" si="1"/>
        <v>5454</v>
      </c>
      <c r="H15" s="671">
        <f t="shared" ref="H15:H54" si="3">G15/$G$55</f>
        <v>0.13647965567288925</v>
      </c>
      <c r="I15" s="173"/>
      <c r="K15" s="174"/>
      <c r="M15" s="197"/>
      <c r="N15" s="13"/>
      <c r="O15" s="198"/>
      <c r="P15" s="199"/>
      <c r="Q15" s="198"/>
    </row>
    <row r="16" spans="1:17">
      <c r="A16" s="180"/>
      <c r="B16" s="14"/>
      <c r="C16" s="13"/>
      <c r="D16" s="923" t="s">
        <v>895</v>
      </c>
      <c r="E16" s="668">
        <f t="shared" si="0"/>
        <v>21998347.33999991</v>
      </c>
      <c r="F16" s="669">
        <f t="shared" si="2"/>
        <v>4.6069147407514409E-2</v>
      </c>
      <c r="G16" s="670">
        <f t="shared" si="1"/>
        <v>4406</v>
      </c>
      <c r="H16" s="671">
        <f t="shared" si="3"/>
        <v>0.11025474200490466</v>
      </c>
      <c r="I16" s="173"/>
      <c r="K16" s="174"/>
      <c r="M16" s="197"/>
      <c r="N16" s="13"/>
      <c r="O16" s="198"/>
      <c r="P16" s="199"/>
      <c r="Q16" s="198"/>
    </row>
    <row r="17" spans="1:17">
      <c r="A17" s="180"/>
      <c r="B17" s="14"/>
      <c r="C17" s="13"/>
      <c r="D17" s="923" t="s">
        <v>896</v>
      </c>
      <c r="E17" s="668">
        <f t="shared" si="0"/>
        <v>24887500.310000006</v>
      </c>
      <c r="F17" s="669">
        <f t="shared" si="2"/>
        <v>5.2119638928564874E-2</v>
      </c>
      <c r="G17" s="670">
        <f t="shared" si="1"/>
        <v>3596</v>
      </c>
      <c r="H17" s="671">
        <f t="shared" si="3"/>
        <v>8.9985486211901305E-2</v>
      </c>
      <c r="I17" s="173"/>
      <c r="K17" s="174"/>
      <c r="M17" s="197"/>
      <c r="N17" s="13"/>
      <c r="O17" s="198"/>
      <c r="P17" s="199"/>
      <c r="Q17" s="198"/>
    </row>
    <row r="18" spans="1:17">
      <c r="A18" s="180"/>
      <c r="B18" s="14"/>
      <c r="C18" s="13"/>
      <c r="D18" s="923" t="s">
        <v>897</v>
      </c>
      <c r="E18" s="668">
        <f t="shared" si="0"/>
        <v>25007188.809999965</v>
      </c>
      <c r="F18" s="669">
        <f t="shared" si="2"/>
        <v>5.2370291719170479E-2</v>
      </c>
      <c r="G18" s="670">
        <f t="shared" si="1"/>
        <v>2778</v>
      </c>
      <c r="H18" s="671">
        <f t="shared" si="3"/>
        <v>6.9516040238226315E-2</v>
      </c>
      <c r="I18" s="173"/>
      <c r="K18" s="174"/>
      <c r="M18" s="197"/>
      <c r="N18" s="13"/>
      <c r="O18" s="198"/>
      <c r="P18" s="199"/>
      <c r="Q18" s="198"/>
    </row>
    <row r="19" spans="1:17">
      <c r="A19" s="180"/>
      <c r="B19" s="14"/>
      <c r="C19" s="13"/>
      <c r="D19" s="923" t="s">
        <v>898</v>
      </c>
      <c r="E19" s="668">
        <f t="shared" si="0"/>
        <v>25402651.519999988</v>
      </c>
      <c r="F19" s="669">
        <f t="shared" si="2"/>
        <v>5.3198473472989727E-2</v>
      </c>
      <c r="G19" s="670">
        <f t="shared" si="1"/>
        <v>2314</v>
      </c>
      <c r="H19" s="671">
        <f t="shared" si="3"/>
        <v>5.7905009759271306E-2</v>
      </c>
      <c r="I19" s="173"/>
      <c r="K19" s="174"/>
      <c r="M19" s="197"/>
      <c r="N19" s="13"/>
      <c r="O19" s="198"/>
      <c r="P19" s="199"/>
      <c r="Q19" s="198"/>
    </row>
    <row r="20" spans="1:17">
      <c r="A20" s="180"/>
      <c r="B20" s="14"/>
      <c r="C20" s="13"/>
      <c r="D20" s="923" t="s">
        <v>899</v>
      </c>
      <c r="E20" s="668">
        <f t="shared" si="0"/>
        <v>27741330.919999976</v>
      </c>
      <c r="F20" s="669">
        <f t="shared" si="2"/>
        <v>5.8096158028665863E-2</v>
      </c>
      <c r="G20" s="670">
        <f t="shared" si="1"/>
        <v>2138</v>
      </c>
      <c r="H20" s="671">
        <f t="shared" si="3"/>
        <v>5.3500825784495269E-2</v>
      </c>
      <c r="I20" s="173"/>
      <c r="K20" s="174"/>
      <c r="M20" s="197"/>
      <c r="N20" s="13"/>
      <c r="O20" s="198"/>
      <c r="P20" s="199"/>
      <c r="Q20" s="198"/>
    </row>
    <row r="21" spans="1:17">
      <c r="A21" s="180"/>
      <c r="B21" s="14"/>
      <c r="C21" s="13"/>
      <c r="D21" s="924" t="s">
        <v>900</v>
      </c>
      <c r="E21" s="668">
        <f t="shared" si="0"/>
        <v>27881280.890000001</v>
      </c>
      <c r="F21" s="669">
        <f t="shared" si="2"/>
        <v>5.8389242581698857E-2</v>
      </c>
      <c r="G21" s="670">
        <f t="shared" si="1"/>
        <v>1857</v>
      </c>
      <c r="H21" s="671">
        <f t="shared" si="3"/>
        <v>4.6469145688403983E-2</v>
      </c>
      <c r="I21" s="173"/>
      <c r="K21" s="174"/>
      <c r="M21" s="197"/>
      <c r="N21" s="13"/>
      <c r="O21" s="198"/>
      <c r="P21" s="199"/>
      <c r="Q21" s="198"/>
    </row>
    <row r="22" spans="1:17">
      <c r="A22" s="180"/>
      <c r="B22" s="14"/>
      <c r="C22" s="13"/>
      <c r="D22" s="923" t="s">
        <v>901</v>
      </c>
      <c r="E22" s="668">
        <f t="shared" si="0"/>
        <v>25896067.970000047</v>
      </c>
      <c r="F22" s="669">
        <f t="shared" si="2"/>
        <v>5.4231790877111836E-2</v>
      </c>
      <c r="G22" s="670">
        <f t="shared" si="1"/>
        <v>1530</v>
      </c>
      <c r="H22" s="671">
        <f t="shared" si="3"/>
        <v>3.8286372053450778E-2</v>
      </c>
      <c r="I22" s="173"/>
      <c r="K22" s="174"/>
      <c r="M22" s="197"/>
      <c r="N22" s="13"/>
      <c r="O22" s="198"/>
      <c r="P22" s="199"/>
      <c r="Q22" s="198"/>
    </row>
    <row r="23" spans="1:17">
      <c r="A23" s="180"/>
      <c r="B23" s="14"/>
      <c r="C23" s="13"/>
      <c r="D23" s="923" t="s">
        <v>902</v>
      </c>
      <c r="E23" s="668">
        <f t="shared" si="0"/>
        <v>28158561.989999972</v>
      </c>
      <c r="F23" s="669">
        <f t="shared" si="2"/>
        <v>5.8969927288226295E-2</v>
      </c>
      <c r="G23" s="670">
        <f t="shared" si="1"/>
        <v>1484</v>
      </c>
      <c r="H23" s="671">
        <f t="shared" si="3"/>
        <v>3.7135278514588858E-2</v>
      </c>
      <c r="I23" s="173"/>
      <c r="K23" s="174"/>
      <c r="M23" s="197"/>
      <c r="N23" s="13"/>
      <c r="O23" s="198"/>
      <c r="P23" s="199"/>
      <c r="Q23" s="198"/>
    </row>
    <row r="24" spans="1:17">
      <c r="A24" s="180"/>
      <c r="B24" s="14"/>
      <c r="C24" s="13"/>
      <c r="D24" s="923" t="s">
        <v>903</v>
      </c>
      <c r="E24" s="668">
        <f t="shared" si="0"/>
        <v>24718185.280000005</v>
      </c>
      <c r="F24" s="669">
        <f t="shared" si="2"/>
        <v>5.1765057788681033E-2</v>
      </c>
      <c r="G24" s="670">
        <f t="shared" si="1"/>
        <v>1180</v>
      </c>
      <c r="H24" s="671">
        <f t="shared" si="3"/>
        <v>2.9528051649066613E-2</v>
      </c>
      <c r="I24" s="173"/>
      <c r="K24" s="174"/>
      <c r="M24" s="197"/>
      <c r="N24" s="13"/>
      <c r="O24" s="198"/>
      <c r="P24" s="199"/>
      <c r="Q24" s="198"/>
    </row>
    <row r="25" spans="1:17">
      <c r="A25" s="180"/>
      <c r="B25" s="14"/>
      <c r="C25" s="13"/>
      <c r="D25" s="923" t="s">
        <v>904</v>
      </c>
      <c r="E25" s="668">
        <f t="shared" si="0"/>
        <v>21254418.140000012</v>
      </c>
      <c r="F25" s="669">
        <f t="shared" si="2"/>
        <v>4.4511203829033313E-2</v>
      </c>
      <c r="G25" s="670">
        <f t="shared" si="1"/>
        <v>926</v>
      </c>
      <c r="H25" s="671">
        <f t="shared" si="3"/>
        <v>2.3172013412742106E-2</v>
      </c>
      <c r="I25" s="173"/>
      <c r="K25" s="174"/>
      <c r="M25" s="197"/>
      <c r="N25" s="13"/>
      <c r="O25" s="198"/>
      <c r="P25" s="199"/>
      <c r="Q25" s="198"/>
    </row>
    <row r="26" spans="1:17">
      <c r="A26" s="180"/>
      <c r="B26" s="14"/>
      <c r="C26" s="13"/>
      <c r="D26" s="923" t="s">
        <v>905</v>
      </c>
      <c r="E26" s="668">
        <f t="shared" si="0"/>
        <v>20489238.169999987</v>
      </c>
      <c r="F26" s="669">
        <f t="shared" si="2"/>
        <v>4.2908756686692265E-2</v>
      </c>
      <c r="G26" s="670">
        <f t="shared" si="1"/>
        <v>821</v>
      </c>
      <c r="H26" s="671">
        <f t="shared" si="3"/>
        <v>2.0544517291426857E-2</v>
      </c>
      <c r="I26" s="173"/>
      <c r="K26" s="174"/>
      <c r="M26" s="197"/>
      <c r="N26" s="13"/>
      <c r="O26" s="198"/>
      <c r="P26" s="199"/>
      <c r="Q26" s="198"/>
    </row>
    <row r="27" spans="1:17">
      <c r="A27" s="180"/>
      <c r="B27" s="14"/>
      <c r="C27" s="13"/>
      <c r="D27" s="923" t="s">
        <v>906</v>
      </c>
      <c r="E27" s="668">
        <f t="shared" si="0"/>
        <v>19286222.660000004</v>
      </c>
      <c r="F27" s="669">
        <f t="shared" si="2"/>
        <v>4.0389390208514113E-2</v>
      </c>
      <c r="G27" s="670">
        <f t="shared" si="1"/>
        <v>715</v>
      </c>
      <c r="H27" s="671">
        <f t="shared" si="3"/>
        <v>1.7891997397527653E-2</v>
      </c>
      <c r="I27" s="173"/>
      <c r="K27" s="174"/>
      <c r="M27" s="197"/>
      <c r="N27" s="13"/>
      <c r="O27" s="198"/>
      <c r="P27" s="199"/>
      <c r="Q27" s="198"/>
    </row>
    <row r="28" spans="1:17">
      <c r="A28" s="180"/>
      <c r="B28" s="14"/>
      <c r="C28" s="13"/>
      <c r="D28" s="923" t="s">
        <v>907</v>
      </c>
      <c r="E28" s="668">
        <f t="shared" si="0"/>
        <v>18089312.840000007</v>
      </c>
      <c r="F28" s="669">
        <f t="shared" si="2"/>
        <v>3.7882810324178055E-2</v>
      </c>
      <c r="G28" s="670">
        <f t="shared" si="1"/>
        <v>624</v>
      </c>
      <c r="H28" s="671">
        <f t="shared" si="3"/>
        <v>1.5614834092387769E-2</v>
      </c>
      <c r="I28" s="173"/>
      <c r="K28" s="174"/>
      <c r="M28" s="197"/>
      <c r="N28" s="13"/>
      <c r="O28" s="198"/>
      <c r="P28" s="199"/>
      <c r="Q28" s="198"/>
    </row>
    <row r="29" spans="1:17">
      <c r="A29" s="180"/>
      <c r="B29" s="14"/>
      <c r="C29" s="13"/>
      <c r="D29" s="923" t="s">
        <v>908</v>
      </c>
      <c r="E29" s="668">
        <f t="shared" si="0"/>
        <v>20568192.820000004</v>
      </c>
      <c r="F29" s="669">
        <f t="shared" si="2"/>
        <v>4.307410426272338E-2</v>
      </c>
      <c r="G29" s="670">
        <f t="shared" si="1"/>
        <v>663</v>
      </c>
      <c r="H29" s="671">
        <f t="shared" si="3"/>
        <v>1.6590761223162005E-2</v>
      </c>
      <c r="I29" s="173"/>
      <c r="K29" s="174"/>
      <c r="M29" s="197"/>
      <c r="N29" s="13"/>
      <c r="O29" s="198"/>
      <c r="P29" s="199"/>
      <c r="Q29" s="198"/>
    </row>
    <row r="30" spans="1:17">
      <c r="A30" s="180"/>
      <c r="B30" s="14"/>
      <c r="C30" s="13"/>
      <c r="D30" s="923" t="s">
        <v>909</v>
      </c>
      <c r="E30" s="668">
        <f t="shared" si="0"/>
        <v>16960866.999999993</v>
      </c>
      <c r="F30" s="669">
        <f t="shared" si="2"/>
        <v>3.5519608355372462E-2</v>
      </c>
      <c r="G30" s="670">
        <f t="shared" si="1"/>
        <v>514</v>
      </c>
      <c r="H30" s="671">
        <f t="shared" si="3"/>
        <v>1.2862219108152745E-2</v>
      </c>
      <c r="I30" s="173"/>
      <c r="K30" s="174"/>
      <c r="M30" s="197"/>
      <c r="N30" s="13"/>
      <c r="O30" s="198"/>
      <c r="P30" s="199"/>
      <c r="Q30" s="198"/>
    </row>
    <row r="31" spans="1:17">
      <c r="A31" s="180"/>
      <c r="B31" s="14"/>
      <c r="C31" s="13"/>
      <c r="D31" s="923" t="s">
        <v>910</v>
      </c>
      <c r="E31" s="668">
        <f t="shared" si="0"/>
        <v>14761150.739999998</v>
      </c>
      <c r="F31" s="669">
        <f t="shared" si="2"/>
        <v>3.0912941723994211E-2</v>
      </c>
      <c r="G31" s="670">
        <f t="shared" si="1"/>
        <v>423</v>
      </c>
      <c r="H31" s="671">
        <f t="shared" si="3"/>
        <v>1.0585055803012862E-2</v>
      </c>
      <c r="I31" s="173"/>
      <c r="K31" s="174"/>
      <c r="M31" s="197"/>
      <c r="N31" s="13"/>
      <c r="O31" s="198"/>
      <c r="P31" s="199"/>
      <c r="Q31" s="198"/>
    </row>
    <row r="32" spans="1:17">
      <c r="A32" s="180"/>
      <c r="B32" s="14"/>
      <c r="C32" s="13"/>
      <c r="D32" s="923" t="s">
        <v>911</v>
      </c>
      <c r="E32" s="668">
        <f t="shared" si="0"/>
        <v>15242984.530000011</v>
      </c>
      <c r="F32" s="669">
        <f t="shared" si="2"/>
        <v>3.1922002611812342E-2</v>
      </c>
      <c r="G32" s="670">
        <f t="shared" si="1"/>
        <v>412</v>
      </c>
      <c r="H32" s="671">
        <f t="shared" si="3"/>
        <v>1.030979430458936E-2</v>
      </c>
      <c r="I32" s="173"/>
      <c r="K32" s="174"/>
      <c r="M32" s="197"/>
      <c r="N32" s="13"/>
      <c r="O32" s="198"/>
      <c r="P32" s="199"/>
      <c r="Q32" s="198"/>
    </row>
    <row r="33" spans="1:17">
      <c r="A33" s="180"/>
      <c r="B33" s="14"/>
      <c r="C33" s="13"/>
      <c r="D33" s="923" t="s">
        <v>912</v>
      </c>
      <c r="E33" s="668">
        <f t="shared" si="0"/>
        <v>11448591.539999997</v>
      </c>
      <c r="F33" s="669">
        <f t="shared" si="2"/>
        <v>2.3975748864809243E-2</v>
      </c>
      <c r="G33" s="670">
        <f t="shared" si="1"/>
        <v>294</v>
      </c>
      <c r="H33" s="671">
        <f t="shared" si="3"/>
        <v>7.356989139682699E-3</v>
      </c>
      <c r="I33" s="173"/>
      <c r="K33" s="174"/>
      <c r="M33" s="197"/>
      <c r="N33" s="13"/>
      <c r="O33" s="198"/>
      <c r="P33" s="199"/>
      <c r="Q33" s="198"/>
    </row>
    <row r="34" spans="1:17">
      <c r="A34" s="180"/>
      <c r="B34" s="14"/>
      <c r="C34" s="13"/>
      <c r="D34" s="923" t="s">
        <v>913</v>
      </c>
      <c r="E34" s="668">
        <f t="shared" si="0"/>
        <v>10707173.369999995</v>
      </c>
      <c r="F34" s="669">
        <f t="shared" si="2"/>
        <v>2.2423063909142942E-2</v>
      </c>
      <c r="G34" s="670">
        <f t="shared" si="1"/>
        <v>261</v>
      </c>
      <c r="H34" s="671">
        <f t="shared" si="3"/>
        <v>6.5312046444121917E-3</v>
      </c>
      <c r="I34" s="173"/>
      <c r="K34" s="174"/>
      <c r="M34" s="197"/>
      <c r="N34" s="13"/>
      <c r="O34" s="198"/>
      <c r="P34" s="199"/>
      <c r="Q34" s="198"/>
    </row>
    <row r="35" spans="1:17">
      <c r="A35" s="180"/>
      <c r="B35" s="14"/>
      <c r="C35" s="13"/>
      <c r="D35" s="923" t="s">
        <v>914</v>
      </c>
      <c r="E35" s="668">
        <f t="shared" si="0"/>
        <v>9410176.6599999964</v>
      </c>
      <c r="F35" s="669">
        <f t="shared" si="2"/>
        <v>1.9706881111565048E-2</v>
      </c>
      <c r="G35" s="670">
        <f t="shared" si="1"/>
        <v>219</v>
      </c>
      <c r="H35" s="671">
        <f t="shared" si="3"/>
        <v>5.4802061958860917E-3</v>
      </c>
      <c r="I35" s="173"/>
      <c r="K35" s="174"/>
      <c r="M35" s="197"/>
      <c r="N35" s="13"/>
      <c r="O35" s="198"/>
      <c r="P35" s="199"/>
      <c r="Q35" s="198"/>
    </row>
    <row r="36" spans="1:17">
      <c r="A36" s="180"/>
      <c r="B36" s="14"/>
      <c r="C36" s="13"/>
      <c r="D36" s="923" t="s">
        <v>915</v>
      </c>
      <c r="E36" s="668">
        <f t="shared" si="0"/>
        <v>9040577.5500000026</v>
      </c>
      <c r="F36" s="669">
        <f t="shared" si="2"/>
        <v>1.8932863153892601E-2</v>
      </c>
      <c r="G36" s="670">
        <f t="shared" si="1"/>
        <v>201</v>
      </c>
      <c r="H36" s="671">
        <f t="shared" si="3"/>
        <v>5.0297782893749064E-3</v>
      </c>
      <c r="I36" s="173"/>
      <c r="K36" s="174"/>
      <c r="M36" s="197"/>
      <c r="N36" s="13"/>
      <c r="O36" s="198"/>
      <c r="P36" s="199"/>
      <c r="Q36" s="198"/>
    </row>
    <row r="37" spans="1:17">
      <c r="A37" s="180"/>
      <c r="B37" s="14"/>
      <c r="C37" s="13"/>
      <c r="D37" s="923" t="s">
        <v>916</v>
      </c>
      <c r="E37" s="668">
        <f t="shared" si="0"/>
        <v>7989406.4999999991</v>
      </c>
      <c r="F37" s="669">
        <f t="shared" si="2"/>
        <v>1.6731490782391438E-2</v>
      </c>
      <c r="G37" s="670">
        <f t="shared" si="1"/>
        <v>170</v>
      </c>
      <c r="H37" s="671">
        <f t="shared" si="3"/>
        <v>4.2540413392723091E-3</v>
      </c>
      <c r="I37" s="173"/>
      <c r="K37" s="174"/>
      <c r="M37" s="197"/>
      <c r="N37" s="13"/>
      <c r="O37" s="198"/>
      <c r="P37" s="199"/>
      <c r="Q37" s="198"/>
    </row>
    <row r="38" spans="1:17">
      <c r="A38" s="180"/>
      <c r="B38" s="14"/>
      <c r="C38" s="13"/>
      <c r="D38" s="923" t="s">
        <v>917</v>
      </c>
      <c r="E38" s="668">
        <f t="shared" si="0"/>
        <v>6366312.5199999996</v>
      </c>
      <c r="F38" s="669">
        <f t="shared" si="2"/>
        <v>1.3332391992597099E-2</v>
      </c>
      <c r="G38" s="670">
        <f t="shared" si="1"/>
        <v>130</v>
      </c>
      <c r="H38" s="671">
        <f t="shared" si="3"/>
        <v>3.2530904359141183E-3</v>
      </c>
      <c r="I38" s="173"/>
      <c r="K38" s="174"/>
      <c r="M38" s="197"/>
      <c r="N38" s="13"/>
      <c r="O38" s="198"/>
      <c r="P38" s="199"/>
      <c r="Q38" s="198"/>
    </row>
    <row r="39" spans="1:17">
      <c r="A39" s="180"/>
      <c r="B39" s="14"/>
      <c r="C39" s="13"/>
      <c r="D39" s="923" t="s">
        <v>918</v>
      </c>
      <c r="E39" s="668">
        <f t="shared" si="0"/>
        <v>4796975.6799999988</v>
      </c>
      <c r="F39" s="669">
        <f t="shared" si="2"/>
        <v>1.0045871914675502E-2</v>
      </c>
      <c r="G39" s="670">
        <f t="shared" si="1"/>
        <v>94</v>
      </c>
      <c r="H39" s="671">
        <f t="shared" si="3"/>
        <v>2.3522346228917472E-3</v>
      </c>
      <c r="I39" s="173"/>
      <c r="K39" s="174"/>
      <c r="M39" s="197"/>
      <c r="N39" s="13"/>
      <c r="O39" s="198"/>
      <c r="P39" s="199"/>
      <c r="Q39" s="198"/>
    </row>
    <row r="40" spans="1:17">
      <c r="A40" s="180"/>
      <c r="B40" s="14"/>
      <c r="C40" s="13"/>
      <c r="D40" s="923" t="s">
        <v>919</v>
      </c>
      <c r="E40" s="668">
        <f t="shared" si="0"/>
        <v>3866266.9599999995</v>
      </c>
      <c r="F40" s="669">
        <f t="shared" si="2"/>
        <v>8.0967728958971572E-3</v>
      </c>
      <c r="G40" s="670">
        <f t="shared" si="1"/>
        <v>73</v>
      </c>
      <c r="H40" s="671">
        <f t="shared" si="3"/>
        <v>1.8267353986286972E-3</v>
      </c>
      <c r="I40" s="173"/>
      <c r="K40" s="174"/>
      <c r="M40" s="197"/>
      <c r="N40" s="13"/>
      <c r="O40" s="198"/>
      <c r="P40" s="199"/>
      <c r="Q40" s="198"/>
    </row>
    <row r="41" spans="1:17">
      <c r="A41" s="180"/>
      <c r="B41" s="14"/>
      <c r="C41" s="13"/>
      <c r="D41" s="923" t="s">
        <v>920</v>
      </c>
      <c r="E41" s="668">
        <f t="shared" si="0"/>
        <v>3020194.9299999997</v>
      </c>
      <c r="F41" s="669">
        <f t="shared" si="2"/>
        <v>6.3249208351484378E-3</v>
      </c>
      <c r="G41" s="670">
        <f t="shared" si="1"/>
        <v>55</v>
      </c>
      <c r="H41" s="671">
        <f t="shared" si="3"/>
        <v>1.3763074921175117E-3</v>
      </c>
      <c r="I41" s="173"/>
      <c r="K41" s="174"/>
      <c r="M41" s="197"/>
      <c r="N41" s="13"/>
      <c r="O41" s="198"/>
      <c r="P41" s="199"/>
      <c r="Q41" s="198"/>
    </row>
    <row r="42" spans="1:17">
      <c r="A42" s="180"/>
      <c r="B42" s="14"/>
      <c r="C42" s="13"/>
      <c r="D42" s="923" t="s">
        <v>921</v>
      </c>
      <c r="E42" s="668">
        <f t="shared" si="0"/>
        <v>2332116.8299999996</v>
      </c>
      <c r="F42" s="669">
        <f t="shared" si="2"/>
        <v>4.8839411594096436E-3</v>
      </c>
      <c r="G42" s="670">
        <f t="shared" si="1"/>
        <v>41</v>
      </c>
      <c r="H42" s="671">
        <f t="shared" si="3"/>
        <v>1.0259746759421449E-3</v>
      </c>
      <c r="I42" s="173"/>
      <c r="K42" s="174"/>
      <c r="M42" s="197"/>
      <c r="N42" s="13"/>
      <c r="O42" s="198"/>
      <c r="P42" s="199"/>
      <c r="Q42" s="198"/>
    </row>
    <row r="43" spans="1:17">
      <c r="A43" s="180"/>
      <c r="B43" s="14"/>
      <c r="C43" s="13"/>
      <c r="D43" s="923" t="s">
        <v>922</v>
      </c>
      <c r="E43" s="668">
        <f t="shared" si="0"/>
        <v>1826272.26</v>
      </c>
      <c r="F43" s="669">
        <f t="shared" si="2"/>
        <v>3.8245966686420553E-3</v>
      </c>
      <c r="G43" s="670">
        <f t="shared" si="1"/>
        <v>31</v>
      </c>
      <c r="H43" s="671">
        <f t="shared" si="3"/>
        <v>7.7573695010259747E-4</v>
      </c>
      <c r="I43" s="173"/>
      <c r="K43" s="174"/>
      <c r="M43" s="197"/>
      <c r="N43" s="13"/>
      <c r="O43" s="198"/>
      <c r="P43" s="199"/>
      <c r="Q43" s="198"/>
    </row>
    <row r="44" spans="1:17">
      <c r="A44" s="180"/>
      <c r="B44" s="14"/>
      <c r="C44" s="13"/>
      <c r="D44" s="923" t="s">
        <v>923</v>
      </c>
      <c r="E44" s="668">
        <f t="shared" si="0"/>
        <v>1278455.6900000002</v>
      </c>
      <c r="F44" s="669">
        <f t="shared" si="2"/>
        <v>2.6773540178398596E-3</v>
      </c>
      <c r="G44" s="670">
        <f t="shared" si="1"/>
        <v>21</v>
      </c>
      <c r="H44" s="671">
        <f t="shared" si="3"/>
        <v>5.2549922426304988E-4</v>
      </c>
      <c r="I44" s="173"/>
      <c r="K44" s="174"/>
      <c r="M44" s="197"/>
      <c r="N44" s="13"/>
      <c r="O44" s="198"/>
      <c r="P44" s="199"/>
      <c r="Q44" s="198"/>
    </row>
    <row r="45" spans="1:17">
      <c r="A45" s="180"/>
      <c r="B45" s="14"/>
      <c r="C45" s="13"/>
      <c r="D45" s="923" t="s">
        <v>924</v>
      </c>
      <c r="E45" s="668">
        <f t="shared" si="0"/>
        <v>1196431.1399999999</v>
      </c>
      <c r="F45" s="669">
        <f t="shared" si="2"/>
        <v>2.5055774281451423E-3</v>
      </c>
      <c r="G45" s="670">
        <f t="shared" si="1"/>
        <v>19</v>
      </c>
      <c r="H45" s="671">
        <f t="shared" si="3"/>
        <v>4.7545167909514036E-4</v>
      </c>
      <c r="I45" s="173"/>
      <c r="K45" s="174"/>
      <c r="M45" s="197"/>
      <c r="N45" s="13"/>
      <c r="O45" s="198"/>
      <c r="P45" s="199"/>
      <c r="Q45" s="198"/>
    </row>
    <row r="46" spans="1:17">
      <c r="A46" s="180"/>
      <c r="B46" s="14"/>
      <c r="C46" s="13"/>
      <c r="D46" s="923" t="s">
        <v>925</v>
      </c>
      <c r="E46" s="668">
        <f t="shared" si="0"/>
        <v>1494768.4200000002</v>
      </c>
      <c r="F46" s="669">
        <f t="shared" si="2"/>
        <v>3.1303581863108129E-3</v>
      </c>
      <c r="G46" s="670">
        <f t="shared" si="1"/>
        <v>23</v>
      </c>
      <c r="H46" s="671">
        <f t="shared" si="3"/>
        <v>5.755467694309594E-4</v>
      </c>
      <c r="I46" s="173"/>
      <c r="K46" s="174"/>
      <c r="M46" s="197"/>
      <c r="N46" s="13"/>
      <c r="O46" s="198"/>
      <c r="P46" s="199"/>
      <c r="Q46" s="198"/>
    </row>
    <row r="47" spans="1:17">
      <c r="A47" s="180"/>
      <c r="B47" s="14"/>
      <c r="C47" s="13"/>
      <c r="D47" s="923" t="s">
        <v>926</v>
      </c>
      <c r="E47" s="668">
        <f t="shared" si="0"/>
        <v>401817.73</v>
      </c>
      <c r="F47" s="669">
        <f t="shared" si="2"/>
        <v>8.4149049690943284E-4</v>
      </c>
      <c r="G47" s="670">
        <f t="shared" si="1"/>
        <v>6</v>
      </c>
      <c r="H47" s="671">
        <f t="shared" si="3"/>
        <v>1.5014263550372855E-4</v>
      </c>
      <c r="I47" s="173"/>
      <c r="K47" s="174"/>
      <c r="M47" s="197"/>
      <c r="N47" s="13"/>
      <c r="O47" s="198"/>
      <c r="P47" s="199"/>
      <c r="Q47" s="198"/>
    </row>
    <row r="48" spans="1:17">
      <c r="A48" s="180"/>
      <c r="B48" s="14"/>
      <c r="C48" s="13"/>
      <c r="D48" s="923" t="s">
        <v>927</v>
      </c>
      <c r="E48" s="668">
        <f t="shared" si="0"/>
        <v>343495.23</v>
      </c>
      <c r="F48" s="669">
        <f t="shared" si="2"/>
        <v>7.1935096487335168E-4</v>
      </c>
      <c r="G48" s="670">
        <f t="shared" si="1"/>
        <v>5</v>
      </c>
      <c r="H48" s="671">
        <f t="shared" si="3"/>
        <v>1.2511886291977379E-4</v>
      </c>
      <c r="I48" s="173"/>
      <c r="K48" s="174"/>
      <c r="M48" s="197"/>
      <c r="N48" s="13"/>
      <c r="O48" s="198"/>
      <c r="P48" s="199"/>
      <c r="Q48" s="198"/>
    </row>
    <row r="49" spans="1:17">
      <c r="A49" s="180"/>
      <c r="B49" s="14"/>
      <c r="C49" s="13"/>
      <c r="D49" s="923" t="s">
        <v>928</v>
      </c>
      <c r="E49" s="668">
        <f t="shared" si="0"/>
        <v>71634.19</v>
      </c>
      <c r="F49" s="669">
        <f t="shared" si="2"/>
        <v>1.5001699934645674E-4</v>
      </c>
      <c r="G49" s="670">
        <f t="shared" si="1"/>
        <v>1</v>
      </c>
      <c r="H49" s="671">
        <f t="shared" si="3"/>
        <v>2.5023772583954755E-5</v>
      </c>
      <c r="I49" s="173"/>
      <c r="K49" s="174"/>
      <c r="M49" s="197"/>
      <c r="N49" s="13"/>
      <c r="O49" s="198"/>
      <c r="P49" s="199"/>
      <c r="Q49" s="198"/>
    </row>
    <row r="50" spans="1:17">
      <c r="A50" s="180"/>
      <c r="B50" s="14"/>
      <c r="C50" s="13"/>
      <c r="D50" s="923" t="s">
        <v>929</v>
      </c>
      <c r="E50" s="668">
        <f t="shared" si="0"/>
        <v>72267.429999999993</v>
      </c>
      <c r="F50" s="669">
        <f t="shared" si="2"/>
        <v>1.5134313655364994E-4</v>
      </c>
      <c r="G50" s="670">
        <f t="shared" si="1"/>
        <v>1</v>
      </c>
      <c r="H50" s="671">
        <f t="shared" si="3"/>
        <v>2.5023772583954755E-5</v>
      </c>
      <c r="I50" s="173"/>
      <c r="K50" s="174"/>
      <c r="M50" s="197"/>
      <c r="N50" s="13"/>
      <c r="O50" s="198"/>
      <c r="P50" s="199"/>
      <c r="Q50" s="198"/>
    </row>
    <row r="51" spans="1:17">
      <c r="A51" s="180"/>
      <c r="B51" s="14"/>
      <c r="C51" s="13"/>
      <c r="D51" s="923" t="s">
        <v>930</v>
      </c>
      <c r="E51" s="668">
        <f t="shared" si="0"/>
        <v>74083.69</v>
      </c>
      <c r="F51" s="669">
        <f t="shared" si="2"/>
        <v>1.5514676545254583E-4</v>
      </c>
      <c r="G51" s="670">
        <f t="shared" si="1"/>
        <v>1</v>
      </c>
      <c r="H51" s="671">
        <f t="shared" si="3"/>
        <v>2.5023772583954755E-5</v>
      </c>
      <c r="I51" s="173"/>
      <c r="K51" s="174"/>
      <c r="M51" s="197"/>
      <c r="N51" s="13"/>
      <c r="O51" s="198"/>
      <c r="P51" s="199"/>
      <c r="Q51" s="198"/>
    </row>
    <row r="52" spans="1:17">
      <c r="A52" s="180"/>
      <c r="B52" s="14"/>
      <c r="C52" s="13"/>
      <c r="D52" s="923" t="s">
        <v>931</v>
      </c>
      <c r="E52" s="668">
        <f t="shared" si="0"/>
        <v>0</v>
      </c>
      <c r="F52" s="669">
        <f t="shared" si="2"/>
        <v>0</v>
      </c>
      <c r="G52" s="670">
        <f t="shared" si="1"/>
        <v>0</v>
      </c>
      <c r="H52" s="671">
        <f t="shared" si="3"/>
        <v>0</v>
      </c>
      <c r="I52" s="173"/>
      <c r="K52" s="174"/>
      <c r="M52" s="197"/>
      <c r="N52" s="13"/>
      <c r="O52" s="198"/>
      <c r="P52" s="199"/>
      <c r="Q52" s="198"/>
    </row>
    <row r="53" spans="1:17">
      <c r="A53" s="180"/>
      <c r="B53" s="14"/>
      <c r="C53" s="13"/>
      <c r="D53" s="923" t="s">
        <v>932</v>
      </c>
      <c r="E53" s="668">
        <f t="shared" si="0"/>
        <v>315833.09999999998</v>
      </c>
      <c r="F53" s="669">
        <f t="shared" si="2"/>
        <v>6.6142067016168398E-4</v>
      </c>
      <c r="G53" s="670">
        <f t="shared" si="1"/>
        <v>4</v>
      </c>
      <c r="H53" s="671">
        <f t="shared" si="3"/>
        <v>1.0009509033581902E-4</v>
      </c>
      <c r="I53" s="173"/>
      <c r="K53" s="174"/>
      <c r="M53" s="197"/>
      <c r="N53" s="13"/>
      <c r="O53" s="198"/>
      <c r="P53" s="199"/>
      <c r="Q53" s="198"/>
    </row>
    <row r="54" spans="1:17" ht="13" thickBot="1">
      <c r="A54" s="180"/>
      <c r="B54" s="14"/>
      <c r="C54" s="13"/>
      <c r="D54" s="923" t="s">
        <v>933</v>
      </c>
      <c r="E54" s="668">
        <f t="shared" si="0"/>
        <v>455533.98000000004</v>
      </c>
      <c r="F54" s="669">
        <f t="shared" si="2"/>
        <v>9.539835765567927E-4</v>
      </c>
      <c r="G54" s="670">
        <f t="shared" si="1"/>
        <v>5</v>
      </c>
      <c r="H54" s="671">
        <f t="shared" si="3"/>
        <v>1.2511886291977379E-4</v>
      </c>
      <c r="I54" s="173"/>
      <c r="K54" s="174"/>
      <c r="M54" s="197"/>
      <c r="N54" s="13"/>
      <c r="O54" s="198"/>
      <c r="P54" s="199"/>
      <c r="Q54" s="198"/>
    </row>
    <row r="55" spans="1:17" ht="14" thickTop="1" thickBot="1">
      <c r="A55" s="180"/>
      <c r="B55" s="200"/>
      <c r="C55" s="201"/>
      <c r="D55" s="591" t="s">
        <v>36</v>
      </c>
      <c r="E55" s="592">
        <f>SUM(E14:E54)</f>
        <v>477507151.26999998</v>
      </c>
      <c r="F55" s="593">
        <f>SUM(F14:F54)</f>
        <v>0.99999999999999978</v>
      </c>
      <c r="G55" s="672">
        <f>SUM(G14:G54)</f>
        <v>39962</v>
      </c>
      <c r="H55" s="673">
        <f>SUM(H14:H54)</f>
        <v>0.99999999999999978</v>
      </c>
      <c r="I55" s="173"/>
      <c r="J55" s="21"/>
      <c r="K55" s="174"/>
      <c r="M55" s="596"/>
      <c r="N55" s="597"/>
      <c r="O55" s="598"/>
      <c r="P55" s="599"/>
      <c r="Q55" s="598"/>
    </row>
    <row r="56" spans="1:17" ht="13">
      <c r="A56" s="180"/>
      <c r="B56" s="200"/>
      <c r="C56" s="201"/>
      <c r="D56" s="605"/>
      <c r="E56" s="606"/>
      <c r="F56" s="607"/>
      <c r="G56" s="599"/>
      <c r="H56" s="598"/>
      <c r="I56" s="173"/>
      <c r="J56" s="21"/>
      <c r="K56" s="174"/>
      <c r="M56" s="596"/>
      <c r="N56" s="597"/>
      <c r="O56" s="598"/>
      <c r="P56" s="599"/>
      <c r="Q56" s="598"/>
    </row>
    <row r="57" spans="1:17" ht="13">
      <c r="A57" s="180"/>
      <c r="B57" s="200"/>
      <c r="C57" s="201"/>
      <c r="D57" s="605"/>
      <c r="E57" s="606"/>
      <c r="F57" s="607"/>
      <c r="G57" s="599"/>
      <c r="H57" s="598"/>
      <c r="I57" s="173"/>
      <c r="J57" s="21"/>
      <c r="K57" s="174"/>
      <c r="M57" s="596"/>
      <c r="N57" s="597"/>
      <c r="O57" s="598"/>
      <c r="P57" s="599"/>
      <c r="Q57" s="598"/>
    </row>
    <row r="58" spans="1:17" ht="13.5" thickBot="1">
      <c r="A58" s="180"/>
      <c r="B58" s="200"/>
      <c r="C58" s="201"/>
      <c r="D58" s="570" t="s">
        <v>69</v>
      </c>
      <c r="E58" s="570" t="s">
        <v>59</v>
      </c>
      <c r="F58" s="600"/>
      <c r="G58" s="600"/>
      <c r="H58" s="600"/>
      <c r="I58" s="173"/>
      <c r="J58" s="21"/>
      <c r="K58" s="174"/>
      <c r="M58" s="508"/>
      <c r="N58" s="508"/>
      <c r="O58" s="200"/>
      <c r="P58" s="200"/>
      <c r="Q58" s="200"/>
    </row>
    <row r="59" spans="1:17" ht="13" thickBot="1">
      <c r="A59" s="180"/>
      <c r="B59" s="200"/>
      <c r="C59" s="201"/>
      <c r="D59" s="515" t="s">
        <v>60</v>
      </c>
      <c r="E59" s="516">
        <f>E55/G55</f>
        <v>11949.030360592562</v>
      </c>
      <c r="F59" s="600"/>
      <c r="G59" s="600"/>
      <c r="H59" s="600"/>
      <c r="I59" s="173"/>
      <c r="J59" s="21"/>
      <c r="K59" s="174"/>
      <c r="M59" s="204"/>
      <c r="N59" s="233"/>
      <c r="O59" s="200"/>
      <c r="P59" s="200"/>
      <c r="Q59" s="200"/>
    </row>
    <row r="60" spans="1:17">
      <c r="A60" s="180"/>
      <c r="B60" s="21"/>
      <c r="I60" s="496"/>
      <c r="J60" s="21"/>
      <c r="K60" s="174"/>
    </row>
    <row r="61" spans="1:17">
      <c r="A61" s="195"/>
      <c r="B61" s="50"/>
      <c r="C61" s="50"/>
      <c r="D61" s="50"/>
      <c r="E61" s="50"/>
      <c r="F61" s="50"/>
      <c r="G61" s="50"/>
      <c r="H61" s="50"/>
      <c r="I61" s="390"/>
      <c r="J61" s="50"/>
      <c r="K61" s="196"/>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165</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166</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4"/>
      <c r="C13" s="21"/>
      <c r="E13" s="478" t="s">
        <v>62</v>
      </c>
      <c r="F13" s="653" t="s">
        <v>71</v>
      </c>
      <c r="G13" s="479" t="s">
        <v>113</v>
      </c>
      <c r="H13" s="480" t="s">
        <v>61</v>
      </c>
      <c r="I13" s="173"/>
      <c r="K13" s="110"/>
      <c r="M13" s="654"/>
      <c r="N13" s="215"/>
      <c r="O13" s="215"/>
      <c r="P13" s="215"/>
      <c r="Q13" s="215"/>
    </row>
    <row r="14" spans="1:17" s="102" customFormat="1">
      <c r="A14" s="103"/>
      <c r="B14" s="172"/>
      <c r="C14" s="172"/>
      <c r="E14" s="655">
        <v>1</v>
      </c>
      <c r="F14" s="647">
        <f t="shared" ref="F14:F38" si="0">VLOOKUP(CONCATENATE("Borrower_",E14),Assets,3,0)</f>
        <v>97773.46</v>
      </c>
      <c r="G14" s="656">
        <f t="shared" ref="G14:G38" si="1">F14/VLOOKUP("Outstanding_eop_current",calcdata_22,2,0)</f>
        <v>2.0475810621884346E-4</v>
      </c>
      <c r="H14" s="657">
        <f t="shared" ref="H14:H38" si="2">VLOOKUP(CONCATENATE("Borrower_",E14),Assets,2,0)</f>
        <v>1</v>
      </c>
      <c r="I14" s="173"/>
      <c r="K14" s="110"/>
      <c r="M14" s="21"/>
      <c r="N14" s="484"/>
      <c r="O14" s="485"/>
      <c r="P14" s="369"/>
      <c r="Q14" s="21"/>
    </row>
    <row r="15" spans="1:17">
      <c r="A15" s="180"/>
      <c r="B15" s="14"/>
      <c r="C15" s="13"/>
      <c r="E15" s="655">
        <f>+E14+1</f>
        <v>2</v>
      </c>
      <c r="F15" s="647">
        <f t="shared" si="0"/>
        <v>91670.69</v>
      </c>
      <c r="G15" s="656">
        <f t="shared" si="1"/>
        <v>1.919776274683812E-4</v>
      </c>
      <c r="H15" s="657">
        <f t="shared" si="2"/>
        <v>1</v>
      </c>
      <c r="I15" s="173"/>
      <c r="K15" s="174"/>
      <c r="N15" s="484"/>
      <c r="O15" s="485"/>
      <c r="P15" s="369"/>
    </row>
    <row r="16" spans="1:17">
      <c r="A16" s="180"/>
      <c r="B16" s="14"/>
      <c r="C16" s="13"/>
      <c r="E16" s="655">
        <f t="shared" ref="E16:E38" si="3">+E15+1</f>
        <v>3</v>
      </c>
      <c r="F16" s="647">
        <f t="shared" si="0"/>
        <v>90905.08</v>
      </c>
      <c r="G16" s="656">
        <f t="shared" si="1"/>
        <v>1.9037427975314019E-4</v>
      </c>
      <c r="H16" s="657">
        <f t="shared" si="2"/>
        <v>1</v>
      </c>
      <c r="I16" s="173"/>
      <c r="K16" s="174"/>
      <c r="N16" s="484"/>
      <c r="O16" s="485"/>
      <c r="P16" s="369"/>
    </row>
    <row r="17" spans="1:16">
      <c r="A17" s="180"/>
      <c r="B17" s="14"/>
      <c r="C17" s="13"/>
      <c r="E17" s="655">
        <f t="shared" si="3"/>
        <v>4</v>
      </c>
      <c r="F17" s="647">
        <f t="shared" si="0"/>
        <v>89951.31</v>
      </c>
      <c r="G17" s="656">
        <f t="shared" si="1"/>
        <v>1.8837688558330772E-4</v>
      </c>
      <c r="H17" s="657">
        <f t="shared" si="2"/>
        <v>1</v>
      </c>
      <c r="I17" s="173"/>
      <c r="K17" s="174"/>
      <c r="N17" s="484"/>
      <c r="O17" s="485"/>
      <c r="P17" s="369"/>
    </row>
    <row r="18" spans="1:16">
      <c r="A18" s="180"/>
      <c r="B18" s="14"/>
      <c r="C18" s="13"/>
      <c r="E18" s="655">
        <f t="shared" si="3"/>
        <v>5</v>
      </c>
      <c r="F18" s="647">
        <f t="shared" si="0"/>
        <v>85233.44</v>
      </c>
      <c r="G18" s="656">
        <f t="shared" si="1"/>
        <v>1.7849667753312012E-4</v>
      </c>
      <c r="H18" s="657">
        <f t="shared" si="2"/>
        <v>1</v>
      </c>
      <c r="I18" s="173"/>
      <c r="K18" s="174"/>
      <c r="N18" s="484"/>
      <c r="O18" s="485"/>
      <c r="P18" s="369"/>
    </row>
    <row r="19" spans="1:16">
      <c r="A19" s="180"/>
      <c r="B19" s="14"/>
      <c r="C19" s="13"/>
      <c r="E19" s="655">
        <f t="shared" si="3"/>
        <v>6</v>
      </c>
      <c r="F19" s="647">
        <f t="shared" si="0"/>
        <v>79474.740000000005</v>
      </c>
      <c r="G19" s="656">
        <f t="shared" si="1"/>
        <v>1.664367534363105E-4</v>
      </c>
      <c r="H19" s="657">
        <f t="shared" si="2"/>
        <v>1</v>
      </c>
      <c r="I19" s="173"/>
      <c r="K19" s="174"/>
      <c r="N19" s="484"/>
      <c r="O19" s="485"/>
      <c r="P19" s="369"/>
    </row>
    <row r="20" spans="1:16">
      <c r="A20" s="180"/>
      <c r="B20" s="14"/>
      <c r="C20" s="13"/>
      <c r="E20" s="655">
        <f t="shared" si="3"/>
        <v>7</v>
      </c>
      <c r="F20" s="647">
        <f t="shared" si="0"/>
        <v>79068.75</v>
      </c>
      <c r="G20" s="656">
        <f t="shared" si="1"/>
        <v>1.6558652533203976E-4</v>
      </c>
      <c r="H20" s="657">
        <f t="shared" si="2"/>
        <v>1</v>
      </c>
      <c r="I20" s="173"/>
      <c r="K20" s="174"/>
      <c r="N20" s="484"/>
      <c r="O20" s="485"/>
      <c r="P20" s="369"/>
    </row>
    <row r="21" spans="1:16">
      <c r="A21" s="180"/>
      <c r="B21" s="14"/>
      <c r="C21" s="13"/>
      <c r="E21" s="655">
        <f t="shared" si="3"/>
        <v>8</v>
      </c>
      <c r="F21" s="647">
        <f t="shared" si="0"/>
        <v>78816.850000000006</v>
      </c>
      <c r="G21" s="656">
        <f t="shared" si="1"/>
        <v>1.6505899396558791E-4</v>
      </c>
      <c r="H21" s="657">
        <f t="shared" si="2"/>
        <v>1</v>
      </c>
      <c r="I21" s="173"/>
      <c r="K21" s="174"/>
      <c r="N21" s="484"/>
      <c r="O21" s="485"/>
      <c r="P21" s="369"/>
    </row>
    <row r="22" spans="1:16">
      <c r="A22" s="180"/>
      <c r="B22" s="14"/>
      <c r="C22" s="13"/>
      <c r="E22" s="655">
        <f t="shared" si="3"/>
        <v>9</v>
      </c>
      <c r="F22" s="647">
        <f t="shared" si="0"/>
        <v>78472.759999999995</v>
      </c>
      <c r="G22" s="656">
        <f t="shared" si="1"/>
        <v>1.6433839742774581E-4</v>
      </c>
      <c r="H22" s="657">
        <f t="shared" si="2"/>
        <v>1</v>
      </c>
      <c r="I22" s="173"/>
      <c r="K22" s="174"/>
      <c r="N22" s="484"/>
      <c r="O22" s="485"/>
      <c r="P22" s="369"/>
    </row>
    <row r="23" spans="1:16">
      <c r="A23" s="180"/>
      <c r="B23" s="14"/>
      <c r="C23" s="13"/>
      <c r="E23" s="655">
        <f t="shared" si="3"/>
        <v>10</v>
      </c>
      <c r="F23" s="647">
        <f t="shared" si="0"/>
        <v>74083.69</v>
      </c>
      <c r="G23" s="656">
        <f t="shared" si="1"/>
        <v>1.5514676545254583E-4</v>
      </c>
      <c r="H23" s="657">
        <f t="shared" si="2"/>
        <v>1</v>
      </c>
      <c r="I23" s="173"/>
      <c r="K23" s="174"/>
      <c r="N23" s="484"/>
      <c r="O23" s="485"/>
      <c r="P23" s="369"/>
    </row>
    <row r="24" spans="1:16">
      <c r="A24" s="180"/>
      <c r="B24" s="14"/>
      <c r="C24" s="13"/>
      <c r="E24" s="655">
        <f t="shared" si="3"/>
        <v>11</v>
      </c>
      <c r="F24" s="647">
        <f t="shared" si="0"/>
        <v>72267.429999999993</v>
      </c>
      <c r="G24" s="656">
        <f t="shared" si="1"/>
        <v>1.5134313655364994E-4</v>
      </c>
      <c r="H24" s="657">
        <f t="shared" si="2"/>
        <v>1</v>
      </c>
      <c r="I24" s="173"/>
      <c r="K24" s="174"/>
      <c r="N24" s="484"/>
      <c r="O24" s="485"/>
      <c r="P24" s="369"/>
    </row>
    <row r="25" spans="1:16">
      <c r="A25" s="180"/>
      <c r="B25" s="14"/>
      <c r="C25" s="13"/>
      <c r="E25" s="655">
        <f t="shared" si="3"/>
        <v>12</v>
      </c>
      <c r="F25" s="647">
        <f t="shared" si="0"/>
        <v>71634.19</v>
      </c>
      <c r="G25" s="656">
        <f t="shared" si="1"/>
        <v>1.5001699934645674E-4</v>
      </c>
      <c r="H25" s="657">
        <f t="shared" si="2"/>
        <v>1</v>
      </c>
      <c r="I25" s="173"/>
      <c r="K25" s="174"/>
      <c r="N25" s="484"/>
      <c r="O25" s="485"/>
      <c r="P25" s="369"/>
    </row>
    <row r="26" spans="1:16">
      <c r="A26" s="180"/>
      <c r="B26" s="14"/>
      <c r="C26" s="13"/>
      <c r="E26" s="655">
        <f t="shared" si="3"/>
        <v>13</v>
      </c>
      <c r="F26" s="647">
        <f t="shared" si="0"/>
        <v>69151.48</v>
      </c>
      <c r="G26" s="656">
        <f t="shared" si="1"/>
        <v>1.4481768454374251E-4</v>
      </c>
      <c r="H26" s="657">
        <f t="shared" si="2"/>
        <v>1</v>
      </c>
      <c r="I26" s="173"/>
      <c r="K26" s="174"/>
      <c r="N26" s="484"/>
      <c r="O26" s="485"/>
      <c r="P26" s="369"/>
    </row>
    <row r="27" spans="1:16">
      <c r="A27" s="180"/>
      <c r="B27" s="14"/>
      <c r="C27" s="13"/>
      <c r="E27" s="655">
        <f t="shared" si="3"/>
        <v>14</v>
      </c>
      <c r="F27" s="647">
        <f t="shared" si="0"/>
        <v>68803.48</v>
      </c>
      <c r="G27" s="656">
        <f t="shared" si="1"/>
        <v>1.4408889964685786E-4</v>
      </c>
      <c r="H27" s="657">
        <f t="shared" si="2"/>
        <v>1</v>
      </c>
      <c r="I27" s="173"/>
      <c r="K27" s="174"/>
      <c r="N27" s="484"/>
      <c r="O27" s="485"/>
      <c r="P27" s="369"/>
    </row>
    <row r="28" spans="1:16">
      <c r="A28" s="180"/>
      <c r="B28" s="14"/>
      <c r="C28" s="13"/>
      <c r="E28" s="655">
        <f t="shared" si="3"/>
        <v>15</v>
      </c>
      <c r="F28" s="647">
        <f t="shared" si="0"/>
        <v>68666.89</v>
      </c>
      <c r="G28" s="656">
        <f t="shared" si="1"/>
        <v>1.4380285157483062E-4</v>
      </c>
      <c r="H28" s="657">
        <f t="shared" si="2"/>
        <v>1</v>
      </c>
      <c r="I28" s="173"/>
      <c r="K28" s="174"/>
      <c r="N28" s="484"/>
      <c r="O28" s="485"/>
      <c r="P28" s="369"/>
    </row>
    <row r="29" spans="1:16">
      <c r="A29" s="180"/>
      <c r="B29" s="14"/>
      <c r="C29" s="13"/>
      <c r="E29" s="655">
        <f t="shared" si="3"/>
        <v>16</v>
      </c>
      <c r="F29" s="647">
        <f t="shared" si="0"/>
        <v>68607.08</v>
      </c>
      <c r="G29" s="656">
        <f t="shared" si="1"/>
        <v>1.4367759690620227E-4</v>
      </c>
      <c r="H29" s="657">
        <f t="shared" si="2"/>
        <v>1</v>
      </c>
      <c r="I29" s="173"/>
      <c r="K29" s="174"/>
      <c r="N29" s="484"/>
      <c r="O29" s="485"/>
      <c r="P29" s="369"/>
    </row>
    <row r="30" spans="1:16">
      <c r="A30" s="180"/>
      <c r="B30" s="14"/>
      <c r="C30" s="13"/>
      <c r="E30" s="655">
        <f t="shared" si="3"/>
        <v>17</v>
      </c>
      <c r="F30" s="647">
        <f t="shared" si="0"/>
        <v>68266.3</v>
      </c>
      <c r="G30" s="656">
        <f t="shared" si="1"/>
        <v>1.4296393220171848E-4</v>
      </c>
      <c r="H30" s="657">
        <f t="shared" si="2"/>
        <v>1</v>
      </c>
      <c r="I30" s="173"/>
      <c r="J30" s="173"/>
      <c r="K30" s="174"/>
      <c r="N30" s="484"/>
      <c r="O30" s="485"/>
      <c r="P30" s="369"/>
    </row>
    <row r="31" spans="1:16">
      <c r="A31" s="180"/>
      <c r="B31" s="14"/>
      <c r="C31" s="13"/>
      <c r="E31" s="655">
        <f t="shared" si="3"/>
        <v>18</v>
      </c>
      <c r="F31" s="647">
        <f t="shared" si="0"/>
        <v>67951.53</v>
      </c>
      <c r="G31" s="656">
        <f t="shared" si="1"/>
        <v>1.4230473788564839E-4</v>
      </c>
      <c r="H31" s="657">
        <f t="shared" si="2"/>
        <v>1</v>
      </c>
      <c r="I31" s="173"/>
      <c r="J31" s="173"/>
      <c r="K31" s="174"/>
      <c r="N31" s="484"/>
      <c r="O31" s="485"/>
      <c r="P31" s="369"/>
    </row>
    <row r="32" spans="1:16">
      <c r="A32" s="180"/>
      <c r="B32" s="14"/>
      <c r="C32" s="13"/>
      <c r="E32" s="655">
        <f t="shared" si="3"/>
        <v>19</v>
      </c>
      <c r="F32" s="647">
        <f t="shared" si="0"/>
        <v>67431.77</v>
      </c>
      <c r="G32" s="656">
        <f t="shared" si="1"/>
        <v>1.412162515695427E-4</v>
      </c>
      <c r="H32" s="657">
        <f t="shared" si="2"/>
        <v>1</v>
      </c>
      <c r="I32" s="173"/>
      <c r="J32" s="173"/>
      <c r="K32" s="174"/>
      <c r="N32" s="484"/>
      <c r="O32" s="485"/>
      <c r="P32" s="369"/>
    </row>
    <row r="33" spans="1:17">
      <c r="A33" s="180"/>
      <c r="B33" s="14"/>
      <c r="C33" s="13"/>
      <c r="E33" s="655">
        <f t="shared" si="3"/>
        <v>20</v>
      </c>
      <c r="F33" s="647">
        <f t="shared" si="0"/>
        <v>67166.429999999993</v>
      </c>
      <c r="G33" s="656">
        <f t="shared" si="1"/>
        <v>1.4066057402776288E-4</v>
      </c>
      <c r="H33" s="657">
        <f t="shared" si="2"/>
        <v>1</v>
      </c>
      <c r="I33" s="173"/>
      <c r="J33" s="173"/>
      <c r="K33" s="174"/>
      <c r="N33" s="484"/>
      <c r="O33" s="485"/>
      <c r="P33" s="369"/>
    </row>
    <row r="34" spans="1:17">
      <c r="A34" s="180"/>
      <c r="B34" s="14"/>
      <c r="C34" s="13"/>
      <c r="E34" s="655">
        <f t="shared" si="3"/>
        <v>21</v>
      </c>
      <c r="F34" s="647">
        <f t="shared" si="0"/>
        <v>66770.429999999993</v>
      </c>
      <c r="G34" s="656">
        <f t="shared" si="1"/>
        <v>1.3983126707613547E-4</v>
      </c>
      <c r="H34" s="657">
        <f t="shared" si="2"/>
        <v>1</v>
      </c>
      <c r="I34" s="173"/>
      <c r="J34" s="173"/>
      <c r="K34" s="174"/>
      <c r="N34" s="484"/>
      <c r="O34" s="485"/>
      <c r="P34" s="369"/>
    </row>
    <row r="35" spans="1:17">
      <c r="A35" s="180"/>
      <c r="B35" s="14"/>
      <c r="C35" s="13"/>
      <c r="E35" s="655">
        <f t="shared" si="3"/>
        <v>22</v>
      </c>
      <c r="F35" s="647">
        <f t="shared" si="0"/>
        <v>66255.94</v>
      </c>
      <c r="G35" s="656">
        <f t="shared" si="1"/>
        <v>1.3875381724395678E-4</v>
      </c>
      <c r="H35" s="657">
        <f t="shared" si="2"/>
        <v>1</v>
      </c>
      <c r="I35" s="173"/>
      <c r="J35" s="173"/>
      <c r="K35" s="174"/>
      <c r="N35" s="484"/>
      <c r="O35" s="485"/>
      <c r="P35" s="369"/>
    </row>
    <row r="36" spans="1:17">
      <c r="A36" s="180"/>
      <c r="B36" s="14"/>
      <c r="C36" s="13"/>
      <c r="E36" s="655">
        <f t="shared" si="3"/>
        <v>23</v>
      </c>
      <c r="F36" s="647">
        <f t="shared" si="0"/>
        <v>66241.63</v>
      </c>
      <c r="G36" s="656">
        <f t="shared" si="1"/>
        <v>1.3872384910638662E-4</v>
      </c>
      <c r="H36" s="657">
        <f t="shared" si="2"/>
        <v>1</v>
      </c>
      <c r="I36" s="173"/>
      <c r="J36" s="173"/>
      <c r="K36" s="174"/>
      <c r="N36" s="484"/>
      <c r="O36" s="485"/>
      <c r="P36" s="369"/>
    </row>
    <row r="37" spans="1:17">
      <c r="A37" s="180"/>
      <c r="B37" s="14"/>
      <c r="C37" s="13"/>
      <c r="E37" s="655">
        <f t="shared" si="3"/>
        <v>24</v>
      </c>
      <c r="F37" s="647">
        <f t="shared" si="0"/>
        <v>65966.69</v>
      </c>
      <c r="G37" s="656">
        <f t="shared" si="1"/>
        <v>1.3814806715365825E-4</v>
      </c>
      <c r="H37" s="657">
        <f t="shared" si="2"/>
        <v>1</v>
      </c>
      <c r="I37" s="173"/>
      <c r="J37" s="173"/>
      <c r="K37" s="174"/>
      <c r="N37" s="484"/>
      <c r="O37" s="485"/>
      <c r="P37" s="369"/>
    </row>
    <row r="38" spans="1:17" ht="13" thickBot="1">
      <c r="A38" s="180"/>
      <c r="B38" s="14"/>
      <c r="C38" s="13"/>
      <c r="E38" s="658">
        <f t="shared" si="3"/>
        <v>25</v>
      </c>
      <c r="F38" s="659">
        <f t="shared" si="0"/>
        <v>65952.800000000003</v>
      </c>
      <c r="G38" s="660">
        <f t="shared" si="1"/>
        <v>1.3811897858406706E-4</v>
      </c>
      <c r="H38" s="661">
        <f t="shared" si="2"/>
        <v>1</v>
      </c>
      <c r="I38" s="173"/>
      <c r="J38" s="173"/>
      <c r="K38" s="174"/>
      <c r="N38" s="484"/>
      <c r="O38" s="485"/>
      <c r="P38" s="369"/>
    </row>
    <row r="39" spans="1:17" ht="14" thickTop="1" thickBot="1">
      <c r="A39" s="180"/>
      <c r="B39" s="14"/>
      <c r="C39" s="13"/>
      <c r="E39" s="662"/>
      <c r="F39" s="663">
        <f>SUM(F14:F38)</f>
        <v>1866584.8399999996</v>
      </c>
      <c r="G39" s="664">
        <f>SUM(G14:G38)</f>
        <v>3.9090196555916388E-3</v>
      </c>
      <c r="H39" s="665">
        <f>SUM(H14:H38)</f>
        <v>25</v>
      </c>
      <c r="I39" s="173"/>
      <c r="J39" s="173"/>
      <c r="K39" s="174"/>
      <c r="O39" s="509"/>
      <c r="P39" s="666"/>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142</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44" t="s">
        <v>63</v>
      </c>
      <c r="E13" s="645" t="s">
        <v>71</v>
      </c>
      <c r="F13" s="479" t="s">
        <v>113</v>
      </c>
      <c r="G13" s="479" t="s">
        <v>61</v>
      </c>
      <c r="H13" s="646" t="s">
        <v>114</v>
      </c>
      <c r="I13" s="173"/>
      <c r="K13" s="110"/>
    </row>
    <row r="14" spans="1:17">
      <c r="A14" s="180"/>
      <c r="B14" s="14"/>
      <c r="C14" s="13"/>
      <c r="D14" s="925" t="s">
        <v>934</v>
      </c>
      <c r="E14" s="647">
        <f t="shared" ref="E14:E30" si="0">VLOOKUP(CONCATENATE("geo_",D14),Assets,3,0)</f>
        <v>64183194.219999969</v>
      </c>
      <c r="F14" s="648">
        <f>E14/$E$31</f>
        <v>0.13441305339468829</v>
      </c>
      <c r="G14" s="649">
        <f t="shared" ref="G14:G30" si="1">VLOOKUP(CONCATENATE("geo_",D14),Assets,2,0)</f>
        <v>4987</v>
      </c>
      <c r="H14" s="650">
        <f>G14/$G$31</f>
        <v>0.12479355387618238</v>
      </c>
      <c r="I14" s="173"/>
      <c r="K14" s="174"/>
      <c r="M14" s="144"/>
      <c r="N14" s="144"/>
      <c r="O14" s="144"/>
      <c r="P14" s="144"/>
      <c r="Q14" s="144"/>
    </row>
    <row r="15" spans="1:17">
      <c r="A15" s="180"/>
      <c r="B15" s="14"/>
      <c r="C15" s="13"/>
      <c r="D15" s="925" t="s">
        <v>935</v>
      </c>
      <c r="E15" s="647">
        <f t="shared" si="0"/>
        <v>66685004.04999996</v>
      </c>
      <c r="F15" s="648">
        <f t="shared" ref="F15:F30" si="2">E15/$E$31</f>
        <v>0.13965236724233657</v>
      </c>
      <c r="G15" s="649">
        <f t="shared" si="1"/>
        <v>5466</v>
      </c>
      <c r="H15" s="650">
        <f t="shared" ref="H15:H30" si="3">G15/$G$31</f>
        <v>0.1367799409438967</v>
      </c>
      <c r="I15" s="173"/>
      <c r="K15" s="174"/>
      <c r="M15" s="144"/>
      <c r="N15" s="144"/>
      <c r="O15" s="144"/>
      <c r="P15" s="144"/>
      <c r="Q15" s="144"/>
    </row>
    <row r="16" spans="1:17">
      <c r="A16" s="180"/>
      <c r="B16" s="14"/>
      <c r="C16" s="13"/>
      <c r="D16" s="925" t="s">
        <v>936</v>
      </c>
      <c r="E16" s="647">
        <f t="shared" si="0"/>
        <v>19003107.209999956</v>
      </c>
      <c r="F16" s="648">
        <f t="shared" si="2"/>
        <v>3.9796487150943041E-2</v>
      </c>
      <c r="G16" s="649">
        <f t="shared" si="1"/>
        <v>1567</v>
      </c>
      <c r="H16" s="650">
        <f t="shared" si="3"/>
        <v>3.9212251639057102E-2</v>
      </c>
      <c r="I16" s="173"/>
      <c r="K16" s="174"/>
      <c r="M16" s="144"/>
      <c r="N16" s="144"/>
      <c r="O16" s="144"/>
      <c r="P16" s="144"/>
      <c r="Q16" s="144"/>
    </row>
    <row r="17" spans="1:17">
      <c r="A17" s="180"/>
      <c r="B17" s="14"/>
      <c r="C17" s="13"/>
      <c r="D17" s="925" t="s">
        <v>937</v>
      </c>
      <c r="E17" s="647">
        <f t="shared" si="0"/>
        <v>18030905.300000001</v>
      </c>
      <c r="F17" s="648">
        <f t="shared" si="2"/>
        <v>3.7760492700568332E-2</v>
      </c>
      <c r="G17" s="649">
        <f t="shared" si="1"/>
        <v>1575</v>
      </c>
      <c r="H17" s="650">
        <f t="shared" si="3"/>
        <v>3.9412441819728743E-2</v>
      </c>
      <c r="I17" s="173"/>
      <c r="K17" s="174"/>
      <c r="M17" s="144"/>
      <c r="N17" s="144"/>
      <c r="O17" s="144"/>
      <c r="P17" s="144"/>
      <c r="Q17" s="144"/>
    </row>
    <row r="18" spans="1:17">
      <c r="A18" s="180"/>
      <c r="B18" s="14"/>
      <c r="C18" s="13"/>
      <c r="D18" s="925" t="s">
        <v>938</v>
      </c>
      <c r="E18" s="647">
        <f t="shared" si="0"/>
        <v>4011556.4800000032</v>
      </c>
      <c r="F18" s="648">
        <f t="shared" si="2"/>
        <v>8.4010395851259728E-3</v>
      </c>
      <c r="G18" s="649">
        <f t="shared" si="1"/>
        <v>325</v>
      </c>
      <c r="H18" s="650">
        <f t="shared" si="3"/>
        <v>8.1327260897852954E-3</v>
      </c>
      <c r="I18" s="173"/>
      <c r="K18" s="174"/>
      <c r="M18" s="144"/>
      <c r="N18" s="144"/>
      <c r="O18" s="144"/>
      <c r="P18" s="144"/>
      <c r="Q18" s="144"/>
    </row>
    <row r="19" spans="1:17">
      <c r="A19" s="180"/>
      <c r="B19" s="14"/>
      <c r="C19" s="13"/>
      <c r="D19" s="925" t="s">
        <v>939</v>
      </c>
      <c r="E19" s="647">
        <f t="shared" si="0"/>
        <v>9356832.1000000015</v>
      </c>
      <c r="F19" s="648">
        <f t="shared" si="2"/>
        <v>1.9595166428637029E-2</v>
      </c>
      <c r="G19" s="649">
        <f t="shared" si="1"/>
        <v>777</v>
      </c>
      <c r="H19" s="650">
        <f t="shared" si="3"/>
        <v>1.9443471297732846E-2</v>
      </c>
      <c r="I19" s="173"/>
      <c r="K19" s="174"/>
      <c r="M19" s="144"/>
      <c r="N19" s="144"/>
      <c r="O19" s="144"/>
      <c r="P19" s="144"/>
      <c r="Q19" s="144"/>
    </row>
    <row r="20" spans="1:17">
      <c r="A20" s="180"/>
      <c r="B20" s="14"/>
      <c r="C20" s="13"/>
      <c r="D20" s="925" t="s">
        <v>940</v>
      </c>
      <c r="E20" s="647">
        <f t="shared" si="0"/>
        <v>35979530.249999993</v>
      </c>
      <c r="F20" s="648">
        <f t="shared" si="2"/>
        <v>7.5348673112658526E-2</v>
      </c>
      <c r="G20" s="649">
        <f t="shared" si="1"/>
        <v>2902</v>
      </c>
      <c r="H20" s="650">
        <f t="shared" si="3"/>
        <v>7.26189880386367E-2</v>
      </c>
      <c r="I20" s="173"/>
      <c r="K20" s="174"/>
      <c r="M20" s="144"/>
      <c r="N20" s="144"/>
      <c r="O20" s="144"/>
      <c r="P20" s="144"/>
      <c r="Q20" s="144"/>
    </row>
    <row r="21" spans="1:17">
      <c r="A21" s="180"/>
      <c r="B21" s="14"/>
      <c r="C21" s="13"/>
      <c r="D21" s="925" t="s">
        <v>941</v>
      </c>
      <c r="E21" s="647">
        <f t="shared" si="0"/>
        <v>47051987.279999927</v>
      </c>
      <c r="F21" s="648">
        <f t="shared" si="2"/>
        <v>9.8536717523200076E-2</v>
      </c>
      <c r="G21" s="649">
        <f t="shared" si="1"/>
        <v>3994</v>
      </c>
      <c r="H21" s="650">
        <f t="shared" si="3"/>
        <v>9.9944947700315298E-2</v>
      </c>
      <c r="I21" s="173"/>
      <c r="K21" s="174"/>
      <c r="M21" s="144"/>
      <c r="N21" s="144"/>
      <c r="O21" s="144"/>
      <c r="P21" s="144"/>
      <c r="Q21" s="144"/>
    </row>
    <row r="22" spans="1:17">
      <c r="A22" s="180"/>
      <c r="B22" s="14"/>
      <c r="C22" s="13"/>
      <c r="D22" s="925" t="s">
        <v>942</v>
      </c>
      <c r="E22" s="647">
        <f t="shared" si="0"/>
        <v>14338326.370000014</v>
      </c>
      <c r="F22" s="648">
        <f t="shared" si="2"/>
        <v>3.0027458922583988E-2</v>
      </c>
      <c r="G22" s="649">
        <f t="shared" si="1"/>
        <v>1226</v>
      </c>
      <c r="H22" s="650">
        <f t="shared" si="3"/>
        <v>3.0679145187928532E-2</v>
      </c>
      <c r="I22" s="173"/>
      <c r="K22" s="174"/>
      <c r="M22" s="144"/>
      <c r="N22" s="144"/>
      <c r="O22" s="144"/>
      <c r="P22" s="144"/>
      <c r="Q22" s="144"/>
    </row>
    <row r="23" spans="1:17">
      <c r="A23" s="180"/>
      <c r="B23" s="14"/>
      <c r="C23" s="13"/>
      <c r="D23" s="925" t="s">
        <v>943</v>
      </c>
      <c r="E23" s="647">
        <f t="shared" si="0"/>
        <v>102852492.72999999</v>
      </c>
      <c r="F23" s="648">
        <f t="shared" si="2"/>
        <v>0.21539466467978299</v>
      </c>
      <c r="G23" s="649">
        <f t="shared" si="1"/>
        <v>8594</v>
      </c>
      <c r="H23" s="650">
        <f t="shared" si="3"/>
        <v>0.21505430158650718</v>
      </c>
      <c r="I23" s="173"/>
      <c r="K23" s="174"/>
      <c r="M23" s="144"/>
      <c r="N23" s="144"/>
      <c r="O23" s="144"/>
      <c r="P23" s="144"/>
      <c r="Q23" s="144"/>
    </row>
    <row r="24" spans="1:17" ht="12.75" customHeight="1">
      <c r="A24" s="180"/>
      <c r="B24" s="14"/>
      <c r="C24" s="13"/>
      <c r="D24" s="925" t="s">
        <v>944</v>
      </c>
      <c r="E24" s="647">
        <f t="shared" si="0"/>
        <v>23718529.709999975</v>
      </c>
      <c r="F24" s="648">
        <f t="shared" si="2"/>
        <v>4.9671569623443539E-2</v>
      </c>
      <c r="G24" s="649">
        <f t="shared" si="1"/>
        <v>2000</v>
      </c>
      <c r="H24" s="650">
        <f t="shared" si="3"/>
        <v>5.0047545167909512E-2</v>
      </c>
      <c r="I24" s="173"/>
      <c r="K24" s="174"/>
      <c r="M24" s="144"/>
      <c r="N24" s="144"/>
      <c r="O24" s="144"/>
      <c r="P24" s="144"/>
      <c r="Q24" s="144"/>
    </row>
    <row r="25" spans="1:17">
      <c r="A25" s="180"/>
      <c r="B25" s="14"/>
      <c r="C25" s="13"/>
      <c r="D25" s="925" t="s">
        <v>945</v>
      </c>
      <c r="E25" s="647">
        <f t="shared" si="0"/>
        <v>8129371.6400000062</v>
      </c>
      <c r="F25" s="648">
        <f t="shared" si="2"/>
        <v>1.7024607104582121E-2</v>
      </c>
      <c r="G25" s="649">
        <f t="shared" si="1"/>
        <v>636</v>
      </c>
      <c r="H25" s="650">
        <f t="shared" si="3"/>
        <v>1.5915119363395226E-2</v>
      </c>
      <c r="I25" s="173"/>
      <c r="K25" s="174"/>
      <c r="M25" s="144"/>
      <c r="N25" s="144"/>
      <c r="O25" s="144"/>
      <c r="P25" s="144"/>
      <c r="Q25" s="144"/>
    </row>
    <row r="26" spans="1:17">
      <c r="A26" s="180"/>
      <c r="B26" s="14"/>
      <c r="C26" s="13"/>
      <c r="D26" s="925" t="s">
        <v>1040</v>
      </c>
      <c r="E26" s="647">
        <f t="shared" si="0"/>
        <v>18369069.710000008</v>
      </c>
      <c r="F26" s="648">
        <f t="shared" si="2"/>
        <v>3.8468679811694544E-2</v>
      </c>
      <c r="G26" s="649">
        <f t="shared" si="1"/>
        <v>1762</v>
      </c>
      <c r="H26" s="650">
        <f t="shared" si="3"/>
        <v>4.4091887292928282E-2</v>
      </c>
      <c r="I26" s="173"/>
      <c r="K26" s="174"/>
      <c r="M26" s="144"/>
      <c r="N26" s="144"/>
      <c r="O26" s="144"/>
      <c r="P26" s="144"/>
      <c r="Q26" s="144"/>
    </row>
    <row r="27" spans="1:17">
      <c r="A27" s="180"/>
      <c r="B27" s="14"/>
      <c r="C27" s="13"/>
      <c r="D27" s="925" t="s">
        <v>946</v>
      </c>
      <c r="E27" s="647">
        <f t="shared" si="0"/>
        <v>15754613.630000005</v>
      </c>
      <c r="F27" s="648">
        <f t="shared" si="2"/>
        <v>3.2993461120107453E-2</v>
      </c>
      <c r="G27" s="649">
        <f t="shared" si="1"/>
        <v>1422</v>
      </c>
      <c r="H27" s="650">
        <f t="shared" si="3"/>
        <v>3.5583804614383666E-2</v>
      </c>
      <c r="I27" s="173"/>
      <c r="K27" s="174"/>
      <c r="M27" s="144"/>
      <c r="N27" s="144"/>
      <c r="O27" s="144"/>
      <c r="P27" s="144"/>
      <c r="Q27" s="144"/>
    </row>
    <row r="28" spans="1:17">
      <c r="A28" s="180"/>
      <c r="B28" s="14"/>
      <c r="C28" s="13"/>
      <c r="D28" s="925" t="s">
        <v>947</v>
      </c>
      <c r="E28" s="647">
        <f t="shared" si="0"/>
        <v>15798278.78999999</v>
      </c>
      <c r="F28" s="648">
        <f t="shared" si="2"/>
        <v>3.3084905111854704E-2</v>
      </c>
      <c r="G28" s="649">
        <f t="shared" si="1"/>
        <v>1422</v>
      </c>
      <c r="H28" s="650">
        <f t="shared" si="3"/>
        <v>3.5583804614383666E-2</v>
      </c>
      <c r="I28" s="173"/>
      <c r="K28" s="174"/>
      <c r="M28" s="144"/>
      <c r="N28" s="144"/>
      <c r="O28" s="144"/>
      <c r="P28" s="144"/>
      <c r="Q28" s="144"/>
    </row>
    <row r="29" spans="1:17">
      <c r="A29" s="180"/>
      <c r="B29" s="14"/>
      <c r="C29" s="13"/>
      <c r="D29" s="925" t="s">
        <v>948</v>
      </c>
      <c r="E29" s="647">
        <f t="shared" si="0"/>
        <v>12665299.480000006</v>
      </c>
      <c r="F29" s="648">
        <f t="shared" si="2"/>
        <v>2.6523790159612901E-2</v>
      </c>
      <c r="G29" s="649">
        <f t="shared" si="1"/>
        <v>1199</v>
      </c>
      <c r="H29" s="650">
        <f t="shared" si="3"/>
        <v>3.0003503328161752E-2</v>
      </c>
      <c r="I29" s="173"/>
      <c r="K29" s="174"/>
      <c r="M29" s="144"/>
      <c r="N29" s="144"/>
      <c r="O29" s="144"/>
      <c r="P29" s="144"/>
      <c r="Q29" s="144"/>
    </row>
    <row r="30" spans="1:17" ht="13" thickBot="1">
      <c r="A30" s="180"/>
      <c r="B30" s="14"/>
      <c r="C30" s="13"/>
      <c r="D30" s="925" t="s">
        <v>231</v>
      </c>
      <c r="E30" s="647">
        <f t="shared" si="0"/>
        <v>1579052.3199999996</v>
      </c>
      <c r="F30" s="648">
        <f t="shared" si="2"/>
        <v>3.3068663281801756E-3</v>
      </c>
      <c r="G30" s="649">
        <f t="shared" si="1"/>
        <v>108</v>
      </c>
      <c r="H30" s="650">
        <f t="shared" si="3"/>
        <v>2.7025674390671137E-3</v>
      </c>
      <c r="I30" s="173"/>
      <c r="K30" s="174"/>
      <c r="M30" s="144"/>
      <c r="N30" s="144"/>
      <c r="O30" s="144"/>
      <c r="P30" s="144"/>
      <c r="Q30" s="144"/>
    </row>
    <row r="31" spans="1:17" ht="14" thickTop="1" thickBot="1">
      <c r="A31" s="180"/>
      <c r="B31" s="14"/>
      <c r="C31" s="13"/>
      <c r="D31" s="591" t="s">
        <v>36</v>
      </c>
      <c r="E31" s="592">
        <f>SUM(E14:E30)</f>
        <v>477507151.26999968</v>
      </c>
      <c r="F31" s="651">
        <f>SUM(F14:F30)</f>
        <v>1.0000000000000002</v>
      </c>
      <c r="G31" s="594">
        <f>SUM(G14:G30)</f>
        <v>39962</v>
      </c>
      <c r="H31" s="652">
        <f>SUM(H14:H30)</f>
        <v>1</v>
      </c>
      <c r="I31" s="173"/>
      <c r="J31" s="173"/>
      <c r="K31" s="174"/>
      <c r="M31" s="144"/>
      <c r="N31" s="144"/>
      <c r="O31" s="144"/>
      <c r="P31" s="144"/>
      <c r="Q31" s="144"/>
    </row>
    <row r="32" spans="1:17">
      <c r="A32" s="180"/>
      <c r="B32" s="14"/>
      <c r="C32" s="13"/>
      <c r="D32" s="21"/>
      <c r="E32" s="484"/>
      <c r="F32" s="485"/>
      <c r="G32" s="369"/>
      <c r="H32" s="21"/>
      <c r="I32" s="173"/>
      <c r="J32" s="173"/>
      <c r="K32" s="174"/>
      <c r="N32" s="484"/>
      <c r="O32" s="485"/>
      <c r="P32" s="369"/>
    </row>
    <row r="33" spans="1:17">
      <c r="A33" s="180"/>
      <c r="B33" s="14"/>
      <c r="C33" s="13"/>
      <c r="D33" s="21"/>
      <c r="E33" s="484"/>
      <c r="F33" s="485"/>
      <c r="G33" s="369"/>
      <c r="H33" s="21"/>
      <c r="I33" s="173"/>
      <c r="J33" s="173"/>
      <c r="K33" s="174"/>
      <c r="N33" s="484"/>
      <c r="O33" s="485"/>
      <c r="P33" s="369"/>
    </row>
    <row r="34" spans="1:17">
      <c r="A34" s="180"/>
      <c r="B34" s="14"/>
      <c r="C34" s="13"/>
      <c r="D34" s="21"/>
      <c r="E34" s="484"/>
      <c r="F34" s="485"/>
      <c r="G34" s="369"/>
      <c r="H34" s="21"/>
      <c r="I34" s="173"/>
      <c r="J34" s="173"/>
      <c r="K34" s="174"/>
      <c r="N34" s="484"/>
      <c r="O34" s="485"/>
      <c r="P34" s="369"/>
    </row>
    <row r="35" spans="1:17">
      <c r="A35" s="180"/>
      <c r="B35" s="14"/>
      <c r="C35" s="13"/>
      <c r="D35" s="21"/>
      <c r="E35" s="484"/>
      <c r="F35" s="485"/>
      <c r="G35" s="369"/>
      <c r="H35" s="21"/>
      <c r="I35" s="173"/>
      <c r="J35" s="173"/>
      <c r="K35" s="174"/>
      <c r="N35" s="484"/>
      <c r="O35" s="485"/>
      <c r="P35" s="369"/>
    </row>
    <row r="36" spans="1:17">
      <c r="A36" s="180"/>
      <c r="B36" s="14"/>
      <c r="C36" s="13"/>
      <c r="D36" s="21"/>
      <c r="E36" s="484"/>
      <c r="F36" s="485"/>
      <c r="G36" s="369"/>
      <c r="H36" s="21"/>
      <c r="I36" s="173"/>
      <c r="J36" s="173"/>
      <c r="K36" s="174"/>
      <c r="N36" s="484"/>
      <c r="O36" s="485"/>
      <c r="P36" s="369"/>
    </row>
    <row r="37" spans="1:17">
      <c r="A37" s="180"/>
      <c r="B37" s="14"/>
      <c r="C37" s="13"/>
      <c r="D37" s="21"/>
      <c r="E37" s="484"/>
      <c r="F37" s="485"/>
      <c r="G37" s="369"/>
      <c r="H37" s="21"/>
      <c r="I37" s="173"/>
      <c r="J37" s="173"/>
      <c r="K37" s="174"/>
      <c r="N37" s="484"/>
      <c r="O37" s="485"/>
      <c r="P37" s="369"/>
    </row>
    <row r="38" spans="1:17">
      <c r="A38" s="180"/>
      <c r="B38" s="14"/>
      <c r="C38" s="13"/>
      <c r="D38" s="21"/>
      <c r="E38" s="484"/>
      <c r="F38" s="485"/>
      <c r="G38" s="369"/>
      <c r="H38" s="21"/>
      <c r="I38" s="173"/>
      <c r="J38" s="173"/>
      <c r="K38" s="174"/>
      <c r="N38" s="484"/>
      <c r="O38" s="485"/>
      <c r="P38" s="369"/>
    </row>
    <row r="39" spans="1:17">
      <c r="A39" s="180"/>
      <c r="B39" s="14"/>
      <c r="C39" s="13"/>
      <c r="D39" s="21"/>
      <c r="E39" s="484"/>
      <c r="F39" s="485"/>
      <c r="G39" s="369"/>
      <c r="H39" s="21"/>
      <c r="I39" s="173"/>
      <c r="J39" s="173"/>
      <c r="K39" s="174"/>
      <c r="N39" s="484"/>
      <c r="O39" s="485"/>
      <c r="P39" s="369"/>
    </row>
    <row r="40" spans="1:17">
      <c r="A40" s="180"/>
      <c r="B40" s="14"/>
      <c r="C40" s="13"/>
      <c r="D40" s="21"/>
      <c r="E40" s="484"/>
      <c r="F40" s="485"/>
      <c r="G40" s="369"/>
      <c r="H40" s="21"/>
      <c r="I40" s="173"/>
      <c r="J40" s="173"/>
      <c r="K40" s="174"/>
      <c r="N40" s="484"/>
      <c r="O40" s="485"/>
      <c r="P40" s="369"/>
    </row>
    <row r="41" spans="1:17">
      <c r="A41" s="180"/>
      <c r="B41" s="14"/>
      <c r="C41" s="13"/>
      <c r="D41" s="21"/>
      <c r="E41" s="484"/>
      <c r="F41" s="485"/>
      <c r="G41" s="369"/>
      <c r="H41" s="21"/>
      <c r="I41" s="173"/>
      <c r="J41" s="173"/>
      <c r="K41" s="174"/>
      <c r="N41" s="484"/>
      <c r="O41" s="485"/>
      <c r="P41" s="369"/>
    </row>
    <row r="42" spans="1:17">
      <c r="A42" s="180"/>
      <c r="B42" s="14"/>
      <c r="C42" s="13"/>
      <c r="D42" s="21"/>
      <c r="E42" s="484"/>
      <c r="F42" s="485"/>
      <c r="G42" s="369"/>
      <c r="H42" s="21"/>
      <c r="I42" s="173"/>
      <c r="J42" s="173"/>
      <c r="K42" s="174"/>
      <c r="N42" s="484"/>
      <c r="O42" s="485"/>
      <c r="P42" s="369"/>
    </row>
    <row r="43" spans="1:17">
      <c r="A43" s="180"/>
      <c r="B43" s="14"/>
      <c r="C43" s="13"/>
      <c r="D43" s="21"/>
      <c r="E43" s="484"/>
      <c r="F43" s="485"/>
      <c r="G43" s="369"/>
      <c r="H43" s="21"/>
      <c r="I43" s="173"/>
      <c r="J43" s="173"/>
      <c r="K43" s="174"/>
      <c r="N43" s="484"/>
      <c r="O43" s="485"/>
      <c r="P43" s="369"/>
    </row>
    <row r="44" spans="1:17">
      <c r="A44" s="180"/>
      <c r="B44" s="14"/>
      <c r="C44" s="13"/>
      <c r="D44" s="21"/>
      <c r="E44" s="484"/>
      <c r="F44" s="485"/>
      <c r="G44" s="369"/>
      <c r="H44" s="21"/>
      <c r="I44" s="173"/>
      <c r="J44" s="173"/>
      <c r="K44" s="174"/>
      <c r="N44" s="484"/>
      <c r="O44" s="485"/>
      <c r="P44" s="369"/>
    </row>
    <row r="45" spans="1:17">
      <c r="A45" s="180"/>
      <c r="B45" s="14"/>
      <c r="C45" s="13"/>
      <c r="D45" s="21"/>
      <c r="E45" s="484"/>
      <c r="F45" s="485"/>
      <c r="G45" s="369"/>
      <c r="H45" s="21"/>
      <c r="I45" s="173"/>
      <c r="J45" s="173"/>
      <c r="K45" s="174"/>
      <c r="N45" s="484"/>
      <c r="O45" s="485"/>
      <c r="P45" s="369"/>
    </row>
    <row r="46" spans="1:17">
      <c r="A46" s="180"/>
      <c r="B46" s="14"/>
      <c r="C46" s="13"/>
      <c r="D46" s="21"/>
      <c r="E46" s="484"/>
      <c r="F46" s="485"/>
      <c r="G46" s="369"/>
      <c r="H46" s="21"/>
      <c r="I46" s="173"/>
      <c r="J46" s="173"/>
      <c r="K46" s="174"/>
      <c r="N46" s="484"/>
      <c r="O46" s="485"/>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143</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144</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99</v>
      </c>
      <c r="E13" s="532" t="s">
        <v>71</v>
      </c>
      <c r="F13" s="499" t="s">
        <v>113</v>
      </c>
      <c r="G13" s="500" t="s">
        <v>61</v>
      </c>
      <c r="H13" s="533" t="s">
        <v>114</v>
      </c>
      <c r="I13" s="173"/>
      <c r="K13" s="110"/>
      <c r="M13" s="214"/>
      <c r="N13" s="217"/>
      <c r="O13" s="215"/>
      <c r="P13" s="495"/>
      <c r="Q13" s="495"/>
    </row>
    <row r="14" spans="1:17" ht="13.5" customHeight="1">
      <c r="A14" s="180"/>
      <c r="B14" s="14"/>
      <c r="C14" s="13"/>
      <c r="D14" s="926" t="s">
        <v>949</v>
      </c>
      <c r="E14" s="629">
        <f>VLOOKUP(CONCATENATE("Collateral_",D14),Assets,3,0)</f>
        <v>10824766.610000009</v>
      </c>
      <c r="F14" s="630">
        <f>E14/$E$16</f>
        <v>2.2669328786406651E-2</v>
      </c>
      <c r="G14" s="631">
        <f>VLOOKUP(CONCATENATE("Collateral_",D14),Assets,2,0)</f>
        <v>457</v>
      </c>
      <c r="H14" s="632">
        <f>G14/$G$16</f>
        <v>1.1435864070867325E-2</v>
      </c>
      <c r="I14" s="173"/>
      <c r="K14" s="174"/>
      <c r="M14" s="625"/>
      <c r="N14" s="626"/>
      <c r="O14" s="633"/>
      <c r="P14" s="634"/>
      <c r="Q14" s="627"/>
    </row>
    <row r="15" spans="1:17" ht="13" thickBot="1">
      <c r="A15" s="180"/>
      <c r="B15" s="14"/>
      <c r="C15" s="13"/>
      <c r="D15" s="927" t="s">
        <v>950</v>
      </c>
      <c r="E15" s="635">
        <f>VLOOKUP(CONCATENATE("Collateral_",D15),Assets,3,0)</f>
        <v>466682384.65999836</v>
      </c>
      <c r="F15" s="636">
        <f>E15/$E$16</f>
        <v>0.97733067121359329</v>
      </c>
      <c r="G15" s="637">
        <f>VLOOKUP(CONCATENATE("Collateral_",D15),Assets,2,0)</f>
        <v>39505</v>
      </c>
      <c r="H15" s="638">
        <f>G15/$G$16</f>
        <v>0.98856413592913273</v>
      </c>
      <c r="I15" s="173"/>
      <c r="K15" s="174"/>
      <c r="M15" s="625"/>
      <c r="N15" s="626"/>
      <c r="O15" s="633"/>
      <c r="P15" s="634"/>
      <c r="Q15" s="627"/>
    </row>
    <row r="16" spans="1:17" ht="14" thickTop="1" thickBot="1">
      <c r="A16" s="180"/>
      <c r="B16" s="14"/>
      <c r="C16" s="13"/>
      <c r="D16" s="527" t="s">
        <v>36</v>
      </c>
      <c r="E16" s="488">
        <f>SUM(E14:E15)</f>
        <v>477507151.26999837</v>
      </c>
      <c r="F16" s="562">
        <f>SUM(F14:F15)</f>
        <v>1</v>
      </c>
      <c r="G16" s="490">
        <f>SUM(G14:G15)</f>
        <v>39962</v>
      </c>
      <c r="H16" s="564">
        <f>SUM(H14:H15)</f>
        <v>1</v>
      </c>
      <c r="I16" s="173"/>
      <c r="K16" s="174"/>
      <c r="M16" s="37"/>
      <c r="N16" s="509"/>
      <c r="O16" s="639"/>
      <c r="P16" s="511"/>
      <c r="Q16" s="565"/>
    </row>
    <row r="17" spans="1:17">
      <c r="A17" s="180"/>
      <c r="B17" s="14"/>
      <c r="C17" s="13"/>
      <c r="D17" s="102"/>
      <c r="E17" s="102"/>
      <c r="F17" s="102"/>
      <c r="G17" s="102"/>
      <c r="H17" s="102"/>
      <c r="I17" s="173"/>
      <c r="K17" s="174"/>
    </row>
    <row r="18" spans="1:17">
      <c r="A18" s="180"/>
      <c r="B18" s="14"/>
      <c r="C18" s="13"/>
      <c r="D18" s="102"/>
      <c r="E18" s="233"/>
      <c r="F18" s="102"/>
      <c r="G18" s="568"/>
      <c r="H18" s="102"/>
      <c r="I18" s="173"/>
      <c r="K18" s="174"/>
      <c r="N18" s="233"/>
      <c r="P18" s="569"/>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40"/>
      <c r="E28" s="641"/>
      <c r="F28" s="642"/>
      <c r="G28" s="643"/>
      <c r="H28" s="642"/>
      <c r="I28" s="173"/>
      <c r="K28" s="174"/>
      <c r="M28" s="640"/>
      <c r="N28" s="641"/>
      <c r="O28" s="642"/>
      <c r="P28" s="643"/>
      <c r="Q28" s="642"/>
    </row>
    <row r="29" spans="1:17">
      <c r="A29" s="180"/>
      <c r="B29" s="14"/>
      <c r="C29" s="13"/>
      <c r="D29" s="640"/>
      <c r="E29" s="641"/>
      <c r="F29" s="642"/>
      <c r="G29" s="643"/>
      <c r="H29" s="642"/>
      <c r="I29" s="173"/>
      <c r="K29" s="174"/>
      <c r="M29" s="640"/>
      <c r="N29" s="641"/>
      <c r="O29" s="642"/>
      <c r="P29" s="643"/>
      <c r="Q29" s="642"/>
    </row>
    <row r="30" spans="1:17">
      <c r="A30" s="180"/>
      <c r="B30" s="14"/>
      <c r="C30" s="13"/>
      <c r="D30" s="640"/>
      <c r="E30" s="641"/>
      <c r="F30" s="642"/>
      <c r="G30" s="643"/>
      <c r="H30" s="642"/>
      <c r="I30" s="173"/>
      <c r="K30" s="174"/>
      <c r="M30" s="640"/>
      <c r="N30" s="641"/>
      <c r="O30" s="642"/>
      <c r="P30" s="643"/>
      <c r="Q30" s="642"/>
    </row>
    <row r="31" spans="1:17">
      <c r="A31" s="180"/>
      <c r="B31" s="14"/>
      <c r="C31" s="13"/>
      <c r="D31" s="640"/>
      <c r="E31" s="641"/>
      <c r="F31" s="642"/>
      <c r="G31" s="643"/>
      <c r="H31" s="642"/>
      <c r="I31" s="173"/>
      <c r="K31" s="174"/>
      <c r="M31" s="640"/>
      <c r="N31" s="641"/>
      <c r="O31" s="642"/>
      <c r="P31" s="643"/>
      <c r="Q31" s="642"/>
    </row>
    <row r="32" spans="1:17">
      <c r="A32" s="180"/>
      <c r="B32" s="14"/>
      <c r="C32" s="13"/>
      <c r="D32" s="640"/>
      <c r="E32" s="641"/>
      <c r="F32" s="642"/>
      <c r="G32" s="643"/>
      <c r="H32" s="642"/>
      <c r="I32" s="173"/>
      <c r="K32" s="174"/>
      <c r="M32" s="640"/>
      <c r="N32" s="641"/>
      <c r="O32" s="642"/>
      <c r="P32" s="643"/>
      <c r="Q32" s="642"/>
    </row>
    <row r="33" spans="1:17">
      <c r="A33" s="180"/>
      <c r="B33" s="14"/>
      <c r="C33" s="13"/>
      <c r="D33" s="640"/>
      <c r="E33" s="641"/>
      <c r="F33" s="642"/>
      <c r="G33" s="643"/>
      <c r="H33" s="642"/>
      <c r="I33" s="173"/>
      <c r="K33" s="174"/>
      <c r="M33" s="640"/>
      <c r="N33" s="641"/>
      <c r="O33" s="642"/>
      <c r="P33" s="643"/>
      <c r="Q33" s="642"/>
    </row>
    <row r="34" spans="1:17">
      <c r="A34" s="180"/>
      <c r="B34" s="14"/>
      <c r="C34" s="13"/>
      <c r="D34" s="640"/>
      <c r="E34" s="641"/>
      <c r="F34" s="642"/>
      <c r="G34" s="643"/>
      <c r="H34" s="642"/>
      <c r="I34" s="173"/>
      <c r="K34" s="174"/>
      <c r="M34" s="640"/>
      <c r="N34" s="641"/>
      <c r="O34" s="642"/>
      <c r="P34" s="643"/>
      <c r="Q34" s="642"/>
    </row>
    <row r="35" spans="1:17">
      <c r="A35" s="180"/>
      <c r="B35" s="14"/>
      <c r="C35" s="13"/>
      <c r="D35" s="640"/>
      <c r="E35" s="641"/>
      <c r="F35" s="642"/>
      <c r="G35" s="643"/>
      <c r="H35" s="642"/>
      <c r="I35" s="173"/>
      <c r="K35" s="174"/>
      <c r="M35" s="640"/>
      <c r="N35" s="641"/>
      <c r="O35" s="642"/>
      <c r="P35" s="643"/>
      <c r="Q35" s="642"/>
    </row>
    <row r="36" spans="1:17">
      <c r="A36" s="180"/>
      <c r="B36" s="14"/>
      <c r="C36" s="13"/>
      <c r="D36" s="640"/>
      <c r="E36" s="641"/>
      <c r="F36" s="642"/>
      <c r="G36" s="643"/>
      <c r="H36" s="642"/>
      <c r="I36" s="173"/>
      <c r="K36" s="174"/>
      <c r="M36" s="640"/>
      <c r="N36" s="641"/>
      <c r="O36" s="642"/>
      <c r="P36" s="643"/>
      <c r="Q36" s="642"/>
    </row>
    <row r="37" spans="1:17">
      <c r="A37" s="180"/>
      <c r="B37" s="14"/>
      <c r="C37" s="13"/>
      <c r="D37" s="640"/>
      <c r="E37" s="641"/>
      <c r="F37" s="642"/>
      <c r="G37" s="643"/>
      <c r="H37" s="642"/>
      <c r="I37" s="173"/>
      <c r="K37" s="174"/>
      <c r="M37" s="640"/>
      <c r="N37" s="641"/>
      <c r="O37" s="642"/>
      <c r="P37" s="643"/>
      <c r="Q37" s="642"/>
    </row>
    <row r="38" spans="1:17">
      <c r="A38" s="180"/>
      <c r="B38" s="14"/>
      <c r="C38" s="13"/>
      <c r="D38" s="640"/>
      <c r="E38" s="641"/>
      <c r="F38" s="642"/>
      <c r="G38" s="643"/>
      <c r="H38" s="642"/>
      <c r="I38" s="173"/>
      <c r="K38" s="174"/>
      <c r="M38" s="640"/>
      <c r="N38" s="641"/>
      <c r="O38" s="642"/>
      <c r="P38" s="643"/>
      <c r="Q38" s="642"/>
    </row>
    <row r="39" spans="1:17">
      <c r="A39" s="180"/>
      <c r="B39" s="14"/>
      <c r="C39" s="13"/>
      <c r="D39" s="640"/>
      <c r="E39" s="641"/>
      <c r="F39" s="642"/>
      <c r="G39" s="643"/>
      <c r="H39" s="642"/>
      <c r="I39" s="173"/>
      <c r="K39" s="174"/>
      <c r="M39" s="640"/>
      <c r="N39" s="641"/>
      <c r="O39" s="642"/>
      <c r="P39" s="643"/>
      <c r="Q39" s="642"/>
    </row>
    <row r="40" spans="1:17">
      <c r="A40" s="180"/>
      <c r="B40" s="14"/>
      <c r="C40" s="13"/>
      <c r="D40" s="640"/>
      <c r="E40" s="641"/>
      <c r="F40" s="642"/>
      <c r="G40" s="643"/>
      <c r="H40" s="642"/>
      <c r="I40" s="173"/>
      <c r="K40" s="174"/>
      <c r="M40" s="640"/>
      <c r="N40" s="641"/>
      <c r="O40" s="642"/>
      <c r="P40" s="643"/>
      <c r="Q40" s="642"/>
    </row>
    <row r="41" spans="1:17">
      <c r="A41" s="180"/>
      <c r="B41" s="14"/>
      <c r="C41" s="13"/>
      <c r="D41" s="640"/>
      <c r="E41" s="641"/>
      <c r="F41" s="642"/>
      <c r="G41" s="643"/>
      <c r="H41" s="642"/>
      <c r="I41" s="173"/>
      <c r="K41" s="174"/>
      <c r="M41" s="640"/>
      <c r="N41" s="641"/>
      <c r="O41" s="642"/>
      <c r="P41" s="643"/>
      <c r="Q41" s="642"/>
    </row>
    <row r="42" spans="1:17">
      <c r="A42" s="180"/>
      <c r="B42" s="14"/>
      <c r="C42" s="13"/>
      <c r="D42" s="640"/>
      <c r="E42" s="641"/>
      <c r="F42" s="642"/>
      <c r="G42" s="643"/>
      <c r="H42" s="642"/>
      <c r="I42" s="173"/>
      <c r="K42" s="174"/>
      <c r="M42" s="640"/>
      <c r="N42" s="641"/>
      <c r="O42" s="642"/>
      <c r="P42" s="643"/>
      <c r="Q42" s="642"/>
    </row>
    <row r="43" spans="1:17">
      <c r="A43" s="180"/>
      <c r="B43" s="14"/>
      <c r="C43" s="13"/>
      <c r="D43" s="640"/>
      <c r="E43" s="641"/>
      <c r="F43" s="642"/>
      <c r="G43" s="643"/>
      <c r="H43" s="642"/>
      <c r="I43" s="173"/>
      <c r="K43" s="174"/>
      <c r="M43" s="640"/>
      <c r="N43" s="641"/>
      <c r="O43" s="642"/>
      <c r="P43" s="643"/>
      <c r="Q43" s="642"/>
    </row>
    <row r="44" spans="1:17">
      <c r="A44" s="180"/>
      <c r="B44" s="14"/>
      <c r="C44" s="13"/>
      <c r="D44" s="640"/>
      <c r="E44" s="641"/>
      <c r="F44" s="642"/>
      <c r="G44" s="643"/>
      <c r="H44" s="642"/>
      <c r="I44" s="173"/>
      <c r="K44" s="174"/>
      <c r="M44" s="640"/>
      <c r="N44" s="641"/>
      <c r="O44" s="642"/>
      <c r="P44" s="643"/>
      <c r="Q44" s="642"/>
    </row>
    <row r="45" spans="1:17">
      <c r="A45" s="180"/>
      <c r="B45" s="14"/>
      <c r="C45" s="13"/>
      <c r="D45" s="640"/>
      <c r="E45" s="641"/>
      <c r="F45" s="642"/>
      <c r="G45" s="643"/>
      <c r="H45" s="642"/>
      <c r="I45" s="173"/>
      <c r="K45" s="174"/>
      <c r="M45" s="640"/>
      <c r="N45" s="641"/>
      <c r="O45" s="642"/>
      <c r="P45" s="643"/>
      <c r="Q45" s="642"/>
    </row>
    <row r="46" spans="1:17">
      <c r="A46" s="180"/>
      <c r="B46" s="14"/>
      <c r="C46" s="13"/>
      <c r="D46" s="640"/>
      <c r="E46" s="641"/>
      <c r="F46" s="642"/>
      <c r="G46" s="643"/>
      <c r="H46" s="642"/>
      <c r="I46" s="173"/>
      <c r="K46" s="174"/>
      <c r="M46" s="640"/>
      <c r="N46" s="641"/>
      <c r="O46" s="642"/>
      <c r="P46" s="643"/>
      <c r="Q46" s="642"/>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145</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111</v>
      </c>
      <c r="E13" s="532" t="s">
        <v>94</v>
      </c>
      <c r="F13" s="499" t="s">
        <v>113</v>
      </c>
      <c r="G13" s="500" t="s">
        <v>61</v>
      </c>
      <c r="H13" s="533" t="s">
        <v>114</v>
      </c>
      <c r="I13" s="173"/>
      <c r="K13" s="110"/>
      <c r="M13" s="214"/>
      <c r="N13" s="217"/>
      <c r="O13" s="215"/>
      <c r="P13" s="495"/>
      <c r="Q13" s="495"/>
    </row>
    <row r="14" spans="1:17" ht="13.5" customHeight="1">
      <c r="A14" s="180"/>
      <c r="B14" s="14"/>
      <c r="C14" s="13"/>
      <c r="D14" s="928" t="s">
        <v>62</v>
      </c>
      <c r="E14" s="610">
        <f>VLOOKUP(CONCATENATE("Insurance_",D14),Assets,3,0)</f>
        <v>208397637.32000154</v>
      </c>
      <c r="F14" s="611">
        <f>E14/$E$16</f>
        <v>0.43642830639444252</v>
      </c>
      <c r="G14" s="612">
        <f>VLOOKUP(CONCATENATE("Insurance_",D14),Assets,2,0)</f>
        <v>19114</v>
      </c>
      <c r="H14" s="613">
        <f>G14/$G$16</f>
        <v>0.47830438916971124</v>
      </c>
      <c r="I14" s="173"/>
      <c r="K14" s="174"/>
      <c r="M14" s="614"/>
      <c r="N14" s="615"/>
      <c r="O14" s="616"/>
      <c r="P14" s="617"/>
      <c r="Q14" s="616"/>
    </row>
    <row r="15" spans="1:17" ht="13" thickBot="1">
      <c r="A15" s="180"/>
      <c r="B15" s="14"/>
      <c r="C15" s="13"/>
      <c r="D15" s="929" t="s">
        <v>951</v>
      </c>
      <c r="E15" s="618">
        <f>VLOOKUP(CONCATENATE("Insurance_",D15),Assets,3,0)</f>
        <v>269109513.94999975</v>
      </c>
      <c r="F15" s="611">
        <f>E15/$E$16</f>
        <v>0.56357169360555748</v>
      </c>
      <c r="G15" s="619">
        <f>VLOOKUP(CONCATENATE("Insurance_",D15),Assets,2,0)</f>
        <v>20848</v>
      </c>
      <c r="H15" s="613">
        <f>G15/$G$16</f>
        <v>0.52169561083028881</v>
      </c>
      <c r="I15" s="173"/>
      <c r="K15" s="174"/>
      <c r="M15" s="614"/>
      <c r="N15" s="615"/>
      <c r="O15" s="616"/>
      <c r="P15" s="617"/>
      <c r="Q15" s="616"/>
    </row>
    <row r="16" spans="1:17" ht="14" thickTop="1" thickBot="1">
      <c r="A16" s="180"/>
      <c r="B16" s="14"/>
      <c r="C16" s="13"/>
      <c r="D16" s="591" t="s">
        <v>36</v>
      </c>
      <c r="E16" s="592">
        <f>SUM(E14:E15)</f>
        <v>477507151.27000129</v>
      </c>
      <c r="F16" s="593">
        <f>SUM(F14:F15)</f>
        <v>1</v>
      </c>
      <c r="G16" s="594">
        <f>SUM(G14:G15)</f>
        <v>39962</v>
      </c>
      <c r="H16" s="595">
        <f>SUM(H14:H15)</f>
        <v>1</v>
      </c>
      <c r="I16" s="173"/>
      <c r="K16" s="174"/>
      <c r="M16" s="596"/>
      <c r="N16" s="597"/>
      <c r="O16" s="598"/>
      <c r="P16" s="599"/>
      <c r="Q16" s="598"/>
    </row>
    <row r="17" spans="1:17">
      <c r="A17" s="180"/>
      <c r="B17" s="14"/>
      <c r="C17" s="13"/>
      <c r="D17" s="620"/>
      <c r="E17" s="621"/>
      <c r="F17" s="622"/>
      <c r="G17" s="623"/>
      <c r="H17" s="622"/>
      <c r="I17" s="173"/>
      <c r="K17" s="174"/>
      <c r="M17" s="200"/>
      <c r="N17" s="201"/>
      <c r="O17" s="624"/>
      <c r="P17" s="203"/>
      <c r="Q17" s="624"/>
    </row>
    <row r="18" spans="1:17">
      <c r="A18" s="180"/>
      <c r="B18" s="14"/>
      <c r="C18" s="13"/>
      <c r="D18" s="620"/>
      <c r="E18" s="621"/>
      <c r="F18" s="622"/>
      <c r="G18" s="623"/>
      <c r="H18" s="622"/>
      <c r="I18" s="173"/>
      <c r="K18" s="174"/>
      <c r="M18" s="200"/>
      <c r="N18" s="201"/>
      <c r="O18" s="624"/>
      <c r="P18" s="203"/>
      <c r="Q18" s="624"/>
    </row>
    <row r="19" spans="1:17">
      <c r="A19" s="180"/>
      <c r="B19" s="14"/>
      <c r="C19" s="13"/>
      <c r="D19" s="620"/>
      <c r="E19" s="621"/>
      <c r="F19" s="622"/>
      <c r="G19" s="623"/>
      <c r="H19" s="622"/>
      <c r="I19" s="173"/>
      <c r="K19" s="174"/>
      <c r="M19" s="200"/>
      <c r="N19" s="201"/>
      <c r="O19" s="624"/>
      <c r="P19" s="203"/>
      <c r="Q19" s="624"/>
    </row>
    <row r="20" spans="1:17">
      <c r="A20" s="180"/>
      <c r="B20" s="14"/>
      <c r="C20" s="13"/>
      <c r="D20" s="620"/>
      <c r="E20" s="621"/>
      <c r="F20" s="622"/>
      <c r="G20" s="623"/>
      <c r="H20" s="622"/>
      <c r="I20" s="173"/>
      <c r="K20" s="174"/>
      <c r="M20" s="200"/>
      <c r="N20" s="201"/>
      <c r="O20" s="624"/>
      <c r="P20" s="203"/>
      <c r="Q20" s="624"/>
    </row>
    <row r="21" spans="1:17">
      <c r="A21" s="180"/>
      <c r="B21" s="14"/>
      <c r="C21" s="13"/>
      <c r="D21" s="620"/>
      <c r="E21" s="621"/>
      <c r="F21" s="622"/>
      <c r="G21" s="623"/>
      <c r="H21" s="622"/>
      <c r="I21" s="173"/>
      <c r="K21" s="174"/>
      <c r="M21" s="200"/>
      <c r="N21" s="201"/>
      <c r="O21" s="624"/>
      <c r="P21" s="203"/>
      <c r="Q21" s="624"/>
    </row>
    <row r="22" spans="1:17">
      <c r="A22" s="180"/>
      <c r="B22" s="14"/>
      <c r="C22" s="13"/>
      <c r="D22" s="620"/>
      <c r="E22" s="621"/>
      <c r="F22" s="622"/>
      <c r="G22" s="623"/>
      <c r="H22" s="622"/>
      <c r="I22" s="173"/>
      <c r="K22" s="174"/>
      <c r="M22" s="200"/>
      <c r="N22" s="201"/>
      <c r="O22" s="624"/>
      <c r="P22" s="203"/>
      <c r="Q22" s="624"/>
    </row>
    <row r="23" spans="1:17">
      <c r="A23" s="180"/>
      <c r="B23" s="14"/>
      <c r="C23" s="13"/>
      <c r="D23" s="620"/>
      <c r="E23" s="621"/>
      <c r="F23" s="622"/>
      <c r="G23" s="623"/>
      <c r="H23" s="622"/>
      <c r="I23" s="173"/>
      <c r="K23" s="174"/>
      <c r="M23" s="200"/>
      <c r="N23" s="201"/>
      <c r="O23" s="624"/>
      <c r="P23" s="203"/>
      <c r="Q23" s="624"/>
    </row>
    <row r="24" spans="1:17">
      <c r="A24" s="180"/>
      <c r="B24" s="14"/>
      <c r="C24" s="13"/>
      <c r="D24" s="620"/>
      <c r="E24" s="621"/>
      <c r="F24" s="622"/>
      <c r="G24" s="623"/>
      <c r="H24" s="622"/>
      <c r="I24" s="173"/>
      <c r="K24" s="174"/>
      <c r="M24" s="200"/>
      <c r="N24" s="201"/>
      <c r="O24" s="624"/>
      <c r="P24" s="203"/>
      <c r="Q24" s="624"/>
    </row>
    <row r="25" spans="1:17">
      <c r="A25" s="180"/>
      <c r="B25" s="14"/>
      <c r="C25" s="13"/>
      <c r="D25" s="625"/>
      <c r="E25" s="626"/>
      <c r="F25" s="627"/>
      <c r="G25" s="628"/>
      <c r="H25" s="627"/>
      <c r="I25" s="173"/>
      <c r="K25" s="174"/>
      <c r="M25" s="625"/>
      <c r="N25" s="626"/>
      <c r="O25" s="627"/>
      <c r="P25" s="628"/>
      <c r="Q25" s="627"/>
    </row>
    <row r="26" spans="1:17">
      <c r="A26" s="180"/>
      <c r="B26" s="14"/>
      <c r="C26" s="13"/>
      <c r="D26" s="625"/>
      <c r="E26" s="626"/>
      <c r="F26" s="627"/>
      <c r="G26" s="628"/>
      <c r="H26" s="627"/>
      <c r="I26" s="173"/>
      <c r="K26" s="174"/>
      <c r="M26" s="625"/>
      <c r="N26" s="626"/>
      <c r="O26" s="627"/>
      <c r="P26" s="628"/>
      <c r="Q26" s="627"/>
    </row>
    <row r="27" spans="1:17">
      <c r="A27" s="180"/>
      <c r="B27" s="14"/>
      <c r="C27" s="13"/>
      <c r="D27" s="625"/>
      <c r="E27" s="626"/>
      <c r="F27" s="627"/>
      <c r="G27" s="628"/>
      <c r="H27" s="627"/>
      <c r="I27" s="173"/>
      <c r="K27" s="174"/>
      <c r="M27" s="625"/>
      <c r="N27" s="626"/>
      <c r="O27" s="627"/>
      <c r="P27" s="628"/>
      <c r="Q27" s="627"/>
    </row>
    <row r="28" spans="1:17">
      <c r="A28" s="180"/>
      <c r="B28" s="14"/>
      <c r="C28" s="13"/>
      <c r="D28" s="625"/>
      <c r="E28" s="626"/>
      <c r="F28" s="627"/>
      <c r="G28" s="628"/>
      <c r="H28" s="627"/>
      <c r="I28" s="173"/>
      <c r="K28" s="174"/>
      <c r="M28" s="625"/>
      <c r="N28" s="626"/>
      <c r="O28" s="627"/>
      <c r="P28" s="628"/>
      <c r="Q28" s="627"/>
    </row>
    <row r="29" spans="1:17">
      <c r="A29" s="180"/>
      <c r="B29" s="14"/>
      <c r="C29" s="13"/>
      <c r="D29" s="625"/>
      <c r="E29" s="626"/>
      <c r="F29" s="627"/>
      <c r="G29" s="628"/>
      <c r="H29" s="627"/>
      <c r="I29" s="173"/>
      <c r="K29" s="174"/>
      <c r="M29" s="625"/>
      <c r="N29" s="626"/>
      <c r="O29" s="627"/>
      <c r="P29" s="628"/>
      <c r="Q29" s="627"/>
    </row>
    <row r="30" spans="1:17">
      <c r="A30" s="180"/>
      <c r="B30" s="14"/>
      <c r="C30" s="13"/>
      <c r="D30" s="625"/>
      <c r="E30" s="626"/>
      <c r="F30" s="627"/>
      <c r="G30" s="628"/>
      <c r="H30" s="627"/>
      <c r="I30" s="173"/>
      <c r="K30" s="174"/>
      <c r="M30" s="625"/>
      <c r="N30" s="626"/>
      <c r="O30" s="627"/>
      <c r="P30" s="628"/>
      <c r="Q30" s="627"/>
    </row>
    <row r="31" spans="1:17">
      <c r="A31" s="180"/>
      <c r="B31" s="14"/>
      <c r="C31" s="13"/>
      <c r="D31" s="625"/>
      <c r="E31" s="626"/>
      <c r="F31" s="627"/>
      <c r="G31" s="628"/>
      <c r="H31" s="627"/>
      <c r="I31" s="173"/>
      <c r="K31" s="174"/>
      <c r="M31" s="625"/>
      <c r="N31" s="626"/>
      <c r="O31" s="627"/>
      <c r="P31" s="628"/>
      <c r="Q31" s="627"/>
    </row>
    <row r="32" spans="1:17">
      <c r="A32" s="180"/>
      <c r="B32" s="14"/>
      <c r="C32" s="13"/>
      <c r="D32" s="625"/>
      <c r="E32" s="626"/>
      <c r="F32" s="627"/>
      <c r="G32" s="628"/>
      <c r="H32" s="627"/>
      <c r="I32" s="173"/>
      <c r="K32" s="174"/>
      <c r="M32" s="625"/>
      <c r="N32" s="626"/>
      <c r="O32" s="627"/>
      <c r="P32" s="628"/>
      <c r="Q32" s="627"/>
    </row>
    <row r="33" spans="1:17">
      <c r="A33" s="180"/>
      <c r="B33" s="14"/>
      <c r="C33" s="13"/>
      <c r="D33" s="625"/>
      <c r="E33" s="626"/>
      <c r="F33" s="627"/>
      <c r="G33" s="628"/>
      <c r="H33" s="627"/>
      <c r="I33" s="173"/>
      <c r="K33" s="174"/>
      <c r="M33" s="625"/>
      <c r="N33" s="626"/>
      <c r="O33" s="627"/>
      <c r="P33" s="628"/>
      <c r="Q33" s="627"/>
    </row>
    <row r="34" spans="1:17">
      <c r="A34" s="180"/>
      <c r="B34" s="14"/>
      <c r="C34" s="13"/>
      <c r="D34" s="625"/>
      <c r="E34" s="626"/>
      <c r="F34" s="627"/>
      <c r="G34" s="628"/>
      <c r="H34" s="627"/>
      <c r="I34" s="173"/>
      <c r="K34" s="174"/>
      <c r="M34" s="625"/>
      <c r="N34" s="626"/>
      <c r="O34" s="627"/>
      <c r="P34" s="628"/>
      <c r="Q34" s="627"/>
    </row>
    <row r="35" spans="1:17">
      <c r="A35" s="180"/>
      <c r="B35" s="14"/>
      <c r="C35" s="13"/>
      <c r="D35" s="625"/>
      <c r="E35" s="626"/>
      <c r="F35" s="627"/>
      <c r="G35" s="628"/>
      <c r="H35" s="627"/>
      <c r="I35" s="173"/>
      <c r="K35" s="174"/>
      <c r="M35" s="625"/>
      <c r="N35" s="626"/>
      <c r="O35" s="627"/>
      <c r="P35" s="628"/>
      <c r="Q35" s="627"/>
    </row>
    <row r="36" spans="1:17">
      <c r="A36" s="180"/>
      <c r="B36" s="14"/>
      <c r="C36" s="13"/>
      <c r="D36" s="625"/>
      <c r="E36" s="626"/>
      <c r="F36" s="627"/>
      <c r="G36" s="628"/>
      <c r="H36" s="627"/>
      <c r="I36" s="173"/>
      <c r="K36" s="174"/>
      <c r="M36" s="625"/>
      <c r="N36" s="626"/>
      <c r="O36" s="627"/>
      <c r="P36" s="628"/>
      <c r="Q36" s="627"/>
    </row>
    <row r="37" spans="1:17">
      <c r="A37" s="180"/>
      <c r="B37" s="14"/>
      <c r="C37" s="13"/>
      <c r="D37" s="625"/>
      <c r="E37" s="626"/>
      <c r="F37" s="627"/>
      <c r="G37" s="628"/>
      <c r="H37" s="627"/>
      <c r="I37" s="173"/>
      <c r="K37" s="174"/>
      <c r="M37" s="625"/>
      <c r="N37" s="626"/>
      <c r="O37" s="627"/>
      <c r="P37" s="628"/>
      <c r="Q37" s="627"/>
    </row>
    <row r="38" spans="1:17">
      <c r="A38" s="180"/>
      <c r="B38" s="14"/>
      <c r="C38" s="13"/>
      <c r="D38" s="625"/>
      <c r="E38" s="626"/>
      <c r="F38" s="627"/>
      <c r="G38" s="628"/>
      <c r="H38" s="627"/>
      <c r="I38" s="173"/>
      <c r="K38" s="174"/>
      <c r="M38" s="625"/>
      <c r="N38" s="626"/>
      <c r="O38" s="627"/>
      <c r="P38" s="628"/>
      <c r="Q38" s="627"/>
    </row>
    <row r="39" spans="1:17">
      <c r="A39" s="180"/>
      <c r="B39" s="14"/>
      <c r="C39" s="13"/>
      <c r="D39" s="625"/>
      <c r="E39" s="626"/>
      <c r="F39" s="627"/>
      <c r="G39" s="628"/>
      <c r="H39" s="627"/>
      <c r="I39" s="173"/>
      <c r="K39" s="174"/>
      <c r="M39" s="625"/>
      <c r="N39" s="626"/>
      <c r="O39" s="627"/>
      <c r="P39" s="628"/>
      <c r="Q39" s="627"/>
    </row>
    <row r="40" spans="1:17">
      <c r="A40" s="180"/>
      <c r="B40" s="14"/>
      <c r="C40" s="13"/>
      <c r="D40" s="625"/>
      <c r="E40" s="626"/>
      <c r="F40" s="627"/>
      <c r="G40" s="628"/>
      <c r="H40" s="627"/>
      <c r="I40" s="173"/>
      <c r="K40" s="174"/>
      <c r="M40" s="625"/>
      <c r="N40" s="626"/>
      <c r="O40" s="627"/>
      <c r="P40" s="628"/>
      <c r="Q40" s="627"/>
    </row>
    <row r="41" spans="1:17">
      <c r="A41" s="180"/>
      <c r="B41" s="14"/>
      <c r="C41" s="13"/>
      <c r="D41" s="625"/>
      <c r="E41" s="626"/>
      <c r="F41" s="627"/>
      <c r="G41" s="628"/>
      <c r="H41" s="627"/>
      <c r="I41" s="173"/>
      <c r="K41" s="174"/>
      <c r="M41" s="625"/>
      <c r="N41" s="626"/>
      <c r="O41" s="627"/>
      <c r="P41" s="628"/>
      <c r="Q41" s="627"/>
    </row>
    <row r="42" spans="1:17">
      <c r="A42" s="180"/>
      <c r="B42" s="14"/>
      <c r="C42" s="13"/>
      <c r="D42" s="625"/>
      <c r="E42" s="626"/>
      <c r="F42" s="627"/>
      <c r="G42" s="628"/>
      <c r="H42" s="627"/>
      <c r="I42" s="173"/>
      <c r="K42" s="174"/>
      <c r="M42" s="625"/>
      <c r="N42" s="626"/>
      <c r="O42" s="627"/>
      <c r="P42" s="628"/>
      <c r="Q42" s="627"/>
    </row>
    <row r="43" spans="1:17">
      <c r="A43" s="180"/>
      <c r="B43" s="14"/>
      <c r="C43" s="13"/>
      <c r="D43" s="625"/>
      <c r="E43" s="626"/>
      <c r="F43" s="627"/>
      <c r="G43" s="628"/>
      <c r="H43" s="627"/>
      <c r="I43" s="173"/>
      <c r="K43" s="174"/>
      <c r="M43" s="625"/>
      <c r="N43" s="626"/>
      <c r="O43" s="627"/>
      <c r="P43" s="628"/>
      <c r="Q43" s="627"/>
    </row>
    <row r="44" spans="1:17">
      <c r="A44" s="180"/>
      <c r="B44" s="14"/>
      <c r="C44" s="13"/>
      <c r="D44" s="625"/>
      <c r="E44" s="626"/>
      <c r="F44" s="627"/>
      <c r="G44" s="628"/>
      <c r="H44" s="627"/>
      <c r="I44" s="173"/>
      <c r="K44" s="174"/>
      <c r="M44" s="625"/>
      <c r="N44" s="626"/>
      <c r="O44" s="627"/>
      <c r="P44" s="628"/>
      <c r="Q44" s="627"/>
    </row>
    <row r="45" spans="1:17">
      <c r="A45" s="180"/>
      <c r="B45" s="14"/>
      <c r="C45" s="13"/>
      <c r="D45" s="625"/>
      <c r="E45" s="626"/>
      <c r="F45" s="627"/>
      <c r="G45" s="628"/>
      <c r="H45" s="627"/>
      <c r="I45" s="173"/>
      <c r="K45" s="174"/>
      <c r="M45" s="625"/>
      <c r="N45" s="626"/>
      <c r="O45" s="627"/>
      <c r="P45" s="628"/>
      <c r="Q45" s="627"/>
    </row>
    <row r="46" spans="1:17">
      <c r="A46" s="180"/>
      <c r="B46" s="14"/>
      <c r="C46" s="13"/>
      <c r="D46" s="625"/>
      <c r="E46" s="626"/>
      <c r="F46" s="627"/>
      <c r="G46" s="628"/>
      <c r="H46" s="627"/>
      <c r="I46" s="173"/>
      <c r="K46" s="174"/>
      <c r="M46" s="625"/>
      <c r="N46" s="626"/>
      <c r="O46" s="627"/>
      <c r="P46" s="628"/>
      <c r="Q46" s="62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572</v>
      </c>
      <c r="C2" s="105"/>
      <c r="D2" s="106" t="s">
        <v>416</v>
      </c>
      <c r="E2" s="107"/>
      <c r="F2" s="108">
        <f>VLOOKUP("Calculation_Date",calcdata_22,3,FALSE)</f>
        <v>45911</v>
      </c>
      <c r="G2" s="107"/>
      <c r="H2" s="107"/>
      <c r="I2" s="107"/>
      <c r="J2" s="109"/>
      <c r="K2" s="110"/>
    </row>
    <row r="3" spans="1:13" ht="18" customHeight="1">
      <c r="A3" s="103"/>
      <c r="B3" s="104" t="s">
        <v>0</v>
      </c>
      <c r="C3" s="111"/>
      <c r="D3" s="112" t="s">
        <v>2</v>
      </c>
      <c r="E3" s="113"/>
      <c r="F3" s="114">
        <f>VLOOKUP("Payment_Date",calcdata_22,3,FALSE)</f>
        <v>45915</v>
      </c>
      <c r="G3" s="113"/>
      <c r="H3" s="113"/>
      <c r="I3" s="113"/>
      <c r="J3" s="115"/>
      <c r="K3" s="110"/>
    </row>
    <row r="4" spans="1:13" ht="12.75" customHeight="1">
      <c r="A4" s="103"/>
      <c r="B4" s="116"/>
      <c r="C4" s="111"/>
      <c r="D4" s="112" t="s">
        <v>3</v>
      </c>
      <c r="E4" s="113"/>
      <c r="F4" s="117">
        <f>VLOOKUP("Period",calcdata_22,2,FALSE)</f>
        <v>35</v>
      </c>
      <c r="G4" s="113"/>
      <c r="H4" s="118"/>
      <c r="I4" s="113"/>
      <c r="J4" s="119"/>
      <c r="K4" s="110"/>
    </row>
    <row r="5" spans="1:13" ht="18" customHeight="1">
      <c r="A5" s="103"/>
      <c r="B5" s="120" t="s">
        <v>33</v>
      </c>
      <c r="C5" s="111"/>
      <c r="D5" s="112" t="s">
        <v>1</v>
      </c>
      <c r="E5" s="113"/>
      <c r="F5" s="121">
        <f>VLOOKUP("Monthly_Period",calcdata_22,3,FALSE)</f>
        <v>45915</v>
      </c>
      <c r="G5" s="113"/>
      <c r="H5" s="118"/>
      <c r="I5" s="113"/>
      <c r="J5" s="119"/>
      <c r="K5" s="110"/>
    </row>
    <row r="6" spans="1:13" ht="15" customHeight="1">
      <c r="A6" s="103"/>
      <c r="B6" s="122"/>
      <c r="C6" s="111"/>
      <c r="D6" s="112" t="s">
        <v>50</v>
      </c>
      <c r="E6" s="123" t="s">
        <v>34</v>
      </c>
      <c r="F6" s="114">
        <f>VLOOKUP("Interest_Period_from",calcdata_22,3,FALSE)</f>
        <v>45883</v>
      </c>
      <c r="G6" s="123" t="s">
        <v>4</v>
      </c>
      <c r="H6" s="114">
        <f>F3</f>
        <v>45915</v>
      </c>
      <c r="I6" s="123" t="s">
        <v>15</v>
      </c>
      <c r="J6" s="124" t="str">
        <f>H6-F6&amp;" days"</f>
        <v>32 days</v>
      </c>
      <c r="K6" s="125"/>
      <c r="M6" s="126"/>
    </row>
    <row r="7" spans="1:13">
      <c r="A7" s="103"/>
      <c r="B7" s="105"/>
      <c r="C7" s="105"/>
      <c r="D7" s="127" t="s">
        <v>110</v>
      </c>
      <c r="E7" s="128" t="s">
        <v>34</v>
      </c>
      <c r="F7" s="129" t="str">
        <f>"01."&amp;TEXT(F6,"MM.jjjj")</f>
        <v>01.08.2025</v>
      </c>
      <c r="G7" s="128" t="s">
        <v>4</v>
      </c>
      <c r="H7" s="129">
        <f>EOMONTH(F6,0)</f>
        <v>45900</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372</v>
      </c>
      <c r="C16" s="140">
        <v>2</v>
      </c>
      <c r="D16" s="970"/>
      <c r="E16" s="139"/>
      <c r="F16" s="105"/>
      <c r="G16" s="105"/>
      <c r="H16" s="105"/>
      <c r="I16" s="105"/>
      <c r="J16" s="105"/>
      <c r="K16" s="110"/>
    </row>
    <row r="17" spans="1:11" ht="15" customHeight="1">
      <c r="A17" s="103"/>
      <c r="B17" s="105" t="s">
        <v>49</v>
      </c>
      <c r="C17" s="140">
        <v>3</v>
      </c>
      <c r="E17" s="105"/>
      <c r="F17" s="105"/>
      <c r="G17" s="105"/>
      <c r="H17" s="105"/>
      <c r="I17" s="105"/>
      <c r="J17" s="21"/>
      <c r="K17" s="110"/>
    </row>
    <row r="18" spans="1:11" ht="15" customHeight="1">
      <c r="A18" s="103"/>
      <c r="B18" s="105" t="s">
        <v>237</v>
      </c>
      <c r="C18" s="140">
        <v>4</v>
      </c>
      <c r="D18" s="971"/>
      <c r="E18" s="105"/>
      <c r="F18" s="105"/>
      <c r="G18" s="105"/>
      <c r="H18" s="105"/>
      <c r="I18" s="105"/>
      <c r="J18" s="137"/>
      <c r="K18" s="110"/>
    </row>
    <row r="19" spans="1:11" ht="15" customHeight="1">
      <c r="A19" s="103"/>
      <c r="B19" s="141" t="s">
        <v>238</v>
      </c>
      <c r="C19" s="140">
        <v>5</v>
      </c>
      <c r="D19" s="971"/>
      <c r="E19" s="105"/>
      <c r="F19" s="105"/>
      <c r="G19" s="105"/>
      <c r="H19" s="105"/>
      <c r="I19" s="105"/>
      <c r="J19" s="137"/>
      <c r="K19" s="110"/>
    </row>
    <row r="20" spans="1:11" ht="15" customHeight="1">
      <c r="A20" s="103"/>
      <c r="B20" s="141" t="s">
        <v>373</v>
      </c>
      <c r="C20" s="140">
        <v>6</v>
      </c>
      <c r="D20" s="971"/>
      <c r="E20" s="105"/>
      <c r="F20" s="105"/>
      <c r="G20" s="105"/>
      <c r="H20" s="105"/>
      <c r="I20" s="105"/>
      <c r="J20" s="137"/>
      <c r="K20" s="110"/>
    </row>
    <row r="21" spans="1:11" ht="15" customHeight="1">
      <c r="A21" s="103"/>
      <c r="B21" s="105" t="s">
        <v>116</v>
      </c>
      <c r="C21" s="140">
        <v>7</v>
      </c>
      <c r="E21" s="105"/>
      <c r="F21" s="105"/>
      <c r="G21" s="105"/>
      <c r="H21" s="105"/>
      <c r="I21" s="105"/>
      <c r="J21" s="137"/>
      <c r="K21" s="110"/>
    </row>
    <row r="22" spans="1:11" ht="15" customHeight="1">
      <c r="A22" s="103"/>
      <c r="B22" s="105" t="s">
        <v>117</v>
      </c>
      <c r="C22" s="140">
        <v>8</v>
      </c>
      <c r="D22" s="972"/>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201</v>
      </c>
      <c r="C33" s="140">
        <v>19</v>
      </c>
      <c r="D33" s="21"/>
      <c r="E33" s="139"/>
      <c r="F33" s="105"/>
      <c r="G33" s="105"/>
      <c r="H33" s="105"/>
      <c r="I33" s="105"/>
      <c r="J33" s="143"/>
      <c r="K33" s="110"/>
    </row>
    <row r="34" spans="1:11" ht="15" customHeight="1">
      <c r="A34" s="103"/>
      <c r="B34" s="105" t="s">
        <v>202</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382</v>
      </c>
      <c r="C42" s="140">
        <v>28</v>
      </c>
      <c r="D42" s="21"/>
      <c r="E42" s="139"/>
      <c r="F42" s="105"/>
      <c r="G42" s="105"/>
      <c r="H42" s="105"/>
      <c r="I42" s="105"/>
      <c r="J42" s="143"/>
      <c r="K42" s="110"/>
    </row>
    <row r="43" spans="1:11" ht="15" customHeight="1">
      <c r="A43" s="103"/>
      <c r="B43" s="105" t="s">
        <v>383</v>
      </c>
      <c r="C43" s="140">
        <v>29</v>
      </c>
      <c r="D43" s="144"/>
      <c r="E43" s="139"/>
      <c r="F43" s="105"/>
      <c r="G43" s="105"/>
      <c r="H43" s="105"/>
      <c r="I43" s="105"/>
      <c r="J43" s="143"/>
      <c r="K43" s="110"/>
    </row>
    <row r="44" spans="1:11" ht="15" customHeight="1">
      <c r="A44" s="103"/>
      <c r="B44" s="105" t="s">
        <v>384</v>
      </c>
      <c r="C44" s="140">
        <v>30</v>
      </c>
      <c r="D44" s="144"/>
      <c r="E44" s="139"/>
      <c r="F44" s="105"/>
      <c r="G44" s="105"/>
      <c r="H44" s="105"/>
      <c r="I44" s="105"/>
      <c r="J44" s="143"/>
      <c r="K44" s="110"/>
    </row>
    <row r="45" spans="1:11" ht="15" customHeight="1">
      <c r="A45" s="103"/>
      <c r="B45" s="102" t="s">
        <v>385</v>
      </c>
      <c r="C45" s="140">
        <v>31</v>
      </c>
      <c r="D45" s="21"/>
      <c r="E45" s="139"/>
      <c r="F45" s="105"/>
      <c r="G45" s="105"/>
      <c r="H45" s="105"/>
      <c r="I45" s="105"/>
      <c r="J45" s="143"/>
      <c r="K45" s="110"/>
    </row>
    <row r="46" spans="1:11" ht="15" customHeight="1">
      <c r="A46" s="103"/>
      <c r="B46" s="105" t="s">
        <v>236</v>
      </c>
      <c r="C46" s="140">
        <v>32</v>
      </c>
      <c r="D46" s="105"/>
      <c r="E46" s="145"/>
      <c r="F46" s="105"/>
      <c r="G46" s="105"/>
      <c r="H46" s="105"/>
      <c r="I46" s="105"/>
      <c r="J46" s="142"/>
      <c r="K46" s="110"/>
    </row>
    <row r="47" spans="1:11" ht="15" customHeight="1">
      <c r="A47" s="103"/>
      <c r="B47" s="102" t="s">
        <v>386</v>
      </c>
      <c r="C47" s="140">
        <v>33</v>
      </c>
      <c r="D47" s="105"/>
      <c r="E47" s="145"/>
      <c r="F47" s="105"/>
      <c r="G47" s="105"/>
      <c r="H47" s="105"/>
      <c r="I47" s="105"/>
      <c r="J47" s="142"/>
      <c r="K47" s="110"/>
    </row>
    <row r="48" spans="1:11" ht="15" customHeight="1">
      <c r="A48" s="103"/>
      <c r="B48" s="105" t="s">
        <v>387</v>
      </c>
      <c r="C48" s="140">
        <v>34</v>
      </c>
      <c r="D48" s="105"/>
      <c r="E48" s="145"/>
      <c r="F48" s="105"/>
      <c r="G48" s="105"/>
      <c r="H48" s="105"/>
      <c r="I48" s="105"/>
      <c r="J48" s="142"/>
      <c r="K48" s="110"/>
    </row>
    <row r="49" spans="1:11" ht="15" customHeight="1">
      <c r="A49" s="103"/>
      <c r="B49" s="105" t="s">
        <v>388</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146</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8" t="s">
        <v>72</v>
      </c>
      <c r="E13" s="532" t="s">
        <v>71</v>
      </c>
      <c r="F13" s="499" t="s">
        <v>113</v>
      </c>
      <c r="G13" s="500" t="s">
        <v>61</v>
      </c>
      <c r="H13" s="533" t="s">
        <v>114</v>
      </c>
      <c r="I13" s="102"/>
      <c r="K13" s="174"/>
      <c r="M13" s="214"/>
      <c r="N13" s="217"/>
      <c r="O13" s="215"/>
      <c r="P13" s="495"/>
      <c r="Q13" s="495"/>
    </row>
    <row r="14" spans="1:17" ht="13.5" customHeight="1">
      <c r="A14" s="180"/>
      <c r="B14" s="14"/>
      <c r="C14" s="13"/>
      <c r="D14" s="930" t="s">
        <v>952</v>
      </c>
      <c r="E14" s="580">
        <f>VLOOKUP(CONCATENATE("payment_",D14),Assets,3,0)</f>
        <v>453098788.29999822</v>
      </c>
      <c r="F14" s="581">
        <f>E14/$E$16</f>
        <v>0.94888377502811749</v>
      </c>
      <c r="G14" s="582">
        <f>VLOOKUP(CONCATENATE("payment_",D14),Assets,2,0)</f>
        <v>38132</v>
      </c>
      <c r="H14" s="583">
        <f>G14/$G$16</f>
        <v>0.95420649617136277</v>
      </c>
      <c r="I14" s="102"/>
      <c r="K14" s="174"/>
      <c r="M14" s="584"/>
      <c r="N14" s="585"/>
      <c r="O14" s="586"/>
      <c r="P14" s="587"/>
      <c r="Q14" s="586"/>
    </row>
    <row r="15" spans="1:17" ht="13" thickBot="1">
      <c r="A15" s="180"/>
      <c r="B15" s="14"/>
      <c r="C15" s="13"/>
      <c r="D15" s="931" t="s">
        <v>953</v>
      </c>
      <c r="E15" s="588">
        <f>VLOOKUP(CONCATENATE("payment_",D15),Assets,3,0)</f>
        <v>24408362.969999976</v>
      </c>
      <c r="F15" s="581">
        <f>E15/$E$16</f>
        <v>5.1116224971882541E-2</v>
      </c>
      <c r="G15" s="589">
        <f>VLOOKUP(CONCATENATE("payment_",D15),Assets,2,0)</f>
        <v>1830</v>
      </c>
      <c r="H15" s="590">
        <f>G15/$G$16</f>
        <v>4.5793503828637207E-2</v>
      </c>
      <c r="I15" s="102"/>
      <c r="K15" s="174"/>
      <c r="M15" s="584"/>
      <c r="N15" s="585"/>
      <c r="O15" s="586"/>
      <c r="P15" s="587"/>
      <c r="Q15" s="586"/>
    </row>
    <row r="16" spans="1:17" ht="14" thickTop="1" thickBot="1">
      <c r="A16" s="180"/>
      <c r="B16" s="14"/>
      <c r="C16" s="13"/>
      <c r="D16" s="591" t="s">
        <v>36</v>
      </c>
      <c r="E16" s="592">
        <f>SUM(E14:E15)</f>
        <v>477507151.26999819</v>
      </c>
      <c r="F16" s="593">
        <f>SUM(F14:F15)</f>
        <v>1</v>
      </c>
      <c r="G16" s="594">
        <f>SUM(G14:G15)</f>
        <v>39962</v>
      </c>
      <c r="H16" s="595">
        <f>SUM(H14:H15)</f>
        <v>1</v>
      </c>
      <c r="I16" s="102"/>
      <c r="K16" s="174"/>
      <c r="M16" s="596"/>
      <c r="N16" s="597"/>
      <c r="O16" s="598"/>
      <c r="P16" s="599"/>
      <c r="Q16" s="598"/>
    </row>
    <row r="17" spans="1:17">
      <c r="A17" s="180"/>
      <c r="B17" s="14"/>
      <c r="C17" s="13"/>
      <c r="D17" s="600"/>
      <c r="E17" s="600"/>
      <c r="F17" s="600"/>
      <c r="G17" s="600"/>
      <c r="H17" s="600"/>
      <c r="I17" s="102"/>
      <c r="K17" s="174"/>
      <c r="M17" s="200"/>
      <c r="N17" s="200"/>
      <c r="O17" s="200"/>
      <c r="P17" s="200"/>
      <c r="Q17" s="200"/>
    </row>
    <row r="18" spans="1:17">
      <c r="A18" s="180"/>
      <c r="B18" s="14"/>
      <c r="C18" s="13"/>
      <c r="D18" s="600"/>
      <c r="E18" s="233"/>
      <c r="F18" s="600"/>
      <c r="G18" s="601"/>
      <c r="H18" s="600"/>
      <c r="I18" s="102"/>
      <c r="K18" s="174"/>
      <c r="M18" s="200"/>
      <c r="N18" s="233"/>
      <c r="O18" s="200"/>
      <c r="P18" s="203"/>
      <c r="Q18" s="200"/>
    </row>
    <row r="19" spans="1:17" ht="13" thickBot="1">
      <c r="A19" s="180"/>
      <c r="B19" s="14"/>
      <c r="C19" s="13"/>
      <c r="D19" s="600"/>
      <c r="E19" s="600"/>
      <c r="F19" s="600"/>
      <c r="G19" s="600"/>
      <c r="H19" s="600"/>
      <c r="I19" s="105"/>
      <c r="K19" s="174"/>
      <c r="M19" s="200"/>
      <c r="N19" s="200"/>
      <c r="O19" s="200"/>
      <c r="P19" s="200"/>
      <c r="Q19" s="200"/>
    </row>
    <row r="20" spans="1:17" ht="29">
      <c r="A20" s="180"/>
      <c r="B20" s="14"/>
      <c r="C20" s="13"/>
      <c r="D20" s="498" t="s">
        <v>73</v>
      </c>
      <c r="E20" s="532" t="s">
        <v>71</v>
      </c>
      <c r="F20" s="499" t="s">
        <v>113</v>
      </c>
      <c r="G20" s="500" t="s">
        <v>61</v>
      </c>
      <c r="H20" s="533" t="s">
        <v>114</v>
      </c>
      <c r="I20" s="559"/>
      <c r="K20" s="174"/>
      <c r="M20" s="214"/>
      <c r="N20" s="217"/>
      <c r="O20" s="215"/>
      <c r="P20" s="495"/>
      <c r="Q20" s="495"/>
    </row>
    <row r="21" spans="1:17" ht="13.5" customHeight="1">
      <c r="A21" s="180"/>
      <c r="B21" s="14"/>
      <c r="C21" s="13"/>
      <c r="D21" s="932" t="s">
        <v>954</v>
      </c>
      <c r="E21" s="580">
        <f>VLOOKUP(CONCATENATE("payment_",D21),Assets,3,0)</f>
        <v>123554562.63999996</v>
      </c>
      <c r="F21" s="581">
        <f>E21/$E$23</f>
        <v>0.25874913561270974</v>
      </c>
      <c r="G21" s="582">
        <f>VLOOKUP(CONCATENATE("payment_",D21),Assets,2,0)</f>
        <v>10231</v>
      </c>
      <c r="H21" s="583">
        <f>G21/$G$23</f>
        <v>0.25601821730644114</v>
      </c>
      <c r="I21" s="21"/>
      <c r="K21" s="174"/>
      <c r="M21" s="584"/>
      <c r="N21" s="585"/>
      <c r="O21" s="586"/>
      <c r="P21" s="587"/>
      <c r="Q21" s="586"/>
    </row>
    <row r="22" spans="1:17" ht="13.5" customHeight="1" thickBot="1">
      <c r="A22" s="180"/>
      <c r="B22" s="14"/>
      <c r="C22" s="13"/>
      <c r="D22" s="933" t="s">
        <v>955</v>
      </c>
      <c r="E22" s="588">
        <f>VLOOKUP(CONCATENATE("payment_",D22),Assets,3,0)</f>
        <v>353952588.63000017</v>
      </c>
      <c r="F22" s="602">
        <f>E22/$E$23</f>
        <v>0.74125086438729038</v>
      </c>
      <c r="G22" s="589">
        <f>VLOOKUP(CONCATENATE("payment_",D22),Assets,2,0)</f>
        <v>29731</v>
      </c>
      <c r="H22" s="603">
        <f>G22/$G$23</f>
        <v>0.74398178269355886</v>
      </c>
      <c r="I22" s="560"/>
      <c r="K22" s="174"/>
      <c r="M22" s="584"/>
      <c r="N22" s="585"/>
      <c r="O22" s="586"/>
      <c r="P22" s="587"/>
      <c r="Q22" s="586"/>
    </row>
    <row r="23" spans="1:17" ht="14" thickTop="1" thickBot="1">
      <c r="A23" s="180"/>
      <c r="B23" s="14"/>
      <c r="C23" s="13"/>
      <c r="D23" s="604" t="s">
        <v>36</v>
      </c>
      <c r="E23" s="592">
        <f>SUM(E21:E22)</f>
        <v>477507151.2700001</v>
      </c>
      <c r="F23" s="593">
        <f>SUM(F21:F22)</f>
        <v>1</v>
      </c>
      <c r="G23" s="594">
        <f>SUM(G21:G22)</f>
        <v>39962</v>
      </c>
      <c r="H23" s="595">
        <f>SUM(H21:H22)</f>
        <v>1</v>
      </c>
      <c r="I23" s="21"/>
      <c r="K23" s="174"/>
      <c r="M23" s="596"/>
      <c r="N23" s="597"/>
      <c r="O23" s="598"/>
      <c r="P23" s="599"/>
      <c r="Q23" s="598"/>
    </row>
    <row r="24" spans="1:17" ht="13">
      <c r="A24" s="180"/>
      <c r="B24" s="14"/>
      <c r="C24" s="13"/>
      <c r="D24" s="605"/>
      <c r="E24" s="606"/>
      <c r="F24" s="607"/>
      <c r="G24" s="608"/>
      <c r="H24" s="607"/>
      <c r="I24" s="21"/>
      <c r="K24" s="174"/>
      <c r="M24" s="596"/>
      <c r="N24" s="597"/>
      <c r="O24" s="598"/>
      <c r="P24" s="599"/>
      <c r="Q24" s="598"/>
    </row>
    <row r="25" spans="1:17" ht="13">
      <c r="A25" s="180"/>
      <c r="B25" s="14"/>
      <c r="C25" s="13"/>
      <c r="D25" s="605"/>
      <c r="E25" s="606"/>
      <c r="F25" s="607"/>
      <c r="G25" s="608"/>
      <c r="H25" s="607"/>
      <c r="I25" s="21"/>
      <c r="K25" s="174"/>
      <c r="M25" s="596"/>
      <c r="N25" s="597"/>
      <c r="O25" s="598"/>
      <c r="P25" s="599"/>
      <c r="Q25" s="598"/>
    </row>
    <row r="26" spans="1:17" ht="13">
      <c r="A26" s="180"/>
      <c r="B26" s="14"/>
      <c r="C26" s="13"/>
      <c r="D26" s="605"/>
      <c r="E26" s="606"/>
      <c r="F26" s="607"/>
      <c r="G26" s="608"/>
      <c r="H26" s="607"/>
      <c r="I26" s="21"/>
      <c r="K26" s="174"/>
      <c r="M26" s="596"/>
      <c r="N26" s="597"/>
      <c r="O26" s="598"/>
      <c r="P26" s="599"/>
      <c r="Q26" s="598"/>
    </row>
    <row r="27" spans="1:17" ht="13">
      <c r="A27" s="180"/>
      <c r="B27" s="14"/>
      <c r="C27" s="13"/>
      <c r="D27" s="605"/>
      <c r="E27" s="606"/>
      <c r="F27" s="607"/>
      <c r="G27" s="608"/>
      <c r="H27" s="607"/>
      <c r="I27" s="21"/>
      <c r="K27" s="174"/>
      <c r="M27" s="596"/>
      <c r="N27" s="597"/>
      <c r="O27" s="598"/>
      <c r="P27" s="599"/>
      <c r="Q27" s="598"/>
    </row>
    <row r="28" spans="1:17" ht="13">
      <c r="A28" s="180"/>
      <c r="B28" s="14"/>
      <c r="C28" s="13"/>
      <c r="D28" s="605"/>
      <c r="E28" s="606"/>
      <c r="F28" s="607"/>
      <c r="G28" s="608"/>
      <c r="H28" s="607"/>
      <c r="I28" s="21"/>
      <c r="K28" s="174"/>
      <c r="M28" s="596"/>
      <c r="N28" s="597"/>
      <c r="O28" s="598"/>
      <c r="P28" s="599"/>
      <c r="Q28" s="598"/>
    </row>
    <row r="29" spans="1:17" ht="13">
      <c r="A29" s="180"/>
      <c r="B29" s="14"/>
      <c r="C29" s="13"/>
      <c r="D29" s="605"/>
      <c r="E29" s="606"/>
      <c r="F29" s="607"/>
      <c r="G29" s="608"/>
      <c r="H29" s="607"/>
      <c r="I29" s="21"/>
      <c r="K29" s="174"/>
      <c r="M29" s="596"/>
      <c r="N29" s="597"/>
      <c r="O29" s="598"/>
      <c r="P29" s="599"/>
      <c r="Q29" s="598"/>
    </row>
    <row r="30" spans="1:17" ht="13">
      <c r="A30" s="180"/>
      <c r="B30" s="14"/>
      <c r="C30" s="13"/>
      <c r="D30" s="605"/>
      <c r="E30" s="606"/>
      <c r="F30" s="607"/>
      <c r="G30" s="608"/>
      <c r="H30" s="607"/>
      <c r="I30" s="21"/>
      <c r="K30" s="174"/>
      <c r="M30" s="596"/>
      <c r="N30" s="597"/>
      <c r="O30" s="598"/>
      <c r="P30" s="599"/>
      <c r="Q30" s="598"/>
    </row>
    <row r="31" spans="1:17" ht="13">
      <c r="A31" s="180"/>
      <c r="B31" s="14"/>
      <c r="C31" s="13"/>
      <c r="D31" s="605"/>
      <c r="E31" s="606"/>
      <c r="F31" s="607"/>
      <c r="G31" s="608"/>
      <c r="H31" s="607"/>
      <c r="I31" s="21"/>
      <c r="K31" s="174"/>
      <c r="M31" s="596"/>
      <c r="N31" s="597"/>
      <c r="O31" s="598"/>
      <c r="P31" s="599"/>
      <c r="Q31" s="598"/>
    </row>
    <row r="32" spans="1:17" ht="13">
      <c r="A32" s="180"/>
      <c r="B32" s="14"/>
      <c r="C32" s="13"/>
      <c r="D32" s="605"/>
      <c r="E32" s="606"/>
      <c r="F32" s="607"/>
      <c r="G32" s="608"/>
      <c r="H32" s="607"/>
      <c r="I32" s="21"/>
      <c r="K32" s="174"/>
      <c r="M32" s="596"/>
      <c r="N32" s="597"/>
      <c r="O32" s="598"/>
      <c r="P32" s="599"/>
      <c r="Q32" s="598"/>
    </row>
    <row r="33" spans="1:17" ht="13">
      <c r="A33" s="180"/>
      <c r="B33" s="14"/>
      <c r="C33" s="13"/>
      <c r="D33" s="605"/>
      <c r="E33" s="606"/>
      <c r="F33" s="607"/>
      <c r="G33" s="608"/>
      <c r="H33" s="607"/>
      <c r="I33" s="21"/>
      <c r="K33" s="174"/>
      <c r="M33" s="596"/>
      <c r="N33" s="597"/>
      <c r="O33" s="598"/>
      <c r="P33" s="599"/>
      <c r="Q33" s="598"/>
    </row>
    <row r="34" spans="1:17" ht="13">
      <c r="A34" s="180"/>
      <c r="B34" s="14"/>
      <c r="C34" s="13"/>
      <c r="D34" s="605"/>
      <c r="E34" s="606"/>
      <c r="F34" s="607"/>
      <c r="G34" s="608"/>
      <c r="H34" s="607"/>
      <c r="I34" s="21"/>
      <c r="K34" s="174"/>
      <c r="M34" s="596"/>
      <c r="N34" s="597"/>
      <c r="O34" s="598"/>
      <c r="P34" s="599"/>
      <c r="Q34" s="598"/>
    </row>
    <row r="35" spans="1:17" ht="13">
      <c r="A35" s="180"/>
      <c r="B35" s="14"/>
      <c r="C35" s="13"/>
      <c r="D35" s="605"/>
      <c r="E35" s="606"/>
      <c r="F35" s="607"/>
      <c r="G35" s="608"/>
      <c r="H35" s="607"/>
      <c r="I35" s="21"/>
      <c r="K35" s="174"/>
      <c r="M35" s="596"/>
      <c r="N35" s="597"/>
      <c r="O35" s="598"/>
      <c r="P35" s="599"/>
      <c r="Q35" s="598"/>
    </row>
    <row r="36" spans="1:17" ht="13">
      <c r="A36" s="180"/>
      <c r="B36" s="14"/>
      <c r="C36" s="13"/>
      <c r="D36" s="605"/>
      <c r="E36" s="606"/>
      <c r="F36" s="607"/>
      <c r="G36" s="608"/>
      <c r="H36" s="607"/>
      <c r="I36" s="21"/>
      <c r="K36" s="174"/>
      <c r="M36" s="596"/>
      <c r="N36" s="597"/>
      <c r="O36" s="598"/>
      <c r="P36" s="599"/>
      <c r="Q36" s="598"/>
    </row>
    <row r="37" spans="1:17" ht="13">
      <c r="A37" s="180"/>
      <c r="B37" s="14"/>
      <c r="C37" s="13"/>
      <c r="D37" s="605"/>
      <c r="E37" s="606"/>
      <c r="F37" s="607"/>
      <c r="G37" s="608"/>
      <c r="H37" s="607"/>
      <c r="I37" s="21"/>
      <c r="K37" s="174"/>
      <c r="M37" s="596"/>
      <c r="N37" s="597"/>
      <c r="O37" s="598"/>
      <c r="P37" s="599"/>
      <c r="Q37" s="598"/>
    </row>
    <row r="38" spans="1:17" ht="13">
      <c r="A38" s="180"/>
      <c r="B38" s="14"/>
      <c r="C38" s="13"/>
      <c r="D38" s="605"/>
      <c r="E38" s="606"/>
      <c r="F38" s="607"/>
      <c r="G38" s="608"/>
      <c r="H38" s="607"/>
      <c r="I38" s="21"/>
      <c r="K38" s="174"/>
      <c r="M38" s="596"/>
      <c r="N38" s="597"/>
      <c r="O38" s="598"/>
      <c r="P38" s="599"/>
      <c r="Q38" s="598"/>
    </row>
    <row r="39" spans="1:17" ht="13">
      <c r="A39" s="180"/>
      <c r="B39" s="14"/>
      <c r="C39" s="13"/>
      <c r="D39" s="605"/>
      <c r="E39" s="609"/>
      <c r="F39" s="609"/>
      <c r="G39" s="59"/>
      <c r="H39" s="59"/>
      <c r="I39" s="102"/>
      <c r="J39" s="21"/>
      <c r="K39" s="174"/>
      <c r="M39" s="596"/>
      <c r="N39" s="609"/>
      <c r="O39" s="609"/>
      <c r="P39" s="37"/>
      <c r="Q39" s="37"/>
    </row>
    <row r="40" spans="1:17" ht="13">
      <c r="A40" s="180"/>
      <c r="B40" s="14"/>
      <c r="C40" s="13"/>
      <c r="D40" s="605"/>
      <c r="E40" s="609"/>
      <c r="F40" s="609"/>
      <c r="G40" s="59"/>
      <c r="H40" s="59"/>
      <c r="I40" s="102"/>
      <c r="J40" s="21"/>
      <c r="K40" s="174"/>
      <c r="M40" s="596"/>
      <c r="N40" s="609"/>
      <c r="O40" s="609"/>
      <c r="P40" s="37"/>
      <c r="Q40" s="37"/>
    </row>
    <row r="41" spans="1:17" ht="13">
      <c r="A41" s="180"/>
      <c r="B41" s="14"/>
      <c r="C41" s="13"/>
      <c r="D41" s="605"/>
      <c r="E41" s="609"/>
      <c r="F41" s="609"/>
      <c r="G41" s="59"/>
      <c r="H41" s="59"/>
      <c r="I41" s="102"/>
      <c r="J41" s="21"/>
      <c r="K41" s="174"/>
      <c r="M41" s="596"/>
      <c r="N41" s="609"/>
      <c r="O41" s="609"/>
      <c r="P41" s="37"/>
      <c r="Q41" s="37"/>
    </row>
    <row r="42" spans="1:17" ht="13">
      <c r="A42" s="180"/>
      <c r="B42" s="14"/>
      <c r="C42" s="13"/>
      <c r="D42" s="605"/>
      <c r="E42" s="609"/>
      <c r="F42" s="609"/>
      <c r="G42" s="59"/>
      <c r="H42" s="59"/>
      <c r="I42" s="102"/>
      <c r="J42" s="21"/>
      <c r="K42" s="174"/>
      <c r="M42" s="596"/>
      <c r="N42" s="609"/>
      <c r="O42" s="609"/>
      <c r="P42" s="37"/>
      <c r="Q42" s="37"/>
    </row>
    <row r="43" spans="1:17" ht="13">
      <c r="A43" s="180"/>
      <c r="B43" s="14"/>
      <c r="C43" s="13"/>
      <c r="D43" s="605"/>
      <c r="E43" s="609"/>
      <c r="F43" s="609"/>
      <c r="G43" s="59"/>
      <c r="H43" s="59"/>
      <c r="I43" s="102"/>
      <c r="J43" s="21"/>
      <c r="K43" s="174"/>
      <c r="M43" s="596"/>
      <c r="N43" s="609"/>
      <c r="O43" s="609"/>
      <c r="P43" s="37"/>
      <c r="Q43" s="37"/>
    </row>
    <row r="44" spans="1:17" ht="13">
      <c r="A44" s="180"/>
      <c r="B44" s="14"/>
      <c r="C44" s="13"/>
      <c r="D44" s="605"/>
      <c r="E44" s="609"/>
      <c r="F44" s="609"/>
      <c r="G44" s="59"/>
      <c r="H44" s="59"/>
      <c r="I44" s="102"/>
      <c r="J44" s="21"/>
      <c r="K44" s="174"/>
      <c r="M44" s="596"/>
      <c r="N44" s="609"/>
      <c r="O44" s="609"/>
      <c r="P44" s="37"/>
      <c r="Q44" s="37"/>
    </row>
    <row r="45" spans="1:17" ht="13">
      <c r="A45" s="180"/>
      <c r="B45" s="14"/>
      <c r="C45" s="13"/>
      <c r="D45" s="605"/>
      <c r="E45" s="609"/>
      <c r="F45" s="609"/>
      <c r="G45" s="59"/>
      <c r="H45" s="59"/>
      <c r="I45" s="102"/>
      <c r="J45" s="21"/>
      <c r="K45" s="174"/>
      <c r="M45" s="596"/>
      <c r="N45" s="609"/>
      <c r="O45" s="609"/>
      <c r="P45" s="37"/>
      <c r="Q45" s="37"/>
    </row>
    <row r="46" spans="1:17" ht="13">
      <c r="A46" s="180"/>
      <c r="B46" s="14"/>
      <c r="C46" s="13"/>
      <c r="D46" s="605"/>
      <c r="E46" s="609"/>
      <c r="F46" s="609"/>
      <c r="G46" s="59"/>
      <c r="H46" s="59"/>
      <c r="I46" s="102"/>
      <c r="J46" s="21"/>
      <c r="K46" s="174"/>
      <c r="M46" s="596"/>
      <c r="N46" s="609"/>
      <c r="O46" s="609"/>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203</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8" t="s">
        <v>631</v>
      </c>
      <c r="E13" s="532" t="s">
        <v>71</v>
      </c>
      <c r="F13" s="499" t="s">
        <v>113</v>
      </c>
      <c r="G13" s="500" t="s">
        <v>61</v>
      </c>
      <c r="H13" s="533" t="s">
        <v>114</v>
      </c>
      <c r="I13" s="21"/>
      <c r="J13" s="21"/>
      <c r="K13" s="174"/>
      <c r="M13" s="214"/>
      <c r="N13" s="217"/>
      <c r="O13" s="215"/>
      <c r="P13" s="495"/>
      <c r="Q13" s="495"/>
    </row>
    <row r="14" spans="1:17">
      <c r="A14" s="180"/>
      <c r="B14" s="14"/>
      <c r="C14" s="13"/>
      <c r="D14" s="934" t="s">
        <v>956</v>
      </c>
      <c r="E14" s="551">
        <f t="shared" ref="E14:E27" si="0">VLOOKUP(CONCATENATE("interest_",D14),Assets,3,0)</f>
        <v>81419.749999999985</v>
      </c>
      <c r="F14" s="552">
        <f>E14/$E$28</f>
        <v>1.705100118049591E-4</v>
      </c>
      <c r="G14" s="553">
        <f t="shared" ref="G14:G27" si="1">VLOOKUP(CONCATENATE("interest_",D14),Assets,2,0)</f>
        <v>116</v>
      </c>
      <c r="H14" s="554">
        <f>G14/$G$28</f>
        <v>2.9027576197387518E-3</v>
      </c>
      <c r="I14" s="21"/>
      <c r="J14" s="21"/>
      <c r="K14" s="174"/>
      <c r="M14" s="555"/>
      <c r="N14" s="556"/>
      <c r="O14" s="557"/>
      <c r="P14" s="558"/>
      <c r="Q14" s="557"/>
    </row>
    <row r="15" spans="1:17">
      <c r="A15" s="180"/>
      <c r="B15" s="14"/>
      <c r="C15" s="13"/>
      <c r="D15" s="934" t="s">
        <v>957</v>
      </c>
      <c r="E15" s="551">
        <f t="shared" si="0"/>
        <v>4947915.8699999936</v>
      </c>
      <c r="F15" s="552">
        <f t="shared" ref="F15:F27" si="2">E15/$E$28</f>
        <v>1.036197229055166E-2</v>
      </c>
      <c r="G15" s="553">
        <f t="shared" si="1"/>
        <v>799</v>
      </c>
      <c r="H15" s="554">
        <f t="shared" ref="H15:H27" si="3">G15/$G$28</f>
        <v>1.9993994294579851E-2</v>
      </c>
      <c r="I15" s="21"/>
      <c r="J15" s="21"/>
      <c r="K15" s="174"/>
      <c r="M15" s="555"/>
      <c r="N15" s="556"/>
      <c r="O15" s="557"/>
      <c r="P15" s="558"/>
      <c r="Q15" s="557"/>
    </row>
    <row r="16" spans="1:17">
      <c r="A16" s="180"/>
      <c r="B16" s="14"/>
      <c r="C16" s="13"/>
      <c r="D16" s="934" t="s">
        <v>958</v>
      </c>
      <c r="E16" s="551">
        <f t="shared" si="0"/>
        <v>83243662.459999725</v>
      </c>
      <c r="F16" s="552">
        <f t="shared" si="2"/>
        <v>0.17432966655808432</v>
      </c>
      <c r="G16" s="553">
        <f t="shared" si="1"/>
        <v>7687</v>
      </c>
      <c r="H16" s="554">
        <f t="shared" si="3"/>
        <v>0.19235773985286023</v>
      </c>
      <c r="I16" s="21"/>
      <c r="J16" s="21"/>
      <c r="K16" s="174"/>
      <c r="M16" s="555"/>
      <c r="N16" s="556"/>
      <c r="O16" s="557"/>
      <c r="P16" s="558"/>
      <c r="Q16" s="557"/>
    </row>
    <row r="17" spans="1:17">
      <c r="A17" s="180"/>
      <c r="B17" s="14"/>
      <c r="C17" s="13"/>
      <c r="D17" s="934" t="s">
        <v>959</v>
      </c>
      <c r="E17" s="551">
        <f t="shared" si="0"/>
        <v>57423263.369999997</v>
      </c>
      <c r="F17" s="552">
        <f t="shared" si="2"/>
        <v>0.12025634216634142</v>
      </c>
      <c r="G17" s="553">
        <f t="shared" si="1"/>
        <v>5046</v>
      </c>
      <c r="H17" s="554">
        <f t="shared" si="3"/>
        <v>0.1262699564586357</v>
      </c>
      <c r="I17" s="21"/>
      <c r="J17" s="21"/>
      <c r="K17" s="174"/>
      <c r="M17" s="555"/>
      <c r="N17" s="556"/>
      <c r="O17" s="557"/>
      <c r="P17" s="558"/>
      <c r="Q17" s="557"/>
    </row>
    <row r="18" spans="1:17">
      <c r="A18" s="180"/>
      <c r="B18" s="14"/>
      <c r="C18" s="13"/>
      <c r="D18" s="934" t="s">
        <v>960</v>
      </c>
      <c r="E18" s="551">
        <f t="shared" si="0"/>
        <v>54910440.389999993</v>
      </c>
      <c r="F18" s="552">
        <f t="shared" si="2"/>
        <v>0.11499396447562665</v>
      </c>
      <c r="G18" s="553">
        <f t="shared" si="1"/>
        <v>4650</v>
      </c>
      <c r="H18" s="554">
        <f t="shared" si="3"/>
        <v>0.11636054251538962</v>
      </c>
      <c r="I18" s="21"/>
      <c r="J18" s="21"/>
      <c r="K18" s="174"/>
      <c r="M18" s="555"/>
      <c r="N18" s="556"/>
      <c r="O18" s="557"/>
      <c r="P18" s="558"/>
      <c r="Q18" s="557"/>
    </row>
    <row r="19" spans="1:17">
      <c r="A19" s="180"/>
      <c r="B19" s="14"/>
      <c r="C19" s="13"/>
      <c r="D19" s="934" t="s">
        <v>961</v>
      </c>
      <c r="E19" s="551">
        <f t="shared" si="0"/>
        <v>62591144.329999946</v>
      </c>
      <c r="F19" s="552">
        <f t="shared" si="2"/>
        <v>0.1310789674322777</v>
      </c>
      <c r="G19" s="553">
        <f t="shared" si="1"/>
        <v>4806</v>
      </c>
      <c r="H19" s="554">
        <f t="shared" si="3"/>
        <v>0.12026425103848656</v>
      </c>
      <c r="I19" s="21"/>
      <c r="J19" s="21"/>
      <c r="K19" s="174"/>
      <c r="M19" s="555"/>
      <c r="N19" s="556"/>
      <c r="O19" s="557"/>
      <c r="P19" s="558"/>
      <c r="Q19" s="557"/>
    </row>
    <row r="20" spans="1:17">
      <c r="A20" s="180"/>
      <c r="B20" s="14"/>
      <c r="C20" s="13"/>
      <c r="D20" s="934" t="s">
        <v>962</v>
      </c>
      <c r="E20" s="551">
        <f t="shared" si="0"/>
        <v>92141831.57999967</v>
      </c>
      <c r="F20" s="552">
        <f t="shared" si="2"/>
        <v>0.19296429662872092</v>
      </c>
      <c r="G20" s="553">
        <f t="shared" si="1"/>
        <v>7018</v>
      </c>
      <c r="H20" s="554">
        <f t="shared" si="3"/>
        <v>0.17561683599419448</v>
      </c>
      <c r="I20" s="21"/>
      <c r="J20" s="21"/>
      <c r="K20" s="174"/>
      <c r="M20" s="555"/>
      <c r="N20" s="556"/>
      <c r="O20" s="557"/>
      <c r="P20" s="558"/>
      <c r="Q20" s="557"/>
    </row>
    <row r="21" spans="1:17">
      <c r="A21" s="180"/>
      <c r="B21" s="14"/>
      <c r="C21" s="13"/>
      <c r="D21" s="934" t="s">
        <v>963</v>
      </c>
      <c r="E21" s="551">
        <f t="shared" si="0"/>
        <v>71120139.52000007</v>
      </c>
      <c r="F21" s="552">
        <f t="shared" si="2"/>
        <v>0.14894046996122626</v>
      </c>
      <c r="G21" s="553">
        <f t="shared" si="1"/>
        <v>5466</v>
      </c>
      <c r="H21" s="554">
        <f t="shared" si="3"/>
        <v>0.1367799409438967</v>
      </c>
      <c r="I21" s="559"/>
      <c r="J21" s="21"/>
      <c r="K21" s="174"/>
      <c r="M21" s="555"/>
      <c r="N21" s="556"/>
      <c r="O21" s="557"/>
      <c r="P21" s="558"/>
      <c r="Q21" s="557"/>
    </row>
    <row r="22" spans="1:17">
      <c r="A22" s="180"/>
      <c r="B22" s="14"/>
      <c r="C22" s="13"/>
      <c r="D22" s="934" t="s">
        <v>964</v>
      </c>
      <c r="E22" s="551">
        <f t="shared" si="0"/>
        <v>34131652.519999959</v>
      </c>
      <c r="F22" s="552">
        <f t="shared" si="2"/>
        <v>7.1478830064056392E-2</v>
      </c>
      <c r="G22" s="553">
        <f t="shared" si="1"/>
        <v>2655</v>
      </c>
      <c r="H22" s="554">
        <f t="shared" si="3"/>
        <v>6.6438116210399883E-2</v>
      </c>
      <c r="I22" s="21"/>
      <c r="J22" s="21"/>
      <c r="K22" s="174"/>
      <c r="M22" s="555"/>
      <c r="N22" s="556"/>
      <c r="O22" s="557"/>
      <c r="P22" s="558"/>
      <c r="Q22" s="557"/>
    </row>
    <row r="23" spans="1:17">
      <c r="A23" s="180"/>
      <c r="B23" s="14"/>
      <c r="C23" s="13"/>
      <c r="D23" s="934" t="s">
        <v>965</v>
      </c>
      <c r="E23" s="551">
        <f t="shared" si="0"/>
        <v>11994252.319999991</v>
      </c>
      <c r="F23" s="552">
        <f t="shared" si="2"/>
        <v>2.5118476839769921E-2</v>
      </c>
      <c r="G23" s="553">
        <f t="shared" si="1"/>
        <v>1173</v>
      </c>
      <c r="H23" s="554">
        <f t="shared" si="3"/>
        <v>2.935288524097893E-2</v>
      </c>
      <c r="I23" s="21"/>
      <c r="J23" s="21"/>
      <c r="K23" s="174"/>
      <c r="M23" s="555"/>
      <c r="N23" s="556"/>
      <c r="O23" s="557"/>
      <c r="P23" s="558"/>
      <c r="Q23" s="557"/>
    </row>
    <row r="24" spans="1:17" ht="12.75" customHeight="1">
      <c r="A24" s="180"/>
      <c r="B24" s="14"/>
      <c r="C24" s="13"/>
      <c r="D24" s="935" t="s">
        <v>966</v>
      </c>
      <c r="E24" s="551">
        <f t="shared" si="0"/>
        <v>3469337.4399999981</v>
      </c>
      <c r="F24" s="552">
        <f t="shared" si="2"/>
        <v>7.2655193346796857E-3</v>
      </c>
      <c r="G24" s="553">
        <f t="shared" si="1"/>
        <v>364</v>
      </c>
      <c r="H24" s="554">
        <f t="shared" si="3"/>
        <v>9.108653220559532E-3</v>
      </c>
      <c r="I24" s="560"/>
      <c r="J24" s="21"/>
      <c r="K24" s="174"/>
      <c r="M24" s="561"/>
      <c r="N24" s="556"/>
      <c r="O24" s="557"/>
      <c r="P24" s="558"/>
      <c r="Q24" s="557"/>
    </row>
    <row r="25" spans="1:17">
      <c r="A25" s="180"/>
      <c r="B25" s="14"/>
      <c r="C25" s="13"/>
      <c r="D25" s="935" t="s">
        <v>967</v>
      </c>
      <c r="E25" s="551">
        <f t="shared" si="0"/>
        <v>1059991.2100000002</v>
      </c>
      <c r="F25" s="552">
        <f t="shared" si="2"/>
        <v>2.2198436341336462E-3</v>
      </c>
      <c r="G25" s="553">
        <f t="shared" si="1"/>
        <v>118</v>
      </c>
      <c r="H25" s="554">
        <f t="shared" si="3"/>
        <v>2.9528051649066614E-3</v>
      </c>
      <c r="I25" s="21"/>
      <c r="J25" s="21"/>
      <c r="K25" s="174"/>
      <c r="M25" s="561"/>
      <c r="N25" s="556"/>
      <c r="O25" s="557"/>
      <c r="P25" s="558"/>
      <c r="Q25" s="557"/>
    </row>
    <row r="26" spans="1:17">
      <c r="A26" s="180"/>
      <c r="B26" s="14"/>
      <c r="C26" s="13"/>
      <c r="D26" s="935" t="s">
        <v>968</v>
      </c>
      <c r="E26" s="551">
        <f t="shared" si="0"/>
        <v>328421.22000000003</v>
      </c>
      <c r="F26" s="552">
        <f t="shared" si="2"/>
        <v>6.8778283032309832E-4</v>
      </c>
      <c r="G26" s="553">
        <f t="shared" si="1"/>
        <v>49</v>
      </c>
      <c r="H26" s="554">
        <f t="shared" si="3"/>
        <v>1.226164856613783E-3</v>
      </c>
      <c r="I26" s="21"/>
      <c r="J26" s="21"/>
      <c r="K26" s="174"/>
      <c r="M26" s="561"/>
      <c r="N26" s="556"/>
      <c r="O26" s="557"/>
      <c r="P26" s="558"/>
      <c r="Q26" s="557"/>
    </row>
    <row r="27" spans="1:17" ht="13" thickBot="1">
      <c r="A27" s="180"/>
      <c r="B27" s="14"/>
      <c r="C27" s="13"/>
      <c r="D27" s="957" t="s">
        <v>1019</v>
      </c>
      <c r="E27" s="551">
        <f t="shared" si="0"/>
        <v>63679.29</v>
      </c>
      <c r="F27" s="552">
        <f t="shared" si="2"/>
        <v>1.3335777240327336E-4</v>
      </c>
      <c r="G27" s="553">
        <f t="shared" si="1"/>
        <v>15</v>
      </c>
      <c r="H27" s="554">
        <f t="shared" si="3"/>
        <v>3.7535658875932138E-4</v>
      </c>
      <c r="I27" s="21"/>
      <c r="J27" s="21"/>
      <c r="K27" s="174"/>
      <c r="M27" s="561"/>
      <c r="N27" s="556"/>
      <c r="O27" s="557"/>
      <c r="P27" s="558"/>
      <c r="Q27" s="557"/>
    </row>
    <row r="28" spans="1:17" ht="14" thickTop="1" thickBot="1">
      <c r="A28" s="180"/>
      <c r="B28" s="14"/>
      <c r="C28" s="13"/>
      <c r="D28" s="527" t="s">
        <v>36</v>
      </c>
      <c r="E28" s="488">
        <f>SUM(E14:E27)</f>
        <v>477507151.26999938</v>
      </c>
      <c r="F28" s="562">
        <f>SUM(F14:F27)</f>
        <v>1</v>
      </c>
      <c r="G28" s="563">
        <f>SUM(G14:G27)</f>
        <v>39962</v>
      </c>
      <c r="H28" s="564">
        <f>SUM(H14:H27)</f>
        <v>1</v>
      </c>
      <c r="I28" s="21"/>
      <c r="J28" s="21"/>
      <c r="K28" s="174"/>
      <c r="M28" s="37"/>
      <c r="N28" s="509"/>
      <c r="O28" s="565"/>
      <c r="P28" s="566"/>
      <c r="Q28" s="565"/>
    </row>
    <row r="29" spans="1:17">
      <c r="A29" s="180"/>
      <c r="B29" s="14"/>
      <c r="C29" s="13"/>
      <c r="D29" s="102"/>
      <c r="E29" s="567"/>
      <c r="F29" s="102"/>
      <c r="G29" s="102"/>
      <c r="H29" s="102"/>
      <c r="I29" s="21"/>
      <c r="J29" s="173"/>
      <c r="K29" s="174"/>
      <c r="N29" s="210"/>
    </row>
    <row r="30" spans="1:17">
      <c r="A30" s="180"/>
      <c r="B30" s="14"/>
      <c r="C30" s="13"/>
      <c r="E30" s="233"/>
      <c r="F30" s="102"/>
      <c r="G30" s="568"/>
      <c r="H30" s="102"/>
      <c r="I30" s="21"/>
      <c r="J30" s="173"/>
      <c r="K30" s="174"/>
      <c r="N30" s="233"/>
      <c r="P30" s="569"/>
    </row>
    <row r="31" spans="1:17" ht="13.5" thickBot="1">
      <c r="A31" s="180"/>
      <c r="B31" s="14"/>
      <c r="C31" s="13"/>
      <c r="D31" s="570" t="s">
        <v>69</v>
      </c>
      <c r="E31" s="570" t="s">
        <v>8</v>
      </c>
      <c r="F31" s="102"/>
      <c r="G31" s="102"/>
      <c r="H31" s="102"/>
      <c r="I31" s="21"/>
      <c r="J31" s="173"/>
      <c r="K31" s="174"/>
      <c r="M31" s="508"/>
      <c r="N31" s="508"/>
    </row>
    <row r="32" spans="1:17" ht="13" thickBot="1">
      <c r="A32" s="180"/>
      <c r="B32" s="14"/>
      <c r="C32" s="13"/>
      <c r="D32" s="515" t="s">
        <v>64</v>
      </c>
      <c r="E32" s="571">
        <f>VLOOKUP(CONCATENATE("interest_",D32),Assets,3,0)</f>
        <v>5.7270936189924536E-2</v>
      </c>
      <c r="F32" s="102"/>
      <c r="G32" s="572"/>
      <c r="H32" s="572"/>
      <c r="I32" s="21"/>
      <c r="J32" s="173"/>
      <c r="K32" s="174"/>
      <c r="M32" s="573"/>
      <c r="N32" s="574"/>
      <c r="P32" s="572"/>
      <c r="Q32" s="572"/>
    </row>
    <row r="33" spans="1:17">
      <c r="A33" s="180"/>
      <c r="B33" s="14"/>
      <c r="C33" s="13"/>
      <c r="D33" s="575"/>
      <c r="E33" s="574"/>
      <c r="F33" s="102"/>
      <c r="G33" s="576"/>
      <c r="H33" s="576"/>
      <c r="I33" s="21"/>
      <c r="J33" s="173"/>
      <c r="K33" s="174"/>
      <c r="M33" s="575"/>
      <c r="N33" s="574"/>
      <c r="P33" s="576"/>
      <c r="Q33" s="576"/>
    </row>
    <row r="34" spans="1:17" ht="14.5">
      <c r="A34" s="180"/>
      <c r="B34" s="14"/>
      <c r="C34" s="13"/>
      <c r="D34" s="550" t="s">
        <v>630</v>
      </c>
      <c r="E34" s="574"/>
      <c r="F34" s="102"/>
      <c r="G34" s="102"/>
      <c r="H34" s="102"/>
      <c r="I34" s="21"/>
      <c r="J34" s="173"/>
      <c r="K34" s="174"/>
      <c r="M34" s="164"/>
      <c r="N34" s="574"/>
    </row>
    <row r="35" spans="1:17">
      <c r="A35" s="180"/>
      <c r="B35" s="14"/>
      <c r="C35" s="13"/>
      <c r="D35" s="164"/>
      <c r="E35" s="577"/>
      <c r="F35" s="102"/>
      <c r="G35" s="102"/>
      <c r="H35" s="102"/>
      <c r="I35" s="21"/>
      <c r="J35" s="173"/>
      <c r="K35" s="174"/>
      <c r="M35" s="164"/>
      <c r="N35" s="574"/>
    </row>
    <row r="36" spans="1:17">
      <c r="A36" s="180"/>
      <c r="B36" s="14"/>
      <c r="C36" s="13"/>
      <c r="D36" s="164"/>
      <c r="E36" s="577"/>
      <c r="F36" s="102"/>
      <c r="G36" s="102"/>
      <c r="H36" s="102"/>
      <c r="I36" s="21"/>
      <c r="J36" s="173"/>
      <c r="K36" s="174"/>
      <c r="M36" s="164"/>
      <c r="N36" s="574"/>
    </row>
    <row r="37" spans="1:17">
      <c r="A37" s="180"/>
      <c r="B37" s="14"/>
      <c r="C37" s="13"/>
      <c r="D37" s="21"/>
      <c r="E37" s="21"/>
      <c r="F37" s="21"/>
      <c r="G37" s="21"/>
      <c r="H37" s="21"/>
      <c r="I37" s="21"/>
      <c r="J37" s="173"/>
      <c r="K37" s="174"/>
    </row>
    <row r="38" spans="1:17" ht="12" customHeight="1">
      <c r="A38" s="180"/>
      <c r="B38" s="14"/>
      <c r="C38" s="13"/>
      <c r="D38" s="578"/>
      <c r="E38" s="21"/>
      <c r="F38" s="21"/>
      <c r="G38" s="21"/>
      <c r="H38" s="21"/>
      <c r="I38" s="21"/>
      <c r="J38" s="21"/>
      <c r="K38" s="174"/>
      <c r="M38" s="578"/>
    </row>
    <row r="39" spans="1:17">
      <c r="A39" s="180"/>
      <c r="B39" s="14"/>
      <c r="C39" s="13"/>
      <c r="D39" s="21"/>
      <c r="E39" s="21"/>
      <c r="F39" s="21"/>
      <c r="G39" s="21"/>
      <c r="H39" s="21"/>
      <c r="I39" s="173"/>
      <c r="J39" s="21"/>
      <c r="K39" s="174"/>
    </row>
    <row r="40" spans="1:17" ht="14.5">
      <c r="A40" s="180"/>
      <c r="B40" s="14"/>
      <c r="C40" s="13"/>
      <c r="D40" s="214"/>
      <c r="E40" s="217"/>
      <c r="F40" s="215"/>
      <c r="G40" s="495"/>
      <c r="H40" s="495"/>
      <c r="I40" s="173"/>
      <c r="J40" s="21"/>
      <c r="K40" s="174"/>
      <c r="L40" s="21"/>
      <c r="M40" s="214"/>
      <c r="N40" s="217"/>
      <c r="O40" s="215"/>
      <c r="P40" s="495"/>
      <c r="Q40" s="495"/>
    </row>
    <row r="41" spans="1:17" s="21" customFormat="1">
      <c r="A41" s="180"/>
      <c r="B41" s="14"/>
      <c r="C41" s="13"/>
      <c r="D41" s="579"/>
      <c r="E41" s="556"/>
      <c r="F41" s="557"/>
      <c r="G41" s="558"/>
      <c r="H41" s="557"/>
      <c r="I41" s="173"/>
      <c r="K41" s="174"/>
      <c r="M41" s="579"/>
      <c r="N41" s="556"/>
      <c r="O41" s="557"/>
      <c r="P41" s="558"/>
      <c r="Q41" s="557"/>
    </row>
    <row r="42" spans="1:17" s="21" customFormat="1">
      <c r="A42" s="180"/>
      <c r="B42" s="14"/>
      <c r="C42" s="13"/>
      <c r="D42" s="579"/>
      <c r="E42" s="556"/>
      <c r="F42" s="557"/>
      <c r="G42" s="558"/>
      <c r="H42" s="557"/>
      <c r="I42" s="173"/>
      <c r="K42" s="174"/>
      <c r="M42" s="579"/>
      <c r="N42" s="556"/>
      <c r="O42" s="557"/>
      <c r="P42" s="558"/>
      <c r="Q42" s="557"/>
    </row>
    <row r="43" spans="1:17" s="105" customFormat="1" ht="15" customHeight="1">
      <c r="A43" s="103"/>
      <c r="B43" s="14"/>
      <c r="C43" s="13"/>
      <c r="D43" s="37"/>
      <c r="E43" s="509"/>
      <c r="F43" s="565"/>
      <c r="G43" s="566"/>
      <c r="H43" s="565"/>
      <c r="I43" s="173"/>
      <c r="K43" s="110"/>
      <c r="M43" s="37"/>
      <c r="N43" s="509"/>
      <c r="O43" s="565"/>
      <c r="P43" s="566"/>
      <c r="Q43" s="565"/>
    </row>
    <row r="44" spans="1:17" s="105" customFormat="1">
      <c r="A44" s="103"/>
      <c r="B44" s="14"/>
      <c r="C44" s="13"/>
      <c r="D44" s="197"/>
      <c r="E44" s="13"/>
      <c r="F44" s="198"/>
      <c r="G44" s="199"/>
      <c r="H44" s="198"/>
      <c r="I44" s="173"/>
      <c r="K44" s="110"/>
      <c r="M44" s="197"/>
      <c r="N44" s="13"/>
      <c r="O44" s="198"/>
      <c r="P44" s="199"/>
      <c r="Q44" s="198"/>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21" customFormat="1">
      <c r="A47" s="195"/>
      <c r="B47" s="29"/>
      <c r="C47" s="11"/>
      <c r="D47" s="349"/>
      <c r="E47" s="11"/>
      <c r="F47" s="316"/>
      <c r="G47" s="350"/>
      <c r="H47" s="316"/>
      <c r="I47" s="390"/>
      <c r="J47" s="50"/>
      <c r="K47" s="196"/>
      <c r="M47" s="197"/>
      <c r="N47" s="13"/>
      <c r="O47" s="198"/>
      <c r="P47" s="199"/>
      <c r="Q47" s="198"/>
    </row>
    <row r="48" spans="1:17" s="21" customFormat="1">
      <c r="B48" s="14"/>
      <c r="C48" s="13"/>
      <c r="D48" s="197"/>
      <c r="E48" s="13"/>
      <c r="F48" s="198"/>
      <c r="G48" s="199"/>
      <c r="H48" s="198"/>
      <c r="I48" s="173"/>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200"/>
      <c r="E75" s="201"/>
      <c r="F75" s="232"/>
      <c r="G75" s="203"/>
      <c r="H75" s="232"/>
      <c r="I75" s="173"/>
      <c r="M75" s="200"/>
      <c r="N75" s="201"/>
      <c r="O75" s="232"/>
      <c r="P75" s="203"/>
      <c r="Q75" s="232"/>
    </row>
    <row r="76" spans="2:17" s="21" customFormat="1">
      <c r="B76" s="14"/>
      <c r="C76" s="13"/>
      <c r="D76" s="200"/>
      <c r="E76" s="200"/>
      <c r="F76" s="200"/>
      <c r="G76" s="200"/>
      <c r="H76" s="200"/>
      <c r="I76" s="173"/>
      <c r="M76" s="200"/>
      <c r="N76" s="200"/>
      <c r="O76" s="200"/>
      <c r="P76" s="200"/>
      <c r="Q76" s="200"/>
    </row>
    <row r="77" spans="2:17" s="21" customFormat="1">
      <c r="B77" s="14"/>
      <c r="C77" s="13"/>
      <c r="D77" s="200"/>
      <c r="E77" s="200"/>
      <c r="F77" s="200"/>
      <c r="G77" s="200"/>
      <c r="H77" s="200"/>
      <c r="I77" s="173"/>
      <c r="M77" s="200"/>
      <c r="N77" s="200"/>
      <c r="O77" s="200"/>
      <c r="P77" s="200"/>
      <c r="Q77" s="200"/>
    </row>
    <row r="78" spans="2:17" s="21" customFormat="1">
      <c r="B78" s="14"/>
      <c r="C78" s="13"/>
      <c r="D78" s="204"/>
      <c r="E78" s="233"/>
      <c r="F78" s="200"/>
      <c r="G78" s="200"/>
      <c r="H78" s="200"/>
      <c r="I78" s="173"/>
      <c r="M78" s="204"/>
      <c r="N78" s="233"/>
      <c r="O78" s="200"/>
      <c r="P78" s="200"/>
      <c r="Q78" s="200"/>
    </row>
    <row r="79" spans="2:17" s="21" customFormat="1">
      <c r="B79" s="14"/>
      <c r="C79" s="13"/>
      <c r="D79" s="201"/>
      <c r="E79" s="233"/>
      <c r="F79" s="200"/>
      <c r="G79" s="200"/>
      <c r="H79" s="200"/>
      <c r="I79" s="173"/>
      <c r="M79" s="201"/>
      <c r="N79" s="233"/>
      <c r="O79" s="200"/>
      <c r="P79" s="200"/>
      <c r="Q79" s="200"/>
    </row>
    <row r="80" spans="2:17" s="21" customFormat="1">
      <c r="B80" s="14"/>
      <c r="C80" s="13"/>
      <c r="D80" s="200"/>
      <c r="E80" s="233"/>
      <c r="F80" s="200"/>
      <c r="G80" s="200"/>
      <c r="H80" s="200"/>
      <c r="I80" s="173"/>
      <c r="M80" s="200"/>
      <c r="N80" s="233"/>
      <c r="O80" s="200"/>
      <c r="P80" s="200"/>
      <c r="Q80" s="200"/>
    </row>
    <row r="81" spans="2:17" s="21" customFormat="1" ht="14">
      <c r="B81" s="200"/>
      <c r="C81" s="201"/>
      <c r="D81" s="206"/>
      <c r="E81" s="206"/>
      <c r="F81" s="206"/>
      <c r="G81" s="206"/>
      <c r="H81" s="206"/>
      <c r="I81" s="173"/>
      <c r="M81" s="206"/>
      <c r="N81" s="206"/>
      <c r="O81" s="206"/>
      <c r="P81" s="206"/>
      <c r="Q81" s="206"/>
    </row>
    <row r="82" spans="2:17" s="21" customFormat="1" ht="14">
      <c r="B82" s="105"/>
      <c r="C82" s="105"/>
      <c r="D82" s="206"/>
      <c r="E82" s="206"/>
      <c r="F82" s="206"/>
      <c r="G82" s="206"/>
      <c r="H82" s="206"/>
      <c r="I82" s="173"/>
      <c r="M82" s="206"/>
      <c r="N82" s="206"/>
      <c r="O82" s="206"/>
      <c r="P82" s="206"/>
      <c r="Q82" s="206"/>
    </row>
    <row r="83" spans="2:17" s="21" customFormat="1" ht="14">
      <c r="B83" s="105"/>
      <c r="C83" s="105"/>
      <c r="D83" s="207"/>
      <c r="E83" s="234"/>
      <c r="F83" s="206"/>
      <c r="G83" s="206"/>
      <c r="H83" s="206"/>
      <c r="I83" s="173"/>
      <c r="M83" s="207"/>
      <c r="N83" s="234"/>
      <c r="O83" s="206"/>
      <c r="P83" s="206"/>
      <c r="Q83" s="206"/>
    </row>
    <row r="84" spans="2:17" s="21" customFormat="1" ht="14">
      <c r="B84" s="204"/>
      <c r="C84" s="233"/>
      <c r="D84" s="209"/>
      <c r="E84" s="234"/>
      <c r="F84" s="206"/>
      <c r="G84" s="206"/>
      <c r="H84" s="206"/>
      <c r="I84" s="173"/>
      <c r="M84" s="209"/>
      <c r="N84" s="234"/>
      <c r="O84" s="206"/>
      <c r="P84" s="206"/>
      <c r="Q84" s="206"/>
    </row>
    <row r="85" spans="2:17" s="21" customFormat="1" ht="14">
      <c r="B85" s="210"/>
      <c r="C85" s="233"/>
      <c r="D85" s="206"/>
      <c r="E85" s="234"/>
      <c r="F85" s="206"/>
      <c r="G85" s="206"/>
      <c r="H85" s="206"/>
      <c r="I85" s="173"/>
      <c r="M85" s="206"/>
      <c r="N85" s="234"/>
      <c r="O85" s="206"/>
      <c r="P85" s="206"/>
      <c r="Q85" s="206"/>
    </row>
    <row r="86" spans="2:17" s="21" customFormat="1">
      <c r="C86" s="233"/>
      <c r="I86" s="173"/>
    </row>
    <row r="87" spans="2:17" s="21" customFormat="1">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204</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0" t="s">
        <v>630</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147</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4"/>
      <c r="C13" s="21"/>
      <c r="D13" s="498" t="s">
        <v>76</v>
      </c>
      <c r="E13" s="532" t="s">
        <v>71</v>
      </c>
      <c r="F13" s="499" t="s">
        <v>113</v>
      </c>
      <c r="G13" s="500" t="s">
        <v>61</v>
      </c>
      <c r="H13" s="533" t="s">
        <v>114</v>
      </c>
      <c r="I13" s="173"/>
      <c r="K13" s="110"/>
      <c r="M13" s="214"/>
      <c r="N13" s="217"/>
      <c r="O13" s="215"/>
      <c r="P13" s="495"/>
      <c r="Q13" s="495"/>
    </row>
    <row r="14" spans="1:17" s="102" customFormat="1">
      <c r="A14" s="103"/>
      <c r="B14" s="172"/>
      <c r="C14" s="172"/>
      <c r="D14" s="936" t="s">
        <v>969</v>
      </c>
      <c r="E14" s="534">
        <f t="shared" ref="E14:E41" si="0">VLOOKUP(CONCATENATE("seasoning_",D14),Assets,3,0)</f>
        <v>0</v>
      </c>
      <c r="F14" s="535">
        <f>E14/$E$42</f>
        <v>0</v>
      </c>
      <c r="G14" s="536">
        <f t="shared" ref="G14:G41" si="1">VLOOKUP(CONCATENATE("seasoning_",D14),Assets,2,0)</f>
        <v>0</v>
      </c>
      <c r="H14" s="537">
        <f>G14/$G$42</f>
        <v>0</v>
      </c>
      <c r="I14" s="173"/>
      <c r="K14" s="110"/>
      <c r="M14" s="538"/>
      <c r="N14" s="531"/>
      <c r="O14" s="528"/>
      <c r="P14" s="529"/>
      <c r="Q14" s="528"/>
    </row>
    <row r="15" spans="1:17">
      <c r="A15" s="180"/>
      <c r="B15" s="14"/>
      <c r="C15" s="13"/>
      <c r="D15" s="936" t="s">
        <v>970</v>
      </c>
      <c r="E15" s="534">
        <f t="shared" si="0"/>
        <v>0</v>
      </c>
      <c r="F15" s="535">
        <f t="shared" ref="F15:F41" si="2">E15/$E$42</f>
        <v>0</v>
      </c>
      <c r="G15" s="536">
        <f t="shared" si="1"/>
        <v>0</v>
      </c>
      <c r="H15" s="537">
        <f t="shared" ref="H15:H41" si="3">G15/$G$42</f>
        <v>0</v>
      </c>
      <c r="I15" s="173"/>
      <c r="K15" s="174"/>
      <c r="M15" s="538"/>
      <c r="N15" s="531"/>
      <c r="O15" s="528"/>
      <c r="P15" s="529"/>
      <c r="Q15" s="528"/>
    </row>
    <row r="16" spans="1:17">
      <c r="A16" s="180"/>
      <c r="B16" s="14"/>
      <c r="C16" s="13"/>
      <c r="D16" s="936" t="s">
        <v>971</v>
      </c>
      <c r="E16" s="534">
        <f t="shared" si="0"/>
        <v>0</v>
      </c>
      <c r="F16" s="535">
        <f t="shared" si="2"/>
        <v>0</v>
      </c>
      <c r="G16" s="536">
        <f t="shared" si="1"/>
        <v>0</v>
      </c>
      <c r="H16" s="537">
        <f t="shared" si="3"/>
        <v>0</v>
      </c>
      <c r="I16" s="173"/>
      <c r="K16" s="174"/>
      <c r="M16" s="538"/>
      <c r="N16" s="531"/>
      <c r="O16" s="528"/>
      <c r="P16" s="529"/>
      <c r="Q16" s="528"/>
    </row>
    <row r="17" spans="1:17">
      <c r="A17" s="180"/>
      <c r="B17" s="14"/>
      <c r="C17" s="13"/>
      <c r="D17" s="936" t="s">
        <v>972</v>
      </c>
      <c r="E17" s="534">
        <f t="shared" si="0"/>
        <v>0</v>
      </c>
      <c r="F17" s="535">
        <f t="shared" si="2"/>
        <v>0</v>
      </c>
      <c r="G17" s="536">
        <f t="shared" si="1"/>
        <v>0</v>
      </c>
      <c r="H17" s="537">
        <f t="shared" si="3"/>
        <v>0</v>
      </c>
      <c r="I17" s="173"/>
      <c r="K17" s="174"/>
      <c r="M17" s="539"/>
      <c r="N17" s="531"/>
      <c r="O17" s="528"/>
      <c r="P17" s="529"/>
      <c r="Q17" s="528"/>
    </row>
    <row r="18" spans="1:17">
      <c r="A18" s="180"/>
      <c r="B18" s="14"/>
      <c r="C18" s="13"/>
      <c r="D18" s="936" t="s">
        <v>973</v>
      </c>
      <c r="E18" s="534">
        <f t="shared" si="0"/>
        <v>0</v>
      </c>
      <c r="F18" s="535">
        <f t="shared" si="2"/>
        <v>0</v>
      </c>
      <c r="G18" s="536">
        <f t="shared" si="1"/>
        <v>0</v>
      </c>
      <c r="H18" s="537">
        <f t="shared" si="3"/>
        <v>0</v>
      </c>
      <c r="I18" s="173"/>
      <c r="K18" s="174"/>
      <c r="M18" s="539"/>
      <c r="N18" s="531"/>
      <c r="O18" s="528"/>
      <c r="P18" s="529"/>
      <c r="Q18" s="528"/>
    </row>
    <row r="19" spans="1:17">
      <c r="A19" s="180"/>
      <c r="B19" s="14"/>
      <c r="C19" s="13"/>
      <c r="D19" s="936" t="s">
        <v>974</v>
      </c>
      <c r="E19" s="534">
        <f t="shared" si="0"/>
        <v>0</v>
      </c>
      <c r="F19" s="535">
        <f t="shared" si="2"/>
        <v>0</v>
      </c>
      <c r="G19" s="536">
        <f t="shared" si="1"/>
        <v>0</v>
      </c>
      <c r="H19" s="537">
        <f t="shared" si="3"/>
        <v>0</v>
      </c>
      <c r="I19" s="173"/>
      <c r="K19" s="174"/>
      <c r="M19" s="539"/>
      <c r="N19" s="531"/>
      <c r="O19" s="528"/>
      <c r="P19" s="529"/>
      <c r="Q19" s="528"/>
    </row>
    <row r="20" spans="1:17">
      <c r="A20" s="180"/>
      <c r="B20" s="14"/>
      <c r="C20" s="13"/>
      <c r="D20" s="936" t="s">
        <v>975</v>
      </c>
      <c r="E20" s="534">
        <f t="shared" si="0"/>
        <v>0</v>
      </c>
      <c r="F20" s="535">
        <f t="shared" si="2"/>
        <v>0</v>
      </c>
      <c r="G20" s="536">
        <f t="shared" si="1"/>
        <v>0</v>
      </c>
      <c r="H20" s="537">
        <f t="shared" si="3"/>
        <v>0</v>
      </c>
      <c r="I20" s="173"/>
      <c r="K20" s="174"/>
      <c r="M20" s="539"/>
      <c r="N20" s="531"/>
      <c r="O20" s="528"/>
      <c r="P20" s="529"/>
      <c r="Q20" s="528"/>
    </row>
    <row r="21" spans="1:17">
      <c r="A21" s="180"/>
      <c r="B21" s="14"/>
      <c r="C21" s="13"/>
      <c r="D21" s="936" t="s">
        <v>976</v>
      </c>
      <c r="E21" s="534">
        <f t="shared" si="0"/>
        <v>0</v>
      </c>
      <c r="F21" s="535">
        <f t="shared" si="2"/>
        <v>0</v>
      </c>
      <c r="G21" s="536">
        <f t="shared" si="1"/>
        <v>0</v>
      </c>
      <c r="H21" s="537">
        <f t="shared" si="3"/>
        <v>0</v>
      </c>
      <c r="I21" s="173"/>
      <c r="K21" s="174"/>
      <c r="M21" s="539"/>
      <c r="N21" s="531"/>
      <c r="O21" s="528"/>
      <c r="P21" s="529"/>
      <c r="Q21" s="528"/>
    </row>
    <row r="22" spans="1:17">
      <c r="A22" s="180"/>
      <c r="B22" s="14"/>
      <c r="C22" s="13"/>
      <c r="D22" s="936" t="s">
        <v>977</v>
      </c>
      <c r="E22" s="534">
        <f t="shared" si="0"/>
        <v>9669663.1699999962</v>
      </c>
      <c r="F22" s="535">
        <f t="shared" si="2"/>
        <v>2.0250300219132013E-2</v>
      </c>
      <c r="G22" s="536">
        <f t="shared" si="1"/>
        <v>760</v>
      </c>
      <c r="H22" s="537">
        <f t="shared" si="3"/>
        <v>1.9018067163805615E-2</v>
      </c>
      <c r="I22" s="173"/>
      <c r="K22" s="174"/>
      <c r="M22" s="540"/>
      <c r="N22" s="531"/>
      <c r="O22" s="528"/>
      <c r="P22" s="529"/>
      <c r="Q22" s="528"/>
    </row>
    <row r="23" spans="1:17">
      <c r="A23" s="180"/>
      <c r="B23" s="14"/>
      <c r="C23" s="13"/>
      <c r="D23" s="936" t="s">
        <v>978</v>
      </c>
      <c r="E23" s="534">
        <f t="shared" si="0"/>
        <v>17457674.370000005</v>
      </c>
      <c r="F23" s="535">
        <f t="shared" si="2"/>
        <v>3.6560027056283341E-2</v>
      </c>
      <c r="G23" s="536">
        <f t="shared" si="1"/>
        <v>1386</v>
      </c>
      <c r="H23" s="537">
        <f t="shared" si="3"/>
        <v>3.4682948801361295E-2</v>
      </c>
      <c r="I23" s="173"/>
      <c r="K23" s="174"/>
      <c r="M23" s="541"/>
      <c r="N23" s="531"/>
      <c r="O23" s="528"/>
      <c r="P23" s="529"/>
      <c r="Q23" s="528"/>
    </row>
    <row r="24" spans="1:17" ht="12.75" customHeight="1">
      <c r="A24" s="180"/>
      <c r="B24" s="14"/>
      <c r="C24" s="13"/>
      <c r="D24" s="936" t="s">
        <v>979</v>
      </c>
      <c r="E24" s="534">
        <f t="shared" si="0"/>
        <v>22378062.380000003</v>
      </c>
      <c r="F24" s="535">
        <f t="shared" si="2"/>
        <v>4.6864350241629368E-2</v>
      </c>
      <c r="G24" s="536">
        <f t="shared" si="1"/>
        <v>1813</v>
      </c>
      <c r="H24" s="537">
        <f t="shared" si="3"/>
        <v>4.5368099694709972E-2</v>
      </c>
      <c r="I24" s="173"/>
      <c r="K24" s="174"/>
      <c r="M24" s="541"/>
      <c r="N24" s="531"/>
      <c r="O24" s="528"/>
      <c r="P24" s="529"/>
      <c r="Q24" s="528"/>
    </row>
    <row r="25" spans="1:17" ht="12.75" customHeight="1">
      <c r="A25" s="180"/>
      <c r="B25" s="14"/>
      <c r="C25" s="13"/>
      <c r="D25" s="936" t="s">
        <v>980</v>
      </c>
      <c r="E25" s="534">
        <f t="shared" si="0"/>
        <v>28323073.930000003</v>
      </c>
      <c r="F25" s="535">
        <f t="shared" si="2"/>
        <v>5.9314449751528574E-2</v>
      </c>
      <c r="G25" s="536">
        <f t="shared" si="1"/>
        <v>2415</v>
      </c>
      <c r="H25" s="537">
        <f t="shared" si="3"/>
        <v>6.0432410790250739E-2</v>
      </c>
      <c r="I25" s="173"/>
      <c r="K25" s="174"/>
      <c r="M25" s="541"/>
      <c r="N25" s="531"/>
      <c r="O25" s="528"/>
      <c r="P25" s="529"/>
      <c r="Q25" s="528"/>
    </row>
    <row r="26" spans="1:17" ht="12.75" customHeight="1">
      <c r="A26" s="180"/>
      <c r="B26" s="14"/>
      <c r="C26" s="13"/>
      <c r="D26" s="936" t="s">
        <v>981</v>
      </c>
      <c r="E26" s="534">
        <f t="shared" si="0"/>
        <v>122596523.58999982</v>
      </c>
      <c r="F26" s="535">
        <f t="shared" si="2"/>
        <v>0.25674280115792258</v>
      </c>
      <c r="G26" s="536">
        <f t="shared" si="1"/>
        <v>9901</v>
      </c>
      <c r="H26" s="537">
        <f t="shared" si="3"/>
        <v>0.24776037235373605</v>
      </c>
      <c r="I26" s="173"/>
      <c r="K26" s="174"/>
      <c r="M26" s="541"/>
      <c r="N26" s="531"/>
      <c r="O26" s="528"/>
      <c r="P26" s="529"/>
      <c r="Q26" s="528"/>
    </row>
    <row r="27" spans="1:17" ht="12.75" customHeight="1">
      <c r="A27" s="180"/>
      <c r="B27" s="14"/>
      <c r="C27" s="13"/>
      <c r="D27" s="936" t="s">
        <v>982</v>
      </c>
      <c r="E27" s="534">
        <f t="shared" si="0"/>
        <v>141370932.48000035</v>
      </c>
      <c r="F27" s="535">
        <f t="shared" si="2"/>
        <v>0.2960603461204791</v>
      </c>
      <c r="G27" s="536">
        <f t="shared" si="1"/>
        <v>10910</v>
      </c>
      <c r="H27" s="537">
        <f t="shared" si="3"/>
        <v>0.27300935889094641</v>
      </c>
      <c r="I27" s="173"/>
      <c r="K27" s="174"/>
      <c r="M27" s="541"/>
      <c r="N27" s="531"/>
      <c r="O27" s="528"/>
      <c r="P27" s="529"/>
      <c r="Q27" s="528"/>
    </row>
    <row r="28" spans="1:17" ht="12.75" customHeight="1">
      <c r="A28" s="180"/>
      <c r="B28" s="14"/>
      <c r="C28" s="13"/>
      <c r="D28" s="936" t="s">
        <v>983</v>
      </c>
      <c r="E28" s="534">
        <f t="shared" si="0"/>
        <v>75940417.000000164</v>
      </c>
      <c r="F28" s="535">
        <f t="shared" si="2"/>
        <v>0.15903514072621833</v>
      </c>
      <c r="G28" s="536">
        <f t="shared" si="1"/>
        <v>6640</v>
      </c>
      <c r="H28" s="537">
        <f t="shared" si="3"/>
        <v>0.16615784995745958</v>
      </c>
      <c r="I28" s="173"/>
      <c r="K28" s="174"/>
      <c r="M28" s="541"/>
      <c r="N28" s="531"/>
      <c r="O28" s="528"/>
      <c r="P28" s="529"/>
      <c r="Q28" s="528"/>
    </row>
    <row r="29" spans="1:17" ht="12.75" customHeight="1">
      <c r="A29" s="180"/>
      <c r="B29" s="14"/>
      <c r="C29" s="13"/>
      <c r="D29" s="936" t="s">
        <v>984</v>
      </c>
      <c r="E29" s="534">
        <f t="shared" si="0"/>
        <v>42019288.210000031</v>
      </c>
      <c r="F29" s="535">
        <f t="shared" si="2"/>
        <v>8.7997191451988824E-2</v>
      </c>
      <c r="G29" s="536">
        <f t="shared" si="1"/>
        <v>4216</v>
      </c>
      <c r="H29" s="537">
        <f t="shared" si="3"/>
        <v>0.10550022521395326</v>
      </c>
      <c r="I29" s="173"/>
      <c r="K29" s="174"/>
      <c r="M29" s="541"/>
      <c r="N29" s="531"/>
      <c r="O29" s="528"/>
      <c r="P29" s="529"/>
      <c r="Q29" s="528"/>
    </row>
    <row r="30" spans="1:17" ht="12.75" customHeight="1">
      <c r="A30" s="180"/>
      <c r="B30" s="14"/>
      <c r="C30" s="13"/>
      <c r="D30" s="936" t="s">
        <v>985</v>
      </c>
      <c r="E30" s="534">
        <f t="shared" si="0"/>
        <v>7820878.4200000092</v>
      </c>
      <c r="F30" s="535">
        <f t="shared" si="2"/>
        <v>1.6378557680653015E-2</v>
      </c>
      <c r="G30" s="536">
        <f t="shared" si="1"/>
        <v>793</v>
      </c>
      <c r="H30" s="537">
        <f t="shared" si="3"/>
        <v>1.9843851659076123E-2</v>
      </c>
      <c r="I30" s="173"/>
      <c r="K30" s="174"/>
      <c r="M30" s="541"/>
      <c r="N30" s="531"/>
      <c r="O30" s="528"/>
      <c r="P30" s="529"/>
      <c r="Q30" s="528"/>
    </row>
    <row r="31" spans="1:17" ht="12.75" customHeight="1">
      <c r="A31" s="180"/>
      <c r="B31" s="14"/>
      <c r="C31" s="13"/>
      <c r="D31" s="936" t="s">
        <v>986</v>
      </c>
      <c r="E31" s="534">
        <f t="shared" si="0"/>
        <v>5030994.8599999975</v>
      </c>
      <c r="F31" s="535">
        <f t="shared" si="2"/>
        <v>1.0535957098483919E-2</v>
      </c>
      <c r="G31" s="536">
        <f t="shared" si="1"/>
        <v>501</v>
      </c>
      <c r="H31" s="537">
        <f t="shared" si="3"/>
        <v>1.2536910064561334E-2</v>
      </c>
      <c r="I31" s="173"/>
      <c r="K31" s="174"/>
      <c r="M31" s="541"/>
      <c r="N31" s="531"/>
      <c r="O31" s="528"/>
      <c r="P31" s="529"/>
      <c r="Q31" s="528"/>
    </row>
    <row r="32" spans="1:17" ht="12.75" customHeight="1">
      <c r="A32" s="180"/>
      <c r="B32" s="14"/>
      <c r="C32" s="13"/>
      <c r="D32" s="936" t="s">
        <v>987</v>
      </c>
      <c r="E32" s="534">
        <f t="shared" si="0"/>
        <v>2583562.290000001</v>
      </c>
      <c r="F32" s="535">
        <f t="shared" si="2"/>
        <v>5.4105206238872789E-3</v>
      </c>
      <c r="G32" s="536">
        <f t="shared" si="1"/>
        <v>292</v>
      </c>
      <c r="H32" s="537">
        <f t="shared" si="3"/>
        <v>7.3069415945147889E-3</v>
      </c>
      <c r="I32" s="173"/>
      <c r="K32" s="174"/>
      <c r="M32" s="541"/>
      <c r="N32" s="531"/>
      <c r="O32" s="528"/>
      <c r="P32" s="529"/>
      <c r="Q32" s="528"/>
    </row>
    <row r="33" spans="1:17" ht="12.75" customHeight="1">
      <c r="A33" s="180"/>
      <c r="B33" s="14"/>
      <c r="C33" s="13"/>
      <c r="D33" s="936" t="s">
        <v>988</v>
      </c>
      <c r="E33" s="534">
        <f t="shared" si="0"/>
        <v>1705836.6699999995</v>
      </c>
      <c r="F33" s="535">
        <f t="shared" si="2"/>
        <v>3.5723793150805715E-3</v>
      </c>
      <c r="G33" s="536">
        <f t="shared" si="1"/>
        <v>228</v>
      </c>
      <c r="H33" s="537">
        <f t="shared" si="3"/>
        <v>5.7054201491416844E-3</v>
      </c>
      <c r="I33" s="173"/>
      <c r="K33" s="174"/>
      <c r="M33" s="541"/>
      <c r="N33" s="531"/>
      <c r="O33" s="528"/>
      <c r="P33" s="529"/>
      <c r="Q33" s="528"/>
    </row>
    <row r="34" spans="1:17" ht="12.75" customHeight="1">
      <c r="A34" s="180"/>
      <c r="B34" s="14"/>
      <c r="C34" s="13"/>
      <c r="D34" s="936" t="s">
        <v>989</v>
      </c>
      <c r="E34" s="534">
        <f t="shared" si="0"/>
        <v>276416.35000000003</v>
      </c>
      <c r="F34" s="535">
        <f t="shared" si="2"/>
        <v>5.7887373888501994E-4</v>
      </c>
      <c r="G34" s="536">
        <f t="shared" si="1"/>
        <v>38</v>
      </c>
      <c r="H34" s="537">
        <f t="shared" si="3"/>
        <v>9.5090335819028073E-4</v>
      </c>
      <c r="I34" s="173"/>
      <c r="K34" s="174"/>
      <c r="M34" s="541"/>
      <c r="N34" s="531"/>
      <c r="O34" s="528"/>
      <c r="P34" s="529"/>
      <c r="Q34" s="528"/>
    </row>
    <row r="35" spans="1:17" ht="12.75" customHeight="1">
      <c r="A35" s="180"/>
      <c r="B35" s="14"/>
      <c r="C35" s="13"/>
      <c r="D35" s="936" t="s">
        <v>990</v>
      </c>
      <c r="E35" s="534">
        <f t="shared" si="0"/>
        <v>112150.16999999998</v>
      </c>
      <c r="F35" s="535">
        <f t="shared" si="2"/>
        <v>2.3486594850301214E-4</v>
      </c>
      <c r="G35" s="536">
        <f t="shared" si="1"/>
        <v>18</v>
      </c>
      <c r="H35" s="537">
        <f t="shared" si="3"/>
        <v>4.504279065111856E-4</v>
      </c>
      <c r="I35" s="173"/>
      <c r="K35" s="174"/>
      <c r="M35" s="541"/>
      <c r="N35" s="531"/>
      <c r="O35" s="528"/>
      <c r="P35" s="529"/>
      <c r="Q35" s="528"/>
    </row>
    <row r="36" spans="1:17" ht="12.75" customHeight="1">
      <c r="A36" s="180"/>
      <c r="B36" s="14"/>
      <c r="C36" s="13"/>
      <c r="D36" s="936" t="s">
        <v>991</v>
      </c>
      <c r="E36" s="534">
        <f t="shared" si="0"/>
        <v>99145.47</v>
      </c>
      <c r="F36" s="535">
        <f t="shared" si="2"/>
        <v>2.0763138255900049E-4</v>
      </c>
      <c r="G36" s="536">
        <f t="shared" si="1"/>
        <v>18</v>
      </c>
      <c r="H36" s="537">
        <f t="shared" si="3"/>
        <v>4.504279065111856E-4</v>
      </c>
      <c r="I36" s="173"/>
      <c r="K36" s="174"/>
      <c r="M36" s="541"/>
      <c r="N36" s="531"/>
      <c r="O36" s="528"/>
      <c r="P36" s="529"/>
      <c r="Q36" s="528"/>
    </row>
    <row r="37" spans="1:17" ht="12.75" customHeight="1">
      <c r="A37" s="180"/>
      <c r="B37" s="14"/>
      <c r="C37" s="13"/>
      <c r="D37" s="936" t="s">
        <v>1018</v>
      </c>
      <c r="E37" s="534">
        <f t="shared" ref="E37" si="4">VLOOKUP(CONCATENATE("seasoning_",D37),Assets,3,0)</f>
        <v>48181.959999999985</v>
      </c>
      <c r="F37" s="535">
        <f t="shared" si="2"/>
        <v>1.0090311709856693E-4</v>
      </c>
      <c r="G37" s="536">
        <f t="shared" ref="G37" si="5">VLOOKUP(CONCATENATE("seasoning_",D37),Assets,2,0)</f>
        <v>15</v>
      </c>
      <c r="H37" s="537">
        <f t="shared" si="3"/>
        <v>3.7535658875932138E-4</v>
      </c>
      <c r="I37" s="173"/>
      <c r="K37" s="174"/>
      <c r="M37" s="541"/>
      <c r="N37" s="531"/>
      <c r="O37" s="528"/>
      <c r="P37" s="529"/>
      <c r="Q37" s="528"/>
    </row>
    <row r="38" spans="1:17" ht="12.75" customHeight="1">
      <c r="A38" s="180"/>
      <c r="B38" s="14"/>
      <c r="C38" s="13"/>
      <c r="D38" s="936" t="s">
        <v>992</v>
      </c>
      <c r="E38" s="534">
        <f t="shared" si="0"/>
        <v>28910.29</v>
      </c>
      <c r="F38" s="535">
        <f t="shared" si="2"/>
        <v>6.0544203208494006E-5</v>
      </c>
      <c r="G38" s="536">
        <f t="shared" si="1"/>
        <v>3</v>
      </c>
      <c r="H38" s="537">
        <f t="shared" si="3"/>
        <v>7.5071317751864276E-5</v>
      </c>
      <c r="I38" s="173"/>
      <c r="K38" s="174"/>
      <c r="M38" s="541"/>
      <c r="N38" s="531"/>
      <c r="O38" s="528"/>
      <c r="P38" s="529"/>
      <c r="Q38" s="528"/>
    </row>
    <row r="39" spans="1:17" ht="12.75" customHeight="1">
      <c r="A39" s="180"/>
      <c r="B39" s="14"/>
      <c r="C39" s="13"/>
      <c r="D39" s="936" t="s">
        <v>993</v>
      </c>
      <c r="E39" s="534">
        <f t="shared" si="0"/>
        <v>17507.54</v>
      </c>
      <c r="F39" s="535">
        <f t="shared" si="2"/>
        <v>3.666445613104667E-5</v>
      </c>
      <c r="G39" s="536">
        <f t="shared" si="1"/>
        <v>4</v>
      </c>
      <c r="H39" s="537">
        <f t="shared" si="3"/>
        <v>1.0009509033581902E-4</v>
      </c>
      <c r="I39" s="173"/>
      <c r="K39" s="174"/>
      <c r="M39" s="541"/>
      <c r="N39" s="531"/>
      <c r="O39" s="528"/>
      <c r="P39" s="529"/>
      <c r="Q39" s="528"/>
    </row>
    <row r="40" spans="1:17" ht="12.75" customHeight="1">
      <c r="A40" s="180"/>
      <c r="B40" s="14"/>
      <c r="C40" s="13"/>
      <c r="D40" s="936" t="s">
        <v>994</v>
      </c>
      <c r="E40" s="534">
        <f t="shared" si="0"/>
        <v>21075.87</v>
      </c>
      <c r="F40" s="535">
        <f t="shared" si="2"/>
        <v>4.4137286622714693E-5</v>
      </c>
      <c r="G40" s="536">
        <f t="shared" si="1"/>
        <v>7</v>
      </c>
      <c r="H40" s="537">
        <f t="shared" si="3"/>
        <v>1.7516640808768331E-4</v>
      </c>
      <c r="I40" s="173"/>
      <c r="K40" s="174"/>
      <c r="M40" s="541"/>
      <c r="N40" s="531"/>
      <c r="O40" s="528"/>
      <c r="P40" s="529"/>
      <c r="Q40" s="528"/>
    </row>
    <row r="41" spans="1:17" ht="12.75" customHeight="1" thickBot="1">
      <c r="A41" s="180"/>
      <c r="B41" s="14"/>
      <c r="C41" s="13"/>
      <c r="D41" s="963" t="s">
        <v>1020</v>
      </c>
      <c r="E41" s="534">
        <f t="shared" si="0"/>
        <v>6856.25</v>
      </c>
      <c r="F41" s="535">
        <f t="shared" si="2"/>
        <v>1.4358423704785977E-5</v>
      </c>
      <c r="G41" s="536">
        <f t="shared" si="1"/>
        <v>4</v>
      </c>
      <c r="H41" s="537">
        <f t="shared" si="3"/>
        <v>1.0009509033581902E-4</v>
      </c>
      <c r="I41" s="173"/>
      <c r="K41" s="174"/>
      <c r="M41" s="541"/>
      <c r="N41" s="531"/>
      <c r="O41" s="528"/>
      <c r="P41" s="529"/>
      <c r="Q41" s="528"/>
    </row>
    <row r="42" spans="1:17" ht="14" thickTop="1" thickBot="1">
      <c r="A42" s="180"/>
      <c r="B42" s="14"/>
      <c r="C42" s="13"/>
      <c r="D42" s="542" t="s">
        <v>36</v>
      </c>
      <c r="E42" s="543">
        <f>SUM(E14:E41)</f>
        <v>477507151.27000058</v>
      </c>
      <c r="F42" s="544">
        <f>SUM(F14:F41)</f>
        <v>0.99999999999999911</v>
      </c>
      <c r="G42" s="545">
        <f>SUM(G14:G41)</f>
        <v>39962</v>
      </c>
      <c r="H42" s="546">
        <f>SUM(H14:H41)</f>
        <v>1</v>
      </c>
      <c r="I42" s="173"/>
      <c r="J42" s="173"/>
      <c r="K42" s="174"/>
      <c r="M42" s="37"/>
      <c r="N42" s="509"/>
      <c r="O42" s="547"/>
      <c r="P42" s="511"/>
      <c r="Q42" s="510"/>
    </row>
    <row r="43" spans="1:17" ht="13">
      <c r="A43" s="180"/>
      <c r="B43" s="14"/>
      <c r="C43" s="13"/>
      <c r="D43" s="548"/>
      <c r="E43" s="549"/>
      <c r="F43" s="547"/>
      <c r="G43" s="493"/>
      <c r="H43" s="227"/>
      <c r="I43" s="173"/>
      <c r="J43" s="173"/>
      <c r="K43" s="174"/>
      <c r="M43" s="37"/>
      <c r="N43" s="509"/>
      <c r="O43" s="547"/>
      <c r="P43" s="511"/>
      <c r="Q43" s="510"/>
    </row>
    <row r="44" spans="1:17" ht="13">
      <c r="A44" s="180"/>
      <c r="B44" s="14"/>
      <c r="C44" s="13"/>
      <c r="D44" s="37"/>
      <c r="E44" s="509"/>
      <c r="F44" s="547"/>
      <c r="G44" s="493"/>
      <c r="H44" s="227"/>
      <c r="I44" s="173"/>
      <c r="J44" s="173"/>
      <c r="K44" s="174"/>
      <c r="M44" s="37"/>
      <c r="N44" s="509"/>
      <c r="O44" s="547"/>
      <c r="P44" s="511"/>
      <c r="Q44" s="510"/>
    </row>
    <row r="45" spans="1:17" ht="13.5" thickBot="1">
      <c r="A45" s="180"/>
      <c r="B45" s="14"/>
      <c r="C45" s="13"/>
      <c r="D45" s="514" t="s">
        <v>69</v>
      </c>
      <c r="E45" s="514"/>
      <c r="F45" s="102"/>
      <c r="G45" s="102"/>
      <c r="H45" s="102"/>
      <c r="I45" s="173"/>
      <c r="J45" s="173"/>
      <c r="K45" s="174"/>
      <c r="N45" s="513"/>
    </row>
    <row r="46" spans="1:17" ht="13" thickBot="1">
      <c r="A46" s="180"/>
      <c r="B46" s="14"/>
      <c r="C46" s="13"/>
      <c r="D46" s="515" t="s">
        <v>74</v>
      </c>
      <c r="E46" s="516">
        <f>VLOOKUP(CONCATENATE("seasoning_",D46),Assets,3,0)</f>
        <v>39.171432272358885</v>
      </c>
      <c r="F46" s="102"/>
      <c r="G46" s="102"/>
      <c r="H46" s="102"/>
      <c r="I46" s="173"/>
      <c r="J46" s="173"/>
      <c r="K46" s="174"/>
      <c r="N46" s="513"/>
    </row>
    <row r="47" spans="1:17">
      <c r="A47" s="180"/>
      <c r="B47" s="14"/>
      <c r="C47" s="13"/>
      <c r="D47" s="201"/>
      <c r="E47" s="233"/>
      <c r="F47" s="102"/>
      <c r="G47" s="102"/>
      <c r="H47" s="102"/>
      <c r="I47" s="173"/>
      <c r="J47" s="173"/>
      <c r="K47" s="174"/>
      <c r="N47" s="513"/>
    </row>
    <row r="48" spans="1:17">
      <c r="A48" s="180"/>
      <c r="B48" s="14"/>
      <c r="C48" s="13"/>
      <c r="D48" s="200"/>
      <c r="E48" s="233"/>
      <c r="F48" s="102"/>
      <c r="G48" s="102"/>
      <c r="H48" s="102"/>
      <c r="I48" s="173"/>
      <c r="J48" s="173"/>
      <c r="K48" s="174"/>
      <c r="N48" s="513"/>
    </row>
    <row r="49" spans="1:17">
      <c r="A49" s="180"/>
      <c r="B49" s="14"/>
      <c r="C49" s="13"/>
      <c r="D49" s="105"/>
      <c r="E49" s="513"/>
      <c r="F49" s="102"/>
      <c r="G49" s="102"/>
      <c r="H49" s="102"/>
      <c r="I49" s="173"/>
      <c r="J49" s="173"/>
      <c r="K49" s="174"/>
      <c r="N49" s="513"/>
    </row>
    <row r="50" spans="1:17">
      <c r="A50" s="180"/>
      <c r="B50" s="14"/>
      <c r="C50" s="13"/>
      <c r="D50" s="105"/>
      <c r="E50" s="513"/>
      <c r="F50" s="102"/>
      <c r="G50" s="102"/>
      <c r="H50" s="102"/>
      <c r="I50" s="173"/>
      <c r="J50" s="173"/>
      <c r="K50" s="174"/>
      <c r="N50" s="513"/>
    </row>
    <row r="51" spans="1:17">
      <c r="A51" s="180"/>
      <c r="B51" s="14"/>
      <c r="C51" s="13"/>
      <c r="D51" s="105"/>
      <c r="E51" s="513"/>
      <c r="F51" s="102"/>
      <c r="G51" s="102"/>
      <c r="H51" s="102"/>
      <c r="I51" s="173"/>
      <c r="J51" s="173"/>
      <c r="K51" s="174"/>
      <c r="N51" s="513"/>
    </row>
    <row r="52" spans="1:17">
      <c r="A52" s="180"/>
      <c r="B52" s="14"/>
      <c r="C52" s="13"/>
      <c r="D52" s="105"/>
      <c r="E52" s="513"/>
      <c r="F52" s="102"/>
      <c r="G52" s="102"/>
      <c r="H52" s="102"/>
      <c r="I52" s="173"/>
      <c r="J52" s="173"/>
      <c r="K52" s="174"/>
      <c r="N52" s="513"/>
    </row>
    <row r="53" spans="1:17">
      <c r="A53" s="180"/>
      <c r="B53" s="14"/>
      <c r="C53" s="13"/>
      <c r="D53" s="105"/>
      <c r="E53" s="513"/>
      <c r="F53" s="102"/>
      <c r="G53" s="102"/>
      <c r="H53" s="102"/>
      <c r="I53" s="173"/>
      <c r="J53" s="173"/>
      <c r="K53" s="174"/>
      <c r="N53" s="513"/>
    </row>
    <row r="54" spans="1:17">
      <c r="A54" s="195"/>
      <c r="B54" s="29"/>
      <c r="C54" s="11"/>
      <c r="D54" s="349"/>
      <c r="E54" s="11"/>
      <c r="F54" s="316"/>
      <c r="G54" s="350"/>
      <c r="H54" s="316"/>
      <c r="I54" s="390"/>
      <c r="J54" s="50"/>
      <c r="K54" s="196"/>
      <c r="M54" s="197"/>
      <c r="N54" s="13"/>
      <c r="O54" s="198"/>
      <c r="P54" s="199"/>
      <c r="Q54" s="198"/>
    </row>
    <row r="55" spans="1:17">
      <c r="A55" s="49"/>
      <c r="B55" s="14"/>
      <c r="C55" s="13"/>
      <c r="D55" s="197"/>
      <c r="E55" s="13"/>
      <c r="F55" s="198"/>
      <c r="G55" s="199"/>
      <c r="H55" s="198"/>
      <c r="I55" s="173"/>
      <c r="J55" s="21"/>
      <c r="K55" s="21"/>
      <c r="L55" s="21"/>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105" customFormat="1" ht="15" customHeight="1">
      <c r="B58" s="14"/>
      <c r="C58" s="13"/>
      <c r="D58" s="197"/>
      <c r="E58" s="13"/>
      <c r="F58" s="198"/>
      <c r="G58" s="199"/>
      <c r="H58" s="198"/>
      <c r="I58" s="145"/>
      <c r="M58" s="197"/>
      <c r="N58" s="13"/>
      <c r="O58" s="198"/>
      <c r="P58" s="199"/>
      <c r="Q58" s="198"/>
    </row>
    <row r="59" spans="1:17" s="105" customFormat="1">
      <c r="B59" s="14"/>
      <c r="C59" s="13"/>
      <c r="D59" s="197"/>
      <c r="E59" s="13"/>
      <c r="F59" s="198"/>
      <c r="G59" s="199"/>
      <c r="H59" s="198"/>
      <c r="I59" s="145"/>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200"/>
      <c r="E88" s="201"/>
      <c r="F88" s="232"/>
      <c r="G88" s="203"/>
      <c r="H88" s="232"/>
      <c r="I88" s="173"/>
      <c r="M88" s="200"/>
      <c r="N88" s="201"/>
      <c r="O88" s="232"/>
      <c r="P88" s="203"/>
      <c r="Q88" s="232"/>
    </row>
    <row r="89" spans="2:17" s="21" customFormat="1">
      <c r="B89" s="14"/>
      <c r="C89" s="13"/>
      <c r="D89" s="200"/>
      <c r="E89" s="200"/>
      <c r="F89" s="200"/>
      <c r="G89" s="200"/>
      <c r="H89" s="200"/>
      <c r="I89" s="173"/>
      <c r="M89" s="200"/>
      <c r="N89" s="200"/>
      <c r="O89" s="200"/>
      <c r="P89" s="200"/>
      <c r="Q89" s="200"/>
    </row>
    <row r="90" spans="2:17" s="21" customFormat="1">
      <c r="B90" s="14"/>
      <c r="C90" s="13"/>
      <c r="D90" s="200"/>
      <c r="E90" s="200"/>
      <c r="F90" s="200"/>
      <c r="G90" s="200"/>
      <c r="H90" s="200"/>
      <c r="I90" s="173"/>
      <c r="M90" s="200"/>
      <c r="N90" s="200"/>
      <c r="O90" s="200"/>
      <c r="P90" s="200"/>
      <c r="Q90" s="200"/>
    </row>
    <row r="91" spans="2:17" s="21" customFormat="1">
      <c r="B91" s="14"/>
      <c r="C91" s="13"/>
      <c r="D91" s="204"/>
      <c r="E91" s="233"/>
      <c r="F91" s="200"/>
      <c r="G91" s="200"/>
      <c r="H91" s="200"/>
      <c r="I91" s="173"/>
      <c r="M91" s="204"/>
      <c r="N91" s="233"/>
      <c r="O91" s="200"/>
      <c r="P91" s="200"/>
      <c r="Q91" s="200"/>
    </row>
    <row r="92" spans="2:17" s="21" customFormat="1">
      <c r="B92" s="14"/>
      <c r="C92" s="13"/>
      <c r="D92" s="201"/>
      <c r="E92" s="233"/>
      <c r="F92" s="200"/>
      <c r="G92" s="200"/>
      <c r="H92" s="200"/>
      <c r="I92" s="173"/>
      <c r="M92" s="201"/>
      <c r="N92" s="233"/>
      <c r="O92" s="200"/>
      <c r="P92" s="200"/>
      <c r="Q92" s="200"/>
    </row>
    <row r="93" spans="2:17" s="21" customFormat="1">
      <c r="B93" s="14"/>
      <c r="C93" s="13"/>
      <c r="D93" s="200"/>
      <c r="E93" s="233"/>
      <c r="F93" s="200"/>
      <c r="G93" s="200"/>
      <c r="H93" s="200"/>
      <c r="I93" s="173"/>
      <c r="M93" s="200"/>
      <c r="N93" s="233"/>
      <c r="O93" s="200"/>
      <c r="P93" s="200"/>
      <c r="Q93" s="200"/>
    </row>
    <row r="94" spans="2:17" s="21" customFormat="1" ht="14">
      <c r="B94" s="200"/>
      <c r="C94" s="201"/>
      <c r="D94" s="206"/>
      <c r="E94" s="206"/>
      <c r="F94" s="206"/>
      <c r="G94" s="206"/>
      <c r="H94" s="206"/>
      <c r="I94" s="173"/>
      <c r="M94" s="206"/>
      <c r="N94" s="206"/>
      <c r="O94" s="206"/>
      <c r="P94" s="206"/>
      <c r="Q94" s="206"/>
    </row>
    <row r="95" spans="2:17" s="21" customFormat="1" ht="14">
      <c r="B95" s="105"/>
      <c r="C95" s="105"/>
      <c r="D95" s="206"/>
      <c r="E95" s="206"/>
      <c r="F95" s="206"/>
      <c r="G95" s="206"/>
      <c r="H95" s="206"/>
      <c r="I95" s="173"/>
      <c r="M95" s="206"/>
      <c r="N95" s="206"/>
      <c r="O95" s="206"/>
      <c r="P95" s="206"/>
      <c r="Q95" s="206"/>
    </row>
    <row r="96" spans="2:17" s="21" customFormat="1" ht="14">
      <c r="B96" s="105"/>
      <c r="C96" s="105"/>
      <c r="D96" s="207"/>
      <c r="E96" s="234"/>
      <c r="F96" s="206"/>
      <c r="G96" s="206"/>
      <c r="H96" s="206"/>
      <c r="I96" s="173"/>
      <c r="M96" s="207"/>
      <c r="N96" s="234"/>
      <c r="O96" s="206"/>
      <c r="P96" s="206"/>
      <c r="Q96" s="206"/>
    </row>
    <row r="97" spans="2:17" s="21" customFormat="1" ht="14">
      <c r="B97" s="204"/>
      <c r="C97" s="233"/>
      <c r="D97" s="209"/>
      <c r="E97" s="234"/>
      <c r="F97" s="206"/>
      <c r="G97" s="206"/>
      <c r="H97" s="206"/>
      <c r="I97" s="173"/>
      <c r="M97" s="209"/>
      <c r="N97" s="234"/>
      <c r="O97" s="206"/>
      <c r="P97" s="206"/>
      <c r="Q97" s="206"/>
    </row>
    <row r="98" spans="2:17" s="21" customFormat="1" ht="14">
      <c r="B98" s="210"/>
      <c r="C98" s="233"/>
      <c r="D98" s="206"/>
      <c r="E98" s="234"/>
      <c r="F98" s="206"/>
      <c r="G98" s="206"/>
      <c r="H98" s="206"/>
      <c r="I98" s="173"/>
      <c r="M98" s="206"/>
      <c r="N98" s="234"/>
      <c r="O98" s="206"/>
      <c r="P98" s="206"/>
      <c r="Q98" s="206"/>
    </row>
    <row r="99" spans="2:17" s="21" customFormat="1">
      <c r="C99" s="233"/>
      <c r="I99" s="173"/>
    </row>
    <row r="100" spans="2:17" s="21" customFormat="1">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148</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149</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7" t="s">
        <v>75</v>
      </c>
      <c r="E13" s="499" t="s">
        <v>71</v>
      </c>
      <c r="F13" s="500" t="s">
        <v>113</v>
      </c>
      <c r="G13" s="501" t="s">
        <v>61</v>
      </c>
      <c r="H13" s="502" t="s">
        <v>114</v>
      </c>
      <c r="I13" s="214"/>
      <c r="K13" s="110"/>
      <c r="M13" s="518"/>
      <c r="N13" s="215"/>
      <c r="O13" s="495"/>
      <c r="P13" s="495"/>
      <c r="Q13" s="214"/>
    </row>
    <row r="14" spans="1:17">
      <c r="A14" s="180"/>
      <c r="B14" s="14"/>
      <c r="C14" s="13"/>
      <c r="D14" s="937" t="s">
        <v>995</v>
      </c>
      <c r="E14" s="519">
        <f t="shared" ref="E14:E28" si="0">VLOOKUP(CONCATENATE("remaining_",D14),Assets,3,0)</f>
        <v>1072892.1600000008</v>
      </c>
      <c r="F14" s="520">
        <f>E14/$E$29</f>
        <v>2.2468609258447488E-3</v>
      </c>
      <c r="G14" s="521">
        <f t="shared" ref="G14:G28" si="1">VLOOKUP(CONCATENATE("remaining_",D14),Assets,2,0)</f>
        <v>1814</v>
      </c>
      <c r="H14" s="522">
        <f>G14/$G$29</f>
        <v>4.5393123467293926E-2</v>
      </c>
      <c r="I14" s="523"/>
      <c r="K14" s="174"/>
      <c r="M14" s="524"/>
      <c r="N14" s="525"/>
      <c r="O14" s="523"/>
      <c r="P14" s="526"/>
      <c r="Q14" s="523"/>
    </row>
    <row r="15" spans="1:17">
      <c r="A15" s="180"/>
      <c r="B15" s="14"/>
      <c r="C15" s="13"/>
      <c r="D15" s="937" t="s">
        <v>996</v>
      </c>
      <c r="E15" s="519">
        <f t="shared" si="0"/>
        <v>4551156.9800000051</v>
      </c>
      <c r="F15" s="520">
        <f t="shared" ref="F15:F28" si="2">E15/$E$29</f>
        <v>9.531076064296708E-3</v>
      </c>
      <c r="G15" s="521">
        <f t="shared" si="1"/>
        <v>2523</v>
      </c>
      <c r="H15" s="522">
        <f t="shared" ref="H15:H28" si="3">G15/$G$29</f>
        <v>6.3134978229317851E-2</v>
      </c>
      <c r="I15" s="523"/>
      <c r="K15" s="174"/>
      <c r="M15" s="524"/>
      <c r="N15" s="525"/>
      <c r="O15" s="523"/>
      <c r="P15" s="526"/>
      <c r="Q15" s="523"/>
    </row>
    <row r="16" spans="1:17">
      <c r="A16" s="180"/>
      <c r="B16" s="14"/>
      <c r="C16" s="13"/>
      <c r="D16" s="937" t="s">
        <v>997</v>
      </c>
      <c r="E16" s="519">
        <f t="shared" si="0"/>
        <v>8101017.7100000149</v>
      </c>
      <c r="F16" s="520">
        <f t="shared" si="2"/>
        <v>1.696522803575648E-2</v>
      </c>
      <c r="G16" s="521">
        <f t="shared" si="1"/>
        <v>2264</v>
      </c>
      <c r="H16" s="522">
        <f t="shared" si="3"/>
        <v>5.665382113007357E-2</v>
      </c>
      <c r="I16" s="523"/>
      <c r="K16" s="174"/>
      <c r="M16" s="524"/>
      <c r="N16" s="525"/>
      <c r="O16" s="523"/>
      <c r="P16" s="526"/>
      <c r="Q16" s="523"/>
    </row>
    <row r="17" spans="1:17">
      <c r="A17" s="180"/>
      <c r="B17" s="14"/>
      <c r="C17" s="13"/>
      <c r="D17" s="937" t="s">
        <v>998</v>
      </c>
      <c r="E17" s="519">
        <f t="shared" si="0"/>
        <v>12138081.069999993</v>
      </c>
      <c r="F17" s="520">
        <f t="shared" si="2"/>
        <v>2.5419684370625639E-2</v>
      </c>
      <c r="G17" s="521">
        <f t="shared" si="1"/>
        <v>2323</v>
      </c>
      <c r="H17" s="522">
        <f t="shared" si="3"/>
        <v>5.81302237125269E-2</v>
      </c>
      <c r="I17" s="523"/>
      <c r="K17" s="174"/>
      <c r="M17" s="524"/>
      <c r="N17" s="525"/>
      <c r="O17" s="523"/>
      <c r="P17" s="526"/>
      <c r="Q17" s="523"/>
    </row>
    <row r="18" spans="1:17">
      <c r="A18" s="180"/>
      <c r="B18" s="14"/>
      <c r="C18" s="13"/>
      <c r="D18" s="937" t="s">
        <v>999</v>
      </c>
      <c r="E18" s="519">
        <f t="shared" si="0"/>
        <v>15854572.199999999</v>
      </c>
      <c r="F18" s="520">
        <f t="shared" si="2"/>
        <v>3.3202795304389576E-2</v>
      </c>
      <c r="G18" s="521">
        <f t="shared" si="1"/>
        <v>2202</v>
      </c>
      <c r="H18" s="522">
        <f t="shared" si="3"/>
        <v>5.5102347229868377E-2</v>
      </c>
      <c r="I18" s="523"/>
      <c r="K18" s="174"/>
      <c r="M18" s="524"/>
      <c r="N18" s="525"/>
      <c r="O18" s="523"/>
      <c r="P18" s="526"/>
      <c r="Q18" s="523"/>
    </row>
    <row r="19" spans="1:17">
      <c r="A19" s="180"/>
      <c r="B19" s="14"/>
      <c r="C19" s="13"/>
      <c r="D19" s="937" t="s">
        <v>1000</v>
      </c>
      <c r="E19" s="519">
        <f t="shared" si="0"/>
        <v>22014361.830000043</v>
      </c>
      <c r="F19" s="520">
        <f t="shared" si="2"/>
        <v>4.6102685104190862E-2</v>
      </c>
      <c r="G19" s="521">
        <f t="shared" si="1"/>
        <v>2509</v>
      </c>
      <c r="H19" s="522">
        <f t="shared" si="3"/>
        <v>6.2784645413142479E-2</v>
      </c>
      <c r="I19" s="523"/>
      <c r="K19" s="174"/>
      <c r="M19" s="524"/>
      <c r="N19" s="525"/>
      <c r="O19" s="523"/>
      <c r="P19" s="526"/>
      <c r="Q19" s="523"/>
    </row>
    <row r="20" spans="1:17">
      <c r="A20" s="180"/>
      <c r="B20" s="14"/>
      <c r="C20" s="13"/>
      <c r="D20" s="937" t="s">
        <v>1001</v>
      </c>
      <c r="E20" s="519">
        <f t="shared" si="0"/>
        <v>58015239.93</v>
      </c>
      <c r="F20" s="520">
        <f t="shared" si="2"/>
        <v>0.12149606508656466</v>
      </c>
      <c r="G20" s="521">
        <f t="shared" si="1"/>
        <v>5572</v>
      </c>
      <c r="H20" s="522">
        <f t="shared" si="3"/>
        <v>0.1394324608377959</v>
      </c>
      <c r="I20" s="523"/>
      <c r="K20" s="174"/>
      <c r="M20" s="524"/>
      <c r="N20" s="525"/>
      <c r="O20" s="523"/>
      <c r="P20" s="526"/>
      <c r="Q20" s="523"/>
    </row>
    <row r="21" spans="1:17">
      <c r="A21" s="180"/>
      <c r="B21" s="14"/>
      <c r="C21" s="13"/>
      <c r="D21" s="938" t="s">
        <v>1002</v>
      </c>
      <c r="E21" s="519">
        <f t="shared" si="0"/>
        <v>82816786.880000293</v>
      </c>
      <c r="F21" s="520">
        <f t="shared" si="2"/>
        <v>0.17343569967431263</v>
      </c>
      <c r="G21" s="521">
        <f t="shared" si="1"/>
        <v>5573</v>
      </c>
      <c r="H21" s="522">
        <f t="shared" si="3"/>
        <v>0.13945748461037985</v>
      </c>
      <c r="I21" s="523"/>
      <c r="K21" s="174"/>
      <c r="M21" s="524"/>
      <c r="N21" s="525"/>
      <c r="O21" s="523"/>
      <c r="P21" s="526"/>
      <c r="Q21" s="523"/>
    </row>
    <row r="22" spans="1:17">
      <c r="A22" s="180"/>
      <c r="B22" s="14"/>
      <c r="C22" s="13"/>
      <c r="D22" s="937" t="s">
        <v>1003</v>
      </c>
      <c r="E22" s="519">
        <f t="shared" si="0"/>
        <v>186838448.78999981</v>
      </c>
      <c r="F22" s="520">
        <f t="shared" si="2"/>
        <v>0.39127884952733305</v>
      </c>
      <c r="G22" s="521">
        <f t="shared" si="1"/>
        <v>10783</v>
      </c>
      <c r="H22" s="522">
        <f t="shared" si="3"/>
        <v>0.26983133977278412</v>
      </c>
      <c r="I22" s="523"/>
      <c r="K22" s="174"/>
      <c r="M22" s="524"/>
      <c r="N22" s="525"/>
      <c r="O22" s="523"/>
      <c r="P22" s="526"/>
      <c r="Q22" s="523"/>
    </row>
    <row r="23" spans="1:17">
      <c r="A23" s="180"/>
      <c r="B23" s="14"/>
      <c r="C23" s="13"/>
      <c r="D23" s="937" t="s">
        <v>1004</v>
      </c>
      <c r="E23" s="519">
        <f t="shared" si="0"/>
        <v>61324792.879999802</v>
      </c>
      <c r="F23" s="520">
        <f t="shared" si="2"/>
        <v>0.12842696222851857</v>
      </c>
      <c r="G23" s="521">
        <f t="shared" si="1"/>
        <v>3272</v>
      </c>
      <c r="H23" s="522">
        <f t="shared" si="3"/>
        <v>8.1877783894699963E-2</v>
      </c>
      <c r="I23" s="523"/>
      <c r="K23" s="174"/>
      <c r="M23" s="524"/>
      <c r="N23" s="525"/>
      <c r="O23" s="523"/>
      <c r="P23" s="526"/>
      <c r="Q23" s="523"/>
    </row>
    <row r="24" spans="1:17">
      <c r="A24" s="180"/>
      <c r="B24" s="14"/>
      <c r="C24" s="13"/>
      <c r="D24" s="937" t="s">
        <v>1005</v>
      </c>
      <c r="E24" s="519">
        <f t="shared" si="0"/>
        <v>21237630.350000005</v>
      </c>
      <c r="F24" s="520">
        <f t="shared" si="2"/>
        <v>4.4476046680171015E-2</v>
      </c>
      <c r="G24" s="521">
        <f t="shared" si="1"/>
        <v>997</v>
      </c>
      <c r="H24" s="522">
        <f t="shared" si="3"/>
        <v>2.4948701266202893E-2</v>
      </c>
      <c r="I24" s="523"/>
      <c r="K24" s="174"/>
      <c r="M24" s="524"/>
      <c r="N24" s="525"/>
      <c r="O24" s="523"/>
      <c r="P24" s="526"/>
      <c r="Q24" s="523"/>
    </row>
    <row r="25" spans="1:17">
      <c r="A25" s="180"/>
      <c r="B25" s="14"/>
      <c r="C25" s="13"/>
      <c r="D25" s="937" t="s">
        <v>1006</v>
      </c>
      <c r="E25" s="519">
        <f t="shared" si="0"/>
        <v>2776011.1799999983</v>
      </c>
      <c r="F25" s="520">
        <f t="shared" si="2"/>
        <v>5.8135489125488299E-3</v>
      </c>
      <c r="G25" s="521">
        <f t="shared" si="1"/>
        <v>105</v>
      </c>
      <c r="H25" s="522">
        <f t="shared" si="3"/>
        <v>2.6274961213152495E-3</v>
      </c>
      <c r="I25" s="523"/>
      <c r="K25" s="174"/>
      <c r="M25" s="524"/>
      <c r="N25" s="525"/>
      <c r="O25" s="523"/>
      <c r="P25" s="526"/>
      <c r="Q25" s="523"/>
    </row>
    <row r="26" spans="1:17" ht="12.75" customHeight="1">
      <c r="A26" s="180"/>
      <c r="B26" s="14"/>
      <c r="C26" s="13"/>
      <c r="D26" s="937" t="s">
        <v>1007</v>
      </c>
      <c r="E26" s="519">
        <f t="shared" si="0"/>
        <v>357739.67</v>
      </c>
      <c r="F26" s="520">
        <f t="shared" si="2"/>
        <v>7.4918180607042018E-4</v>
      </c>
      <c r="G26" s="521">
        <f t="shared" si="1"/>
        <v>11</v>
      </c>
      <c r="H26" s="522">
        <f t="shared" si="3"/>
        <v>2.7526149842350235E-4</v>
      </c>
      <c r="I26" s="523"/>
      <c r="K26" s="174"/>
      <c r="M26" s="524"/>
      <c r="N26" s="525"/>
      <c r="O26" s="523"/>
      <c r="P26" s="526"/>
      <c r="Q26" s="523"/>
    </row>
    <row r="27" spans="1:17" ht="12.75" customHeight="1">
      <c r="A27" s="180"/>
      <c r="B27" s="14"/>
      <c r="C27" s="13"/>
      <c r="D27" s="937" t="s">
        <v>1008</v>
      </c>
      <c r="E27" s="519">
        <f t="shared" si="0"/>
        <v>92781.13</v>
      </c>
      <c r="F27" s="520">
        <f t="shared" si="2"/>
        <v>1.9430312143647489E-4</v>
      </c>
      <c r="G27" s="521">
        <f t="shared" si="1"/>
        <v>5</v>
      </c>
      <c r="H27" s="522">
        <f t="shared" si="3"/>
        <v>1.2511886291977379E-4</v>
      </c>
      <c r="I27" s="523"/>
      <c r="K27" s="174"/>
      <c r="M27" s="524"/>
      <c r="N27" s="525"/>
      <c r="O27" s="523"/>
      <c r="P27" s="526"/>
      <c r="Q27" s="523"/>
    </row>
    <row r="28" spans="1:17" ht="12.75" customHeight="1" thickBot="1">
      <c r="A28" s="180"/>
      <c r="B28" s="14"/>
      <c r="C28" s="13"/>
      <c r="D28" s="937" t="s">
        <v>1009</v>
      </c>
      <c r="E28" s="519">
        <f t="shared" si="0"/>
        <v>315638.51</v>
      </c>
      <c r="F28" s="520">
        <f t="shared" si="2"/>
        <v>6.6101315794017592E-4</v>
      </c>
      <c r="G28" s="521">
        <f t="shared" si="1"/>
        <v>9</v>
      </c>
      <c r="H28" s="522">
        <f t="shared" si="3"/>
        <v>2.252139532555928E-4</v>
      </c>
      <c r="I28" s="523"/>
      <c r="K28" s="174"/>
      <c r="M28" s="524"/>
      <c r="N28" s="525"/>
      <c r="O28" s="523"/>
      <c r="P28" s="526"/>
      <c r="Q28" s="523"/>
    </row>
    <row r="29" spans="1:17" ht="14" thickTop="1" thickBot="1">
      <c r="A29" s="180"/>
      <c r="B29" s="14"/>
      <c r="C29" s="13"/>
      <c r="D29" s="527" t="s">
        <v>36</v>
      </c>
      <c r="E29" s="488">
        <f>SUM(E14:E28)</f>
        <v>477507151.27000004</v>
      </c>
      <c r="F29" s="489">
        <f>SUM(F14:F28)</f>
        <v>0.99999999999999978</v>
      </c>
      <c r="G29" s="490">
        <f>SUM(G14:G28)</f>
        <v>39962</v>
      </c>
      <c r="H29" s="491">
        <f>SUM(H14:H28)</f>
        <v>1.0000000000000002</v>
      </c>
      <c r="I29" s="510"/>
      <c r="K29" s="174"/>
      <c r="M29" s="37"/>
      <c r="N29" s="509"/>
      <c r="O29" s="510"/>
      <c r="P29" s="511"/>
      <c r="Q29" s="510"/>
    </row>
    <row r="30" spans="1:17" ht="13">
      <c r="A30" s="180"/>
      <c r="B30" s="14"/>
      <c r="C30" s="13"/>
      <c r="D30" s="142"/>
      <c r="E30" s="492"/>
      <c r="F30" s="227"/>
      <c r="G30" s="493"/>
      <c r="H30" s="227"/>
      <c r="I30" s="510"/>
      <c r="K30" s="174"/>
      <c r="M30" s="37"/>
      <c r="N30" s="509"/>
      <c r="O30" s="510"/>
      <c r="P30" s="511"/>
      <c r="Q30" s="510"/>
    </row>
    <row r="31" spans="1:17" ht="13">
      <c r="A31" s="180"/>
      <c r="B31" s="14"/>
      <c r="C31" s="13"/>
      <c r="D31" s="142"/>
      <c r="E31" s="492"/>
      <c r="F31" s="227"/>
      <c r="G31" s="493"/>
      <c r="H31" s="227"/>
      <c r="I31" s="510"/>
      <c r="K31" s="174"/>
      <c r="M31" s="37"/>
      <c r="N31" s="509"/>
      <c r="O31" s="510"/>
      <c r="P31" s="511"/>
      <c r="Q31" s="510"/>
    </row>
    <row r="32" spans="1:17">
      <c r="A32" s="180"/>
      <c r="B32" s="14"/>
      <c r="C32" s="13"/>
      <c r="D32" s="102"/>
      <c r="E32" s="102"/>
      <c r="F32" s="102"/>
      <c r="G32" s="102"/>
      <c r="H32" s="102"/>
      <c r="I32" s="21"/>
      <c r="J32" s="173"/>
      <c r="K32" s="174"/>
    </row>
    <row r="33" spans="1:17" ht="13.5" thickBot="1">
      <c r="A33" s="180"/>
      <c r="B33" s="14"/>
      <c r="C33" s="13"/>
      <c r="D33" s="514" t="s">
        <v>69</v>
      </c>
      <c r="E33" s="514"/>
      <c r="F33" s="102"/>
      <c r="G33" s="102"/>
      <c r="H33" s="102"/>
      <c r="I33" s="21"/>
      <c r="J33" s="173"/>
      <c r="K33" s="174"/>
      <c r="N33" s="513"/>
    </row>
    <row r="34" spans="1:17" ht="13" thickBot="1">
      <c r="A34" s="180"/>
      <c r="B34" s="14"/>
      <c r="C34" s="13"/>
      <c r="D34" s="515" t="s">
        <v>65</v>
      </c>
      <c r="E34" s="516">
        <f>VLOOKUP(CONCATENATE("remaining_",D34),Assets,3,0)</f>
        <v>53.671357066396325</v>
      </c>
      <c r="F34" s="528"/>
      <c r="G34" s="529"/>
      <c r="H34" s="528"/>
      <c r="I34" s="173"/>
      <c r="J34" s="173"/>
      <c r="K34" s="174"/>
      <c r="M34" s="530"/>
      <c r="N34" s="531"/>
      <c r="O34" s="528"/>
      <c r="P34" s="529"/>
      <c r="Q34" s="528"/>
    </row>
    <row r="35" spans="1:17">
      <c r="A35" s="180"/>
      <c r="B35" s="14"/>
      <c r="C35" s="13"/>
      <c r="D35" s="201"/>
      <c r="E35" s="233"/>
      <c r="F35" s="528"/>
      <c r="G35" s="529"/>
      <c r="H35" s="528"/>
      <c r="I35" s="173"/>
      <c r="J35" s="173"/>
      <c r="K35" s="174"/>
      <c r="M35" s="530"/>
      <c r="N35" s="531"/>
      <c r="O35" s="528"/>
      <c r="P35" s="529"/>
      <c r="Q35" s="528"/>
    </row>
    <row r="36" spans="1:17">
      <c r="A36" s="180"/>
      <c r="B36" s="14"/>
      <c r="C36" s="13"/>
      <c r="D36" s="200"/>
      <c r="E36" s="233"/>
      <c r="F36" s="528"/>
      <c r="G36" s="529"/>
      <c r="H36" s="528"/>
      <c r="I36" s="173"/>
      <c r="J36" s="173"/>
      <c r="K36" s="174"/>
      <c r="M36" s="530"/>
      <c r="N36" s="531"/>
      <c r="O36" s="528"/>
      <c r="P36" s="529"/>
      <c r="Q36" s="528"/>
    </row>
    <row r="37" spans="1:17">
      <c r="A37" s="180"/>
      <c r="B37" s="14"/>
      <c r="C37" s="13"/>
      <c r="D37" s="530"/>
      <c r="E37" s="531"/>
      <c r="F37" s="528"/>
      <c r="G37" s="529"/>
      <c r="H37" s="528"/>
      <c r="I37" s="173"/>
      <c r="J37" s="173"/>
      <c r="K37" s="174"/>
      <c r="M37" s="530"/>
      <c r="N37" s="531"/>
      <c r="O37" s="528"/>
      <c r="P37" s="529"/>
      <c r="Q37" s="528"/>
    </row>
    <row r="38" spans="1:17">
      <c r="A38" s="180"/>
      <c r="B38" s="14"/>
      <c r="C38" s="13"/>
      <c r="D38" s="530"/>
      <c r="E38" s="531"/>
      <c r="F38" s="528"/>
      <c r="G38" s="529"/>
      <c r="H38" s="528"/>
      <c r="I38" s="173"/>
      <c r="J38" s="173"/>
      <c r="K38" s="174"/>
      <c r="M38" s="530"/>
      <c r="N38" s="531"/>
      <c r="O38" s="528"/>
      <c r="P38" s="529"/>
      <c r="Q38" s="528"/>
    </row>
    <row r="39" spans="1:17">
      <c r="A39" s="180"/>
      <c r="B39" s="14"/>
      <c r="C39" s="13"/>
      <c r="D39" s="530"/>
      <c r="E39" s="531"/>
      <c r="F39" s="528"/>
      <c r="G39" s="529"/>
      <c r="H39" s="528"/>
      <c r="I39" s="173"/>
      <c r="J39" s="173"/>
      <c r="K39" s="174"/>
      <c r="M39" s="530"/>
      <c r="N39" s="531"/>
      <c r="O39" s="528"/>
      <c r="P39" s="529"/>
      <c r="Q39" s="528"/>
    </row>
    <row r="40" spans="1:17">
      <c r="A40" s="180"/>
      <c r="B40" s="14"/>
      <c r="C40" s="13"/>
      <c r="D40" s="530"/>
      <c r="E40" s="531"/>
      <c r="F40" s="528"/>
      <c r="G40" s="529"/>
      <c r="H40" s="528"/>
      <c r="I40" s="173"/>
      <c r="J40" s="173"/>
      <c r="K40" s="174"/>
      <c r="M40" s="530"/>
      <c r="N40" s="531"/>
      <c r="O40" s="528"/>
      <c r="P40" s="529"/>
      <c r="Q40" s="528"/>
    </row>
    <row r="41" spans="1:17">
      <c r="A41" s="180"/>
      <c r="B41" s="14"/>
      <c r="C41" s="13"/>
      <c r="D41" s="530"/>
      <c r="E41" s="531"/>
      <c r="F41" s="528"/>
      <c r="G41" s="529"/>
      <c r="H41" s="528"/>
      <c r="I41" s="173"/>
      <c r="J41" s="173"/>
      <c r="K41" s="174"/>
      <c r="M41" s="530"/>
      <c r="N41" s="531"/>
      <c r="O41" s="528"/>
      <c r="P41" s="529"/>
      <c r="Q41" s="528"/>
    </row>
    <row r="42" spans="1:17">
      <c r="A42" s="180"/>
      <c r="B42" s="14"/>
      <c r="C42" s="13"/>
      <c r="D42" s="530"/>
      <c r="E42" s="531"/>
      <c r="F42" s="528"/>
      <c r="G42" s="529"/>
      <c r="H42" s="528"/>
      <c r="I42" s="173"/>
      <c r="J42" s="173"/>
      <c r="K42" s="174"/>
      <c r="M42" s="530"/>
      <c r="N42" s="531"/>
      <c r="O42" s="528"/>
      <c r="P42" s="529"/>
      <c r="Q42" s="528"/>
    </row>
    <row r="43" spans="1:17">
      <c r="A43" s="180"/>
      <c r="B43" s="14"/>
      <c r="C43" s="13"/>
      <c r="D43" s="530"/>
      <c r="E43" s="531"/>
      <c r="F43" s="528"/>
      <c r="G43" s="529"/>
      <c r="H43" s="528"/>
      <c r="I43" s="173"/>
      <c r="J43" s="173"/>
      <c r="K43" s="174"/>
      <c r="M43" s="530"/>
      <c r="N43" s="531"/>
      <c r="O43" s="528"/>
      <c r="P43" s="529"/>
      <c r="Q43" s="528"/>
    </row>
    <row r="44" spans="1:17">
      <c r="A44" s="180"/>
      <c r="B44" s="14"/>
      <c r="C44" s="13"/>
      <c r="D44" s="530"/>
      <c r="E44" s="531"/>
      <c r="F44" s="528"/>
      <c r="G44" s="529"/>
      <c r="H44" s="528"/>
      <c r="I44" s="173"/>
      <c r="J44" s="173"/>
      <c r="K44" s="174"/>
      <c r="M44" s="530"/>
      <c r="N44" s="531"/>
      <c r="O44" s="528"/>
      <c r="P44" s="529"/>
      <c r="Q44" s="528"/>
    </row>
    <row r="45" spans="1:17">
      <c r="A45" s="180"/>
      <c r="B45" s="14"/>
      <c r="C45" s="13"/>
      <c r="D45" s="530"/>
      <c r="E45" s="531"/>
      <c r="F45" s="528"/>
      <c r="G45" s="529"/>
      <c r="H45" s="528"/>
      <c r="I45" s="173"/>
      <c r="J45" s="173"/>
      <c r="K45" s="174"/>
      <c r="M45" s="530"/>
      <c r="N45" s="531"/>
      <c r="O45" s="528"/>
      <c r="P45" s="529"/>
      <c r="Q45" s="528"/>
    </row>
    <row r="46" spans="1:17">
      <c r="A46" s="180"/>
      <c r="B46" s="14"/>
      <c r="C46" s="13"/>
      <c r="D46" s="530"/>
      <c r="E46" s="531"/>
      <c r="F46" s="528"/>
      <c r="G46" s="529"/>
      <c r="H46" s="528"/>
      <c r="I46" s="173"/>
      <c r="J46" s="173"/>
      <c r="K46" s="174"/>
      <c r="M46" s="530"/>
      <c r="N46" s="531"/>
      <c r="O46" s="528"/>
      <c r="P46" s="529"/>
      <c r="Q46" s="528"/>
    </row>
    <row r="47" spans="1:17">
      <c r="A47" s="180"/>
      <c r="B47" s="14"/>
      <c r="C47" s="13"/>
      <c r="D47" s="530"/>
      <c r="E47" s="531"/>
      <c r="F47" s="528"/>
      <c r="G47" s="529"/>
      <c r="H47" s="528"/>
      <c r="I47" s="173"/>
      <c r="J47" s="173"/>
      <c r="K47" s="174"/>
      <c r="M47" s="530"/>
      <c r="N47" s="531"/>
      <c r="O47" s="528"/>
      <c r="P47" s="529"/>
      <c r="Q47" s="528"/>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150</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row>
    <row r="4" spans="1:17" s="102" customFormat="1" ht="13">
      <c r="A4" s="103"/>
      <c r="B4" s="157"/>
      <c r="C4" s="158"/>
      <c r="D4" s="112" t="str">
        <f>'Cover Sheet'!D4</f>
        <v>Period  No</v>
      </c>
      <c r="E4" s="113"/>
      <c r="F4" s="117">
        <f>'Cover Sheet'!F4</f>
        <v>35</v>
      </c>
      <c r="G4" s="113"/>
      <c r="H4" s="118"/>
      <c r="I4" s="113"/>
      <c r="J4" s="119"/>
      <c r="K4" s="359"/>
      <c r="M4" s="164"/>
      <c r="N4" s="21"/>
      <c r="O4" s="229"/>
      <c r="P4" s="21"/>
      <c r="Q4" s="164"/>
    </row>
    <row r="5" spans="1:17" s="102" customFormat="1" ht="18">
      <c r="A5" s="103"/>
      <c r="B5" s="160" t="s">
        <v>151</v>
      </c>
      <c r="C5" s="120"/>
      <c r="D5" s="112" t="str">
        <f>'Cover Sheet'!D5</f>
        <v>Monthly Period</v>
      </c>
      <c r="E5" s="113"/>
      <c r="F5" s="121">
        <f>'Cover Sheet'!F5</f>
        <v>45915</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8" t="s">
        <v>77</v>
      </c>
      <c r="E13" s="499" t="s">
        <v>71</v>
      </c>
      <c r="F13" s="500" t="s">
        <v>113</v>
      </c>
      <c r="G13" s="501" t="s">
        <v>61</v>
      </c>
      <c r="H13" s="502" t="s">
        <v>114</v>
      </c>
      <c r="I13" s="172"/>
      <c r="J13" s="21"/>
      <c r="K13" s="110"/>
      <c r="M13" s="214"/>
      <c r="N13" s="215"/>
      <c r="O13" s="495"/>
      <c r="P13" s="495"/>
      <c r="Q13" s="217"/>
    </row>
    <row r="14" spans="1:17">
      <c r="A14" s="180"/>
      <c r="B14" s="14"/>
      <c r="C14" s="13"/>
      <c r="D14" s="503" t="s">
        <v>1010</v>
      </c>
      <c r="E14" s="504">
        <f t="shared" ref="E14:E29" si="0">VLOOKUP(CONCATENATE("origterm_",D14),Assets,3,0)</f>
        <v>-3168.3199999999997</v>
      </c>
      <c r="F14" s="505">
        <f>E14/$E$30</f>
        <v>-6.6351257600506827E-6</v>
      </c>
      <c r="G14" s="506">
        <f t="shared" ref="G14:G29" si="1">VLOOKUP(CONCATENATE("origterm_",D14),Assets,2,0)</f>
        <v>5</v>
      </c>
      <c r="H14" s="507">
        <f>G14/$G$30</f>
        <v>1.2511886291977379E-4</v>
      </c>
      <c r="I14" s="219"/>
      <c r="J14" s="21"/>
      <c r="K14" s="174"/>
      <c r="N14" s="365"/>
      <c r="O14" s="219"/>
      <c r="P14" s="366"/>
      <c r="Q14" s="219"/>
    </row>
    <row r="15" spans="1:17">
      <c r="A15" s="180"/>
      <c r="B15" s="14"/>
      <c r="C15" s="13"/>
      <c r="D15" s="503" t="s">
        <v>997</v>
      </c>
      <c r="E15" s="504">
        <f t="shared" si="0"/>
        <v>-8303.2400000000016</v>
      </c>
      <c r="F15" s="505">
        <f t="shared" ref="F15:F29" si="2">E15/$E$30</f>
        <v>-1.7388723871289279E-5</v>
      </c>
      <c r="G15" s="506">
        <f t="shared" si="1"/>
        <v>13</v>
      </c>
      <c r="H15" s="507">
        <f t="shared" ref="H15:H29" si="3">G15/$G$30</f>
        <v>3.2530904359141186E-4</v>
      </c>
      <c r="I15" s="219"/>
      <c r="J15" s="21"/>
      <c r="K15" s="174"/>
      <c r="N15" s="365"/>
      <c r="O15" s="219"/>
      <c r="P15" s="366"/>
      <c r="Q15" s="219"/>
    </row>
    <row r="16" spans="1:17">
      <c r="A16" s="180"/>
      <c r="B16" s="14"/>
      <c r="C16" s="13"/>
      <c r="D16" s="503" t="s">
        <v>998</v>
      </c>
      <c r="E16" s="504">
        <f t="shared" si="0"/>
        <v>-13382.45</v>
      </c>
      <c r="F16" s="505">
        <f t="shared" si="2"/>
        <v>-2.8025653572742106E-5</v>
      </c>
      <c r="G16" s="506">
        <f t="shared" si="1"/>
        <v>22</v>
      </c>
      <c r="H16" s="507">
        <f t="shared" si="3"/>
        <v>5.5052299684700469E-4</v>
      </c>
      <c r="I16" s="219"/>
      <c r="J16" s="21"/>
      <c r="K16" s="174"/>
      <c r="N16" s="365"/>
      <c r="O16" s="219"/>
      <c r="P16" s="366"/>
      <c r="Q16" s="219"/>
    </row>
    <row r="17" spans="1:17">
      <c r="A17" s="180"/>
      <c r="B17" s="14"/>
      <c r="C17" s="13"/>
      <c r="D17" s="503" t="s">
        <v>999</v>
      </c>
      <c r="E17" s="504">
        <f t="shared" si="0"/>
        <v>16128.55</v>
      </c>
      <c r="F17" s="505">
        <f t="shared" si="2"/>
        <v>3.3776562208762194E-5</v>
      </c>
      <c r="G17" s="506">
        <f t="shared" si="1"/>
        <v>61</v>
      </c>
      <c r="H17" s="507">
        <f t="shared" si="3"/>
        <v>1.5264501276212401E-3</v>
      </c>
      <c r="I17" s="219"/>
      <c r="J17" s="21"/>
      <c r="K17" s="174"/>
      <c r="N17" s="365"/>
      <c r="O17" s="219"/>
      <c r="P17" s="366"/>
      <c r="Q17" s="219"/>
    </row>
    <row r="18" spans="1:17">
      <c r="A18" s="180"/>
      <c r="B18" s="14"/>
      <c r="C18" s="13"/>
      <c r="D18" s="503" t="s">
        <v>1000</v>
      </c>
      <c r="E18" s="504">
        <f t="shared" si="0"/>
        <v>579886.28000000061</v>
      </c>
      <c r="F18" s="505">
        <f t="shared" si="2"/>
        <v>1.2144033413064234E-3</v>
      </c>
      <c r="G18" s="506">
        <f t="shared" si="1"/>
        <v>651</v>
      </c>
      <c r="H18" s="507">
        <f t="shared" si="3"/>
        <v>1.6290475952154548E-2</v>
      </c>
      <c r="I18" s="219"/>
      <c r="J18" s="21"/>
      <c r="K18" s="174"/>
      <c r="N18" s="365"/>
      <c r="O18" s="219"/>
      <c r="P18" s="366"/>
      <c r="Q18" s="219"/>
    </row>
    <row r="19" spans="1:17">
      <c r="A19" s="180"/>
      <c r="B19" s="14"/>
      <c r="C19" s="13"/>
      <c r="D19" s="503" t="s">
        <v>1001</v>
      </c>
      <c r="E19" s="504">
        <f t="shared" si="0"/>
        <v>817022.57999999949</v>
      </c>
      <c r="F19" s="505">
        <f t="shared" si="2"/>
        <v>1.7110164273498468E-3</v>
      </c>
      <c r="G19" s="506">
        <f t="shared" si="1"/>
        <v>495</v>
      </c>
      <c r="H19" s="507">
        <f t="shared" si="3"/>
        <v>1.2386767429057605E-2</v>
      </c>
      <c r="I19" s="219"/>
      <c r="J19" s="21"/>
      <c r="K19" s="174"/>
      <c r="N19" s="365"/>
      <c r="O19" s="219"/>
      <c r="P19" s="366"/>
      <c r="Q19" s="219"/>
    </row>
    <row r="20" spans="1:17">
      <c r="A20" s="180"/>
      <c r="B20" s="14"/>
      <c r="C20" s="13"/>
      <c r="D20" s="503" t="s">
        <v>1002</v>
      </c>
      <c r="E20" s="504">
        <f t="shared" si="0"/>
        <v>6093814.6900000088</v>
      </c>
      <c r="F20" s="505">
        <f t="shared" si="2"/>
        <v>1.276172445541938E-2</v>
      </c>
      <c r="G20" s="506">
        <f t="shared" si="1"/>
        <v>3468</v>
      </c>
      <c r="H20" s="507">
        <f t="shared" si="3"/>
        <v>8.6782443321155103E-2</v>
      </c>
      <c r="I20" s="219"/>
      <c r="J20" s="21"/>
      <c r="K20" s="174"/>
      <c r="N20" s="365"/>
      <c r="O20" s="219"/>
      <c r="P20" s="366"/>
      <c r="Q20" s="219"/>
    </row>
    <row r="21" spans="1:17">
      <c r="A21" s="180"/>
      <c r="B21" s="14"/>
      <c r="C21" s="13"/>
      <c r="D21" s="503" t="s">
        <v>1003</v>
      </c>
      <c r="E21" s="504">
        <f t="shared" si="0"/>
        <v>14583397.509999983</v>
      </c>
      <c r="F21" s="505">
        <f t="shared" si="2"/>
        <v>3.0540689225728425E-2</v>
      </c>
      <c r="G21" s="506">
        <f t="shared" si="1"/>
        <v>3600</v>
      </c>
      <c r="H21" s="507">
        <f t="shared" si="3"/>
        <v>9.0085581302237122E-2</v>
      </c>
      <c r="I21" s="219"/>
      <c r="J21" s="21"/>
      <c r="K21" s="174"/>
      <c r="N21" s="365"/>
      <c r="O21" s="219"/>
      <c r="P21" s="366"/>
      <c r="Q21" s="219"/>
    </row>
    <row r="22" spans="1:17">
      <c r="A22" s="180"/>
      <c r="B22" s="14"/>
      <c r="C22" s="13"/>
      <c r="D22" s="503" t="s">
        <v>1004</v>
      </c>
      <c r="E22" s="504">
        <f t="shared" si="0"/>
        <v>5023522.5200000051</v>
      </c>
      <c r="F22" s="505">
        <f t="shared" si="2"/>
        <v>1.052030845326443E-2</v>
      </c>
      <c r="G22" s="506">
        <f t="shared" si="1"/>
        <v>724</v>
      </c>
      <c r="H22" s="507">
        <f t="shared" si="3"/>
        <v>1.8117211350783244E-2</v>
      </c>
      <c r="I22" s="219"/>
      <c r="J22" s="21"/>
      <c r="K22" s="174"/>
      <c r="N22" s="365"/>
      <c r="O22" s="219"/>
      <c r="P22" s="366"/>
      <c r="Q22" s="219"/>
    </row>
    <row r="23" spans="1:17">
      <c r="A23" s="180"/>
      <c r="B23" s="14"/>
      <c r="C23" s="13"/>
      <c r="D23" s="503" t="s">
        <v>1005</v>
      </c>
      <c r="E23" s="504">
        <f t="shared" si="0"/>
        <v>21094067.100000016</v>
      </c>
      <c r="F23" s="505">
        <f t="shared" si="2"/>
        <v>4.4175395161930524E-2</v>
      </c>
      <c r="G23" s="506">
        <f t="shared" si="1"/>
        <v>2864</v>
      </c>
      <c r="H23" s="507">
        <f t="shared" si="3"/>
        <v>7.1668084680446428E-2</v>
      </c>
      <c r="I23" s="219"/>
      <c r="J23" s="21"/>
      <c r="K23" s="174"/>
      <c r="N23" s="365"/>
      <c r="O23" s="219"/>
      <c r="P23" s="366"/>
      <c r="Q23" s="219"/>
    </row>
    <row r="24" spans="1:17">
      <c r="A24" s="180"/>
      <c r="B24" s="14"/>
      <c r="C24" s="13"/>
      <c r="D24" s="503" t="s">
        <v>1006</v>
      </c>
      <c r="E24" s="504">
        <f t="shared" si="0"/>
        <v>9331845.9899999946</v>
      </c>
      <c r="F24" s="505">
        <f t="shared" si="2"/>
        <v>1.9542840280361403E-2</v>
      </c>
      <c r="G24" s="506">
        <f t="shared" si="1"/>
        <v>778</v>
      </c>
      <c r="H24" s="507">
        <f t="shared" si="3"/>
        <v>1.94684950703168E-2</v>
      </c>
      <c r="I24" s="219"/>
      <c r="J24" s="21"/>
      <c r="K24" s="174"/>
      <c r="N24" s="365"/>
      <c r="O24" s="219"/>
      <c r="P24" s="366"/>
      <c r="Q24" s="219"/>
    </row>
    <row r="25" spans="1:17">
      <c r="A25" s="180"/>
      <c r="B25" s="14"/>
      <c r="C25" s="13"/>
      <c r="D25" s="503" t="s">
        <v>1007</v>
      </c>
      <c r="E25" s="504">
        <f t="shared" si="0"/>
        <v>70815339.319999948</v>
      </c>
      <c r="F25" s="505">
        <f t="shared" si="2"/>
        <v>0.14830215449476747</v>
      </c>
      <c r="G25" s="506">
        <f t="shared" si="1"/>
        <v>7219</v>
      </c>
      <c r="H25" s="507">
        <f t="shared" si="3"/>
        <v>0.1806466142835694</v>
      </c>
      <c r="I25" s="219"/>
      <c r="J25" s="21"/>
      <c r="K25" s="174"/>
      <c r="N25" s="365"/>
      <c r="O25" s="219"/>
      <c r="P25" s="366"/>
      <c r="Q25" s="219"/>
    </row>
    <row r="26" spans="1:17">
      <c r="A26" s="180"/>
      <c r="B26" s="14"/>
      <c r="C26" s="13"/>
      <c r="D26" s="503" t="s">
        <v>1008</v>
      </c>
      <c r="E26" s="504">
        <f t="shared" si="0"/>
        <v>208879541.44000095</v>
      </c>
      <c r="F26" s="505">
        <f t="shared" si="2"/>
        <v>0.43743751456801222</v>
      </c>
      <c r="G26" s="506">
        <f t="shared" si="1"/>
        <v>13049</v>
      </c>
      <c r="H26" s="507">
        <f t="shared" si="3"/>
        <v>0.32653520844802564</v>
      </c>
      <c r="I26" s="219"/>
      <c r="J26" s="21"/>
      <c r="K26" s="174"/>
      <c r="N26" s="365"/>
      <c r="O26" s="219"/>
      <c r="P26" s="366"/>
      <c r="Q26" s="219"/>
    </row>
    <row r="27" spans="1:17">
      <c r="A27" s="180"/>
      <c r="B27" s="14"/>
      <c r="C27" s="13"/>
      <c r="D27" s="503" t="s">
        <v>1011</v>
      </c>
      <c r="E27" s="504">
        <f t="shared" si="0"/>
        <v>117063736.15999982</v>
      </c>
      <c r="F27" s="505">
        <f t="shared" si="2"/>
        <v>0.24515598530545887</v>
      </c>
      <c r="G27" s="506">
        <f t="shared" si="1"/>
        <v>6184</v>
      </c>
      <c r="H27" s="507">
        <f t="shared" si="3"/>
        <v>0.1547470096591762</v>
      </c>
      <c r="I27" s="219"/>
      <c r="J27" s="21"/>
      <c r="K27" s="174"/>
      <c r="N27" s="365"/>
      <c r="O27" s="219"/>
      <c r="P27" s="366"/>
      <c r="Q27" s="219"/>
    </row>
    <row r="28" spans="1:17">
      <c r="A28" s="180"/>
      <c r="B28" s="14"/>
      <c r="C28" s="13"/>
      <c r="D28" s="503" t="s">
        <v>1012</v>
      </c>
      <c r="E28" s="504">
        <f t="shared" si="0"/>
        <v>19312448.640000008</v>
      </c>
      <c r="F28" s="505">
        <f t="shared" si="2"/>
        <v>4.0444312904289917E-2</v>
      </c>
      <c r="G28" s="506">
        <f t="shared" si="1"/>
        <v>695</v>
      </c>
      <c r="H28" s="507">
        <f t="shared" si="3"/>
        <v>1.7391521945848556E-2</v>
      </c>
      <c r="I28" s="219"/>
      <c r="J28" s="21"/>
      <c r="K28" s="174"/>
      <c r="N28" s="365"/>
      <c r="O28" s="219"/>
      <c r="P28" s="366"/>
      <c r="Q28" s="219"/>
    </row>
    <row r="29" spans="1:17" ht="13" thickBot="1">
      <c r="A29" s="180"/>
      <c r="B29" s="14"/>
      <c r="C29" s="13"/>
      <c r="D29" s="503" t="s">
        <v>1013</v>
      </c>
      <c r="E29" s="504">
        <f t="shared" si="0"/>
        <v>3921254.5</v>
      </c>
      <c r="F29" s="505">
        <f t="shared" si="2"/>
        <v>8.2119283231064603E-3</v>
      </c>
      <c r="G29" s="506">
        <f t="shared" si="1"/>
        <v>134</v>
      </c>
      <c r="H29" s="507">
        <f t="shared" si="3"/>
        <v>3.3531855262499376E-3</v>
      </c>
      <c r="I29" s="219"/>
      <c r="J29" s="21"/>
      <c r="K29" s="174"/>
      <c r="N29" s="365"/>
      <c r="O29" s="219"/>
      <c r="P29" s="366"/>
      <c r="Q29" s="219"/>
    </row>
    <row r="30" spans="1:17" ht="14" thickTop="1" thickBot="1">
      <c r="A30" s="180"/>
      <c r="B30" s="14"/>
      <c r="C30" s="13"/>
      <c r="D30" s="487" t="s">
        <v>36</v>
      </c>
      <c r="E30" s="488">
        <f>SUM(E14:E29)</f>
        <v>477507151.2700007</v>
      </c>
      <c r="F30" s="489">
        <f>SUM(F14:F29)</f>
        <v>1.0000000000000002</v>
      </c>
      <c r="G30" s="490">
        <f>SUM(G14:G29)</f>
        <v>39962</v>
      </c>
      <c r="H30" s="491">
        <f>SUM(H14:H29)</f>
        <v>1</v>
      </c>
      <c r="I30" s="21"/>
      <c r="J30" s="21"/>
      <c r="K30" s="174"/>
      <c r="M30" s="508"/>
      <c r="N30" s="509"/>
      <c r="O30" s="510"/>
      <c r="P30" s="511"/>
      <c r="Q30" s="510"/>
    </row>
    <row r="31" spans="1:17" ht="18" customHeight="1">
      <c r="A31" s="180"/>
      <c r="B31" s="14"/>
      <c r="C31" s="13"/>
      <c r="D31" s="102"/>
      <c r="E31" s="102"/>
      <c r="F31" s="102"/>
      <c r="G31" s="102"/>
      <c r="H31" s="102"/>
      <c r="I31" s="21"/>
      <c r="J31" s="21"/>
      <c r="K31" s="174"/>
    </row>
    <row r="32" spans="1:17">
      <c r="A32" s="180"/>
      <c r="B32" s="14"/>
      <c r="C32" s="13"/>
      <c r="D32" s="102"/>
      <c r="E32" s="102"/>
      <c r="F32" s="102"/>
      <c r="G32" s="102"/>
      <c r="H32" s="102"/>
      <c r="I32" s="21"/>
      <c r="J32" s="21"/>
      <c r="K32" s="174"/>
    </row>
    <row r="33" spans="1:14">
      <c r="A33" s="180"/>
      <c r="B33" s="14"/>
      <c r="C33" s="13"/>
      <c r="D33" s="102"/>
      <c r="E33" s="512"/>
      <c r="F33" s="102"/>
      <c r="G33" s="102"/>
      <c r="H33" s="102"/>
      <c r="I33" s="21"/>
      <c r="J33" s="21"/>
      <c r="K33" s="174"/>
      <c r="N33" s="513"/>
    </row>
    <row r="34" spans="1:14" ht="13.5" thickBot="1">
      <c r="A34" s="180"/>
      <c r="B34" s="14"/>
      <c r="C34" s="13"/>
      <c r="D34" s="514" t="s">
        <v>69</v>
      </c>
      <c r="E34" s="514"/>
      <c r="F34" s="102"/>
      <c r="G34" s="102"/>
      <c r="H34" s="102"/>
      <c r="I34" s="224"/>
      <c r="J34" s="21"/>
      <c r="K34" s="174"/>
    </row>
    <row r="35" spans="1:14" ht="13" thickBot="1">
      <c r="A35" s="180"/>
      <c r="B35" s="14"/>
      <c r="C35" s="13"/>
      <c r="D35" s="515" t="s">
        <v>66</v>
      </c>
      <c r="E35" s="516">
        <f>VLOOKUP(CONCATENATE("origterm_",D35),Assets,3,0)</f>
        <v>92.842789338755253</v>
      </c>
      <c r="F35" s="21"/>
      <c r="G35" s="21"/>
      <c r="H35" s="21"/>
      <c r="I35" s="21"/>
      <c r="J35" s="21"/>
      <c r="K35" s="174"/>
    </row>
    <row r="36" spans="1:14">
      <c r="A36" s="180"/>
      <c r="B36" s="14"/>
      <c r="C36" s="13"/>
      <c r="D36" s="201"/>
      <c r="E36" s="233"/>
      <c r="F36" s="21"/>
      <c r="G36" s="21"/>
      <c r="H36" s="21"/>
      <c r="I36" s="21"/>
      <c r="J36" s="21"/>
      <c r="K36" s="174"/>
    </row>
    <row r="37" spans="1:14">
      <c r="A37" s="180"/>
      <c r="B37" s="14"/>
      <c r="C37" s="13"/>
      <c r="D37" s="200"/>
      <c r="E37" s="233"/>
      <c r="F37" s="21"/>
      <c r="G37" s="21"/>
      <c r="H37" s="21"/>
      <c r="I37" s="21"/>
      <c r="J37" s="21"/>
      <c r="K37" s="174"/>
    </row>
    <row r="38" spans="1:14">
      <c r="A38" s="180"/>
      <c r="B38" s="14"/>
      <c r="C38" s="13"/>
      <c r="D38" s="21"/>
      <c r="E38" s="21"/>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95"/>
      <c r="B55" s="29"/>
      <c r="C55" s="11"/>
      <c r="D55" s="349"/>
      <c r="E55" s="11"/>
      <c r="F55" s="316"/>
      <c r="G55" s="350"/>
      <c r="H55" s="316"/>
      <c r="I55" s="390"/>
      <c r="J55" s="50"/>
      <c r="K55" s="196"/>
      <c r="M55" s="197"/>
      <c r="N55" s="13"/>
      <c r="O55" s="198"/>
      <c r="P55" s="199"/>
      <c r="Q55" s="198"/>
    </row>
    <row r="56" spans="1:17">
      <c r="A56" s="49"/>
      <c r="B56" s="14"/>
      <c r="C56" s="13"/>
      <c r="D56" s="197"/>
      <c r="E56" s="13"/>
      <c r="F56" s="198"/>
      <c r="G56" s="199"/>
      <c r="H56" s="198"/>
      <c r="I56" s="173"/>
      <c r="J56" s="21"/>
      <c r="K56" s="21"/>
      <c r="L56" s="21"/>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105" customFormat="1" ht="15" customHeight="1">
      <c r="B59" s="14"/>
      <c r="C59" s="13"/>
      <c r="D59" s="197"/>
      <c r="E59" s="13"/>
      <c r="F59" s="198"/>
      <c r="G59" s="199"/>
      <c r="H59" s="198"/>
      <c r="I59" s="145"/>
      <c r="M59" s="197"/>
      <c r="N59" s="13"/>
      <c r="O59" s="198"/>
      <c r="P59" s="199"/>
      <c r="Q59" s="198"/>
    </row>
    <row r="60" spans="1:17" s="105" customFormat="1">
      <c r="B60" s="14"/>
      <c r="C60" s="13"/>
      <c r="D60" s="197"/>
      <c r="E60" s="13"/>
      <c r="F60" s="198"/>
      <c r="G60" s="199"/>
      <c r="H60" s="198"/>
      <c r="I60" s="145"/>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200"/>
      <c r="E89" s="201"/>
      <c r="F89" s="232"/>
      <c r="G89" s="203"/>
      <c r="H89" s="232"/>
      <c r="I89" s="173"/>
      <c r="M89" s="200"/>
      <c r="N89" s="201"/>
      <c r="O89" s="232"/>
      <c r="P89" s="203"/>
      <c r="Q89" s="232"/>
    </row>
    <row r="90" spans="2:17" s="21" customFormat="1">
      <c r="B90" s="14"/>
      <c r="C90" s="13"/>
      <c r="D90" s="200"/>
      <c r="E90" s="200"/>
      <c r="F90" s="200"/>
      <c r="G90" s="200"/>
      <c r="H90" s="200"/>
      <c r="I90" s="173"/>
      <c r="M90" s="200"/>
      <c r="N90" s="200"/>
      <c r="O90" s="200"/>
      <c r="P90" s="200"/>
      <c r="Q90" s="200"/>
    </row>
    <row r="91" spans="2:17" s="21" customFormat="1">
      <c r="B91" s="14"/>
      <c r="C91" s="13"/>
      <c r="D91" s="200"/>
      <c r="E91" s="200"/>
      <c r="F91" s="200"/>
      <c r="G91" s="200"/>
      <c r="H91" s="200"/>
      <c r="I91" s="173"/>
      <c r="M91" s="200"/>
      <c r="N91" s="200"/>
      <c r="O91" s="200"/>
      <c r="P91" s="200"/>
      <c r="Q91" s="200"/>
    </row>
    <row r="92" spans="2:17" s="21" customFormat="1">
      <c r="B92" s="14"/>
      <c r="C92" s="13"/>
      <c r="D92" s="204"/>
      <c r="E92" s="233"/>
      <c r="F92" s="200"/>
      <c r="G92" s="200"/>
      <c r="H92" s="200"/>
      <c r="I92" s="173"/>
      <c r="M92" s="204"/>
      <c r="N92" s="233"/>
      <c r="O92" s="200"/>
      <c r="P92" s="200"/>
      <c r="Q92" s="200"/>
    </row>
    <row r="93" spans="2:17" s="21" customFormat="1">
      <c r="B93" s="14"/>
      <c r="C93" s="13"/>
      <c r="D93" s="201"/>
      <c r="E93" s="233"/>
      <c r="F93" s="200"/>
      <c r="G93" s="200"/>
      <c r="H93" s="200"/>
      <c r="I93" s="173"/>
      <c r="M93" s="201"/>
      <c r="N93" s="233"/>
      <c r="O93" s="200"/>
      <c r="P93" s="200"/>
      <c r="Q93" s="200"/>
    </row>
    <row r="94" spans="2:17" s="21" customFormat="1">
      <c r="B94" s="14"/>
      <c r="C94" s="13"/>
      <c r="D94" s="200"/>
      <c r="E94" s="233"/>
      <c r="F94" s="200"/>
      <c r="G94" s="200"/>
      <c r="H94" s="200"/>
      <c r="I94" s="173"/>
      <c r="M94" s="200"/>
      <c r="N94" s="233"/>
      <c r="O94" s="200"/>
      <c r="P94" s="200"/>
      <c r="Q94" s="200"/>
    </row>
    <row r="95" spans="2:17" s="21" customFormat="1" ht="14">
      <c r="B95" s="200"/>
      <c r="C95" s="201"/>
      <c r="D95" s="206"/>
      <c r="E95" s="206"/>
      <c r="F95" s="206"/>
      <c r="G95" s="206"/>
      <c r="H95" s="206"/>
      <c r="I95" s="173"/>
      <c r="M95" s="206"/>
      <c r="N95" s="206"/>
      <c r="O95" s="206"/>
      <c r="P95" s="206"/>
      <c r="Q95" s="206"/>
    </row>
    <row r="96" spans="2:17" s="21" customFormat="1" ht="14">
      <c r="B96" s="105"/>
      <c r="C96" s="105"/>
      <c r="D96" s="206"/>
      <c r="E96" s="206"/>
      <c r="F96" s="206"/>
      <c r="G96" s="206"/>
      <c r="H96" s="206"/>
      <c r="I96" s="173"/>
      <c r="M96" s="206"/>
      <c r="N96" s="206"/>
      <c r="O96" s="206"/>
      <c r="P96" s="206"/>
      <c r="Q96" s="206"/>
    </row>
    <row r="97" spans="2:17" s="21" customFormat="1" ht="14">
      <c r="B97" s="105"/>
      <c r="C97" s="105"/>
      <c r="D97" s="207"/>
      <c r="E97" s="234"/>
      <c r="F97" s="206"/>
      <c r="G97" s="206"/>
      <c r="H97" s="206"/>
      <c r="I97" s="173"/>
      <c r="M97" s="207"/>
      <c r="N97" s="234"/>
      <c r="O97" s="206"/>
      <c r="P97" s="206"/>
      <c r="Q97" s="206"/>
    </row>
    <row r="98" spans="2:17" s="21" customFormat="1" ht="14">
      <c r="B98" s="204"/>
      <c r="C98" s="233"/>
      <c r="D98" s="209"/>
      <c r="E98" s="234"/>
      <c r="F98" s="206"/>
      <c r="G98" s="206"/>
      <c r="H98" s="206"/>
      <c r="I98" s="173"/>
      <c r="M98" s="209"/>
      <c r="N98" s="234"/>
      <c r="O98" s="206"/>
      <c r="P98" s="206"/>
      <c r="Q98" s="206"/>
    </row>
    <row r="99" spans="2:17" s="21" customFormat="1" ht="14">
      <c r="B99" s="210"/>
      <c r="C99" s="233"/>
      <c r="D99" s="206"/>
      <c r="E99" s="234"/>
      <c r="F99" s="206"/>
      <c r="G99" s="206"/>
      <c r="H99" s="206"/>
      <c r="I99" s="173"/>
      <c r="M99" s="206"/>
      <c r="N99" s="234"/>
      <c r="O99" s="206"/>
      <c r="P99" s="206"/>
      <c r="Q99" s="206"/>
    </row>
    <row r="100" spans="2:17" s="21" customFormat="1">
      <c r="C100" s="233"/>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152</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45911</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45915</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35</v>
      </c>
      <c r="G4" s="113"/>
      <c r="H4" s="118"/>
      <c r="I4" s="113"/>
      <c r="J4" s="119"/>
      <c r="K4" s="359"/>
      <c r="M4" s="164"/>
      <c r="N4" s="21"/>
      <c r="O4" s="474"/>
      <c r="P4" s="21"/>
      <c r="Q4" s="164"/>
      <c r="R4" s="21"/>
    </row>
    <row r="5" spans="1:18" s="102" customFormat="1" ht="18">
      <c r="A5" s="103"/>
      <c r="B5" s="160" t="s">
        <v>153</v>
      </c>
      <c r="C5" s="120"/>
      <c r="D5" s="112" t="str">
        <f>'Cover Sheet'!D5</f>
        <v>Monthly Period</v>
      </c>
      <c r="E5" s="113"/>
      <c r="F5" s="121">
        <f>'Cover Sheet'!F5</f>
        <v>45915</v>
      </c>
      <c r="G5" s="113"/>
      <c r="H5" s="118"/>
      <c r="I5" s="113"/>
      <c r="J5" s="119"/>
      <c r="K5" s="125"/>
      <c r="M5" s="164"/>
      <c r="N5" s="21"/>
      <c r="O5" s="475"/>
      <c r="P5" s="21"/>
      <c r="Q5" s="164"/>
      <c r="R5" s="21"/>
    </row>
    <row r="6" spans="1:18"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64"/>
      <c r="N6" s="229"/>
      <c r="O6" s="473"/>
      <c r="P6" s="21"/>
      <c r="Q6" s="473"/>
      <c r="R6" s="21"/>
    </row>
    <row r="7" spans="1:18"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939" t="s">
        <v>957</v>
      </c>
      <c r="D14" s="51">
        <f t="shared" ref="D14:D20" si="0">VLOOKUP(CONCATENATE("loanconc_",C14),Assets,3,0)</f>
        <v>469856244.76999915</v>
      </c>
      <c r="E14" s="52">
        <f>D14/$D$21</f>
        <v>0.983977399124492</v>
      </c>
      <c r="F14" s="483">
        <f>H14*1</f>
        <v>38775</v>
      </c>
      <c r="G14" s="53">
        <f>F14/$F$21</f>
        <v>0.97029678194284574</v>
      </c>
      <c r="H14" s="483">
        <f t="shared" ref="H14:H20" si="1">VLOOKUP(CONCATENATE("loanconc_",C14),Assets,2,0)</f>
        <v>38775</v>
      </c>
      <c r="I14" s="54">
        <f>H14/$H$21</f>
        <v>0.98531242853149692</v>
      </c>
      <c r="J14" s="21"/>
      <c r="K14" s="174"/>
      <c r="M14" s="105"/>
      <c r="N14" s="484"/>
      <c r="O14" s="485"/>
      <c r="P14" s="369"/>
      <c r="Q14" s="105"/>
      <c r="R14" s="369"/>
    </row>
    <row r="15" spans="1:18">
      <c r="A15" s="180"/>
      <c r="B15" s="14"/>
      <c r="C15" s="939" t="s">
        <v>958</v>
      </c>
      <c r="D15" s="55">
        <f t="shared" si="0"/>
        <v>7483468.5700000059</v>
      </c>
      <c r="E15" s="56">
        <f t="shared" ref="E15:E20" si="2">D15/$D$21</f>
        <v>1.5671950776227416E-2</v>
      </c>
      <c r="F15" s="486">
        <f>H15*2</f>
        <v>1104</v>
      </c>
      <c r="G15" s="57">
        <f t="shared" ref="G15:G20" si="3">F15/$F$21</f>
        <v>2.7626244932686051E-2</v>
      </c>
      <c r="H15" s="486">
        <f t="shared" si="1"/>
        <v>552</v>
      </c>
      <c r="I15" s="58">
        <f t="shared" ref="I15:I20" si="4">H15/$H$21</f>
        <v>1.4026884862653419E-2</v>
      </c>
      <c r="J15" s="21"/>
      <c r="K15" s="174"/>
      <c r="M15" s="105"/>
      <c r="N15" s="484"/>
      <c r="O15" s="485"/>
      <c r="P15" s="369"/>
      <c r="Q15" s="105"/>
      <c r="R15" s="369"/>
    </row>
    <row r="16" spans="1:18">
      <c r="A16" s="180"/>
      <c r="B16" s="14"/>
      <c r="C16" s="939" t="s">
        <v>959</v>
      </c>
      <c r="D16" s="55">
        <f t="shared" si="0"/>
        <v>140785.46000000002</v>
      </c>
      <c r="E16" s="56">
        <f t="shared" si="2"/>
        <v>2.9483424410621029E-4</v>
      </c>
      <c r="F16" s="486">
        <f>H16*3</f>
        <v>63</v>
      </c>
      <c r="G16" s="57">
        <f t="shared" si="3"/>
        <v>1.5764976727891497E-3</v>
      </c>
      <c r="H16" s="486">
        <f t="shared" si="1"/>
        <v>21</v>
      </c>
      <c r="I16" s="58">
        <f t="shared" si="4"/>
        <v>5.3363148934007574E-4</v>
      </c>
      <c r="J16" s="21"/>
      <c r="K16" s="174"/>
      <c r="M16" s="105"/>
      <c r="N16" s="484"/>
      <c r="O16" s="485"/>
      <c r="P16" s="369"/>
      <c r="Q16" s="105"/>
      <c r="R16" s="369"/>
    </row>
    <row r="17" spans="1:18">
      <c r="A17" s="180"/>
      <c r="B17" s="14"/>
      <c r="C17" s="939" t="s">
        <v>960</v>
      </c>
      <c r="D17" s="55">
        <f t="shared" si="0"/>
        <v>26652.469999999998</v>
      </c>
      <c r="E17" s="56">
        <f t="shared" si="2"/>
        <v>5.5815855174344316E-5</v>
      </c>
      <c r="F17" s="486">
        <f>H17*4</f>
        <v>20</v>
      </c>
      <c r="G17" s="57">
        <f t="shared" si="3"/>
        <v>5.0047545167909518E-4</v>
      </c>
      <c r="H17" s="486">
        <f t="shared" si="1"/>
        <v>5</v>
      </c>
      <c r="I17" s="58">
        <f t="shared" si="4"/>
        <v>1.2705511650954184E-4</v>
      </c>
      <c r="J17" s="21"/>
      <c r="K17" s="174"/>
      <c r="M17" s="105"/>
      <c r="N17" s="484"/>
      <c r="O17" s="485"/>
      <c r="P17" s="369"/>
      <c r="Q17" s="105"/>
      <c r="R17" s="369"/>
    </row>
    <row r="18" spans="1:18">
      <c r="A18" s="180"/>
      <c r="B18" s="14"/>
      <c r="C18" s="939" t="s">
        <v>961</v>
      </c>
      <c r="D18" s="55">
        <f t="shared" si="0"/>
        <v>0</v>
      </c>
      <c r="E18" s="56">
        <f t="shared" si="2"/>
        <v>0</v>
      </c>
      <c r="F18" s="486">
        <f>H18*5</f>
        <v>0</v>
      </c>
      <c r="G18" s="57">
        <f t="shared" si="3"/>
        <v>0</v>
      </c>
      <c r="H18" s="486">
        <f t="shared" si="1"/>
        <v>0</v>
      </c>
      <c r="I18" s="58">
        <f t="shared" si="4"/>
        <v>0</v>
      </c>
      <c r="J18" s="21"/>
      <c r="K18" s="174"/>
      <c r="M18" s="105"/>
      <c r="N18" s="484"/>
      <c r="O18" s="485"/>
      <c r="P18" s="369"/>
      <c r="Q18" s="105"/>
      <c r="R18" s="369"/>
    </row>
    <row r="19" spans="1:18">
      <c r="A19" s="180"/>
      <c r="B19" s="14"/>
      <c r="C19" s="939" t="s">
        <v>962</v>
      </c>
      <c r="D19" s="55">
        <f t="shared" si="0"/>
        <v>0</v>
      </c>
      <c r="E19" s="56">
        <f t="shared" si="2"/>
        <v>0</v>
      </c>
      <c r="F19" s="486">
        <f>H19*6</f>
        <v>0</v>
      </c>
      <c r="G19" s="57">
        <f t="shared" si="3"/>
        <v>0</v>
      </c>
      <c r="H19" s="486">
        <f t="shared" si="1"/>
        <v>0</v>
      </c>
      <c r="I19" s="58">
        <f t="shared" si="4"/>
        <v>0</v>
      </c>
      <c r="J19" s="21"/>
      <c r="K19" s="174"/>
      <c r="M19" s="105"/>
      <c r="N19" s="484"/>
      <c r="O19" s="485"/>
      <c r="P19" s="369"/>
      <c r="Q19" s="105"/>
      <c r="R19" s="369"/>
    </row>
    <row r="20" spans="1:18" ht="13" thickBot="1">
      <c r="A20" s="180"/>
      <c r="B20" s="14"/>
      <c r="C20" s="939" t="s">
        <v>1014</v>
      </c>
      <c r="D20" s="55">
        <f t="shared" si="0"/>
        <v>0</v>
      </c>
      <c r="E20" s="56">
        <f t="shared" si="2"/>
        <v>0</v>
      </c>
      <c r="F20" s="486">
        <f>H20*7</f>
        <v>0</v>
      </c>
      <c r="G20" s="57">
        <f t="shared" si="3"/>
        <v>0</v>
      </c>
      <c r="H20" s="486">
        <f t="shared" si="1"/>
        <v>0</v>
      </c>
      <c r="I20" s="58">
        <f t="shared" si="4"/>
        <v>0</v>
      </c>
      <c r="J20" s="21"/>
      <c r="K20" s="174"/>
      <c r="M20" s="105"/>
      <c r="N20" s="484"/>
      <c r="O20" s="485"/>
      <c r="P20" s="369"/>
      <c r="Q20" s="105"/>
      <c r="R20" s="369"/>
    </row>
    <row r="21" spans="1:18" ht="14" thickTop="1" thickBot="1">
      <c r="A21" s="180"/>
      <c r="B21" s="14"/>
      <c r="C21" s="487" t="s">
        <v>102</v>
      </c>
      <c r="D21" s="488">
        <f t="shared" ref="D21:I21" si="5">SUM(D14:D20)</f>
        <v>477507151.26999915</v>
      </c>
      <c r="E21" s="489">
        <f t="shared" si="5"/>
        <v>1</v>
      </c>
      <c r="F21" s="490">
        <f t="shared" si="5"/>
        <v>39962</v>
      </c>
      <c r="G21" s="489">
        <f t="shared" si="5"/>
        <v>1</v>
      </c>
      <c r="H21" s="490">
        <f t="shared" si="5"/>
        <v>39353</v>
      </c>
      <c r="I21" s="491">
        <f t="shared" si="5"/>
        <v>1</v>
      </c>
      <c r="J21" s="21"/>
      <c r="K21" s="174"/>
      <c r="M21" s="105"/>
      <c r="N21" s="484"/>
      <c r="O21" s="485"/>
      <c r="P21" s="369"/>
      <c r="Q21" s="105"/>
      <c r="R21" s="369"/>
    </row>
    <row r="22" spans="1:18" ht="13">
      <c r="A22" s="180"/>
      <c r="B22" s="14"/>
      <c r="C22" s="142"/>
      <c r="D22" s="492"/>
      <c r="E22" s="227"/>
      <c r="F22" s="493"/>
      <c r="G22" s="227"/>
      <c r="H22" s="493"/>
      <c r="I22" s="227"/>
      <c r="J22" s="21"/>
      <c r="K22" s="174"/>
      <c r="M22" s="105"/>
      <c r="N22" s="484"/>
      <c r="O22" s="485"/>
      <c r="P22" s="369"/>
      <c r="Q22" s="105"/>
      <c r="R22" s="369"/>
    </row>
    <row r="23" spans="1:18" ht="13">
      <c r="A23" s="180"/>
      <c r="B23" s="14"/>
      <c r="C23" s="142"/>
      <c r="D23" s="492"/>
      <c r="E23" s="227"/>
      <c r="F23" s="493"/>
      <c r="G23" s="227"/>
      <c r="H23" s="493"/>
      <c r="I23" s="227"/>
      <c r="J23" s="21"/>
      <c r="K23" s="174"/>
      <c r="M23" s="105"/>
      <c r="N23" s="484"/>
      <c r="O23" s="485"/>
      <c r="P23" s="369"/>
      <c r="Q23" s="105"/>
      <c r="R23" s="369"/>
    </row>
    <row r="24" spans="1:18" ht="13">
      <c r="A24" s="180"/>
      <c r="B24" s="14"/>
      <c r="C24" s="142"/>
      <c r="D24" s="492"/>
      <c r="E24" s="227"/>
      <c r="F24" s="493"/>
      <c r="G24" s="227"/>
      <c r="H24" s="493"/>
      <c r="I24" s="227"/>
      <c r="J24" s="21"/>
      <c r="K24" s="174"/>
      <c r="M24" s="105"/>
      <c r="N24" s="484"/>
      <c r="O24" s="485"/>
      <c r="P24" s="369"/>
      <c r="Q24" s="105"/>
      <c r="R24" s="369"/>
    </row>
    <row r="25" spans="1:18" ht="13">
      <c r="A25" s="180"/>
      <c r="B25" s="14"/>
      <c r="C25" s="142"/>
      <c r="D25" s="492"/>
      <c r="E25" s="227"/>
      <c r="F25" s="493"/>
      <c r="G25" s="227"/>
      <c r="H25" s="493"/>
      <c r="I25" s="227"/>
      <c r="J25" s="21"/>
      <c r="K25" s="174"/>
      <c r="M25" s="105"/>
      <c r="N25" s="484"/>
      <c r="O25" s="485"/>
      <c r="P25" s="369"/>
      <c r="Q25" s="105"/>
      <c r="R25" s="369"/>
    </row>
    <row r="26" spans="1:18" ht="13">
      <c r="A26" s="180"/>
      <c r="B26" s="14"/>
      <c r="C26" s="142"/>
      <c r="D26" s="492"/>
      <c r="E26" s="227"/>
      <c r="F26" s="493"/>
      <c r="G26" s="227"/>
      <c r="H26" s="493"/>
      <c r="I26" s="227"/>
      <c r="J26" s="21"/>
      <c r="K26" s="174"/>
      <c r="M26" s="105"/>
      <c r="N26" s="484"/>
      <c r="O26" s="485"/>
      <c r="P26" s="369"/>
      <c r="Q26" s="105"/>
      <c r="R26" s="369"/>
    </row>
    <row r="27" spans="1:18" ht="13">
      <c r="A27" s="180"/>
      <c r="B27" s="14"/>
      <c r="C27" s="142"/>
      <c r="D27" s="492"/>
      <c r="E27" s="227"/>
      <c r="F27" s="493"/>
      <c r="G27" s="227"/>
      <c r="H27" s="493"/>
      <c r="I27" s="227"/>
      <c r="J27" s="21"/>
      <c r="K27" s="174"/>
      <c r="M27" s="105"/>
      <c r="N27" s="484"/>
      <c r="O27" s="485"/>
      <c r="P27" s="369"/>
      <c r="Q27" s="105"/>
      <c r="R27" s="369"/>
    </row>
    <row r="28" spans="1:18" ht="13">
      <c r="A28" s="180"/>
      <c r="B28" s="14"/>
      <c r="C28" s="142"/>
      <c r="D28" s="492"/>
      <c r="E28" s="227"/>
      <c r="F28" s="493"/>
      <c r="G28" s="227"/>
      <c r="H28" s="493"/>
      <c r="I28" s="227"/>
      <c r="J28" s="21"/>
      <c r="K28" s="174"/>
      <c r="M28" s="105"/>
      <c r="N28" s="484"/>
      <c r="O28" s="485"/>
      <c r="P28" s="369"/>
      <c r="Q28" s="105"/>
      <c r="R28" s="369"/>
    </row>
    <row r="29" spans="1:18" ht="13">
      <c r="A29" s="180"/>
      <c r="B29" s="14"/>
      <c r="C29" s="142"/>
      <c r="D29" s="492"/>
      <c r="E29" s="227"/>
      <c r="F29" s="493"/>
      <c r="G29" s="227"/>
      <c r="H29" s="493"/>
      <c r="I29" s="227"/>
      <c r="J29" s="21"/>
      <c r="K29" s="174"/>
      <c r="M29" s="105"/>
      <c r="N29" s="484"/>
      <c r="O29" s="485"/>
      <c r="P29" s="369"/>
      <c r="Q29" s="105"/>
      <c r="R29" s="369"/>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80"/>
      <c r="B43" s="14"/>
      <c r="C43" s="13"/>
      <c r="D43" s="21"/>
      <c r="E43" s="21"/>
      <c r="F43" s="21"/>
      <c r="G43" s="21"/>
      <c r="H43" s="21"/>
      <c r="I43" s="21"/>
      <c r="J43" s="21"/>
      <c r="K43" s="174"/>
      <c r="M43" s="21"/>
      <c r="N43" s="21"/>
      <c r="O43" s="21"/>
      <c r="P43" s="21"/>
      <c r="Q43" s="21"/>
      <c r="R43" s="21"/>
    </row>
    <row r="44" spans="1:18">
      <c r="A44" s="180"/>
      <c r="B44" s="14"/>
      <c r="C44" s="13"/>
      <c r="D44" s="21"/>
      <c r="E44" s="21"/>
      <c r="F44" s="21"/>
      <c r="G44" s="21"/>
      <c r="H44" s="21"/>
      <c r="I44" s="21"/>
      <c r="J44" s="21"/>
      <c r="K44" s="174"/>
      <c r="M44" s="21"/>
      <c r="N44" s="21"/>
      <c r="O44" s="21"/>
      <c r="P44" s="21"/>
      <c r="Q44" s="21"/>
      <c r="R44" s="21"/>
    </row>
    <row r="45" spans="1:18">
      <c r="A45" s="180"/>
      <c r="B45" s="14"/>
      <c r="C45" s="13"/>
      <c r="D45" s="21"/>
      <c r="E45" s="21"/>
      <c r="F45" s="21"/>
      <c r="G45" s="21"/>
      <c r="H45" s="21"/>
      <c r="I45" s="21"/>
      <c r="J45" s="21"/>
      <c r="K45" s="174"/>
      <c r="M45" s="21"/>
      <c r="N45" s="21"/>
      <c r="O45" s="21"/>
      <c r="P45" s="21"/>
      <c r="Q45" s="21"/>
      <c r="R45" s="21"/>
    </row>
    <row r="46" spans="1:18">
      <c r="A46" s="195"/>
      <c r="B46" s="29"/>
      <c r="C46" s="11"/>
      <c r="D46" s="349"/>
      <c r="E46" s="11"/>
      <c r="F46" s="316"/>
      <c r="G46" s="350"/>
      <c r="H46" s="316"/>
      <c r="I46" s="350"/>
      <c r="J46" s="50"/>
      <c r="K46" s="196"/>
      <c r="M46" s="197"/>
      <c r="N46" s="13"/>
      <c r="O46" s="198"/>
      <c r="P46" s="199"/>
      <c r="Q46" s="198"/>
      <c r="R46" s="199"/>
    </row>
    <row r="47" spans="1:18">
      <c r="A47" s="49"/>
      <c r="B47" s="14"/>
      <c r="C47" s="13"/>
      <c r="D47" s="197"/>
      <c r="E47" s="13"/>
      <c r="F47" s="198"/>
      <c r="G47" s="199"/>
      <c r="H47" s="198"/>
      <c r="I47" s="199"/>
      <c r="J47" s="21"/>
      <c r="K47" s="21"/>
      <c r="L47" s="21"/>
      <c r="M47" s="197"/>
      <c r="N47" s="13"/>
      <c r="O47" s="198"/>
      <c r="P47" s="199"/>
      <c r="Q47" s="198"/>
      <c r="R47" s="199"/>
    </row>
    <row r="48" spans="1:18" s="21"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105" customFormat="1" ht="15" customHeight="1">
      <c r="B50" s="14"/>
      <c r="C50" s="13"/>
      <c r="D50" s="197"/>
      <c r="E50" s="13"/>
      <c r="F50" s="198"/>
      <c r="G50" s="199"/>
      <c r="H50" s="198"/>
      <c r="I50" s="199"/>
      <c r="M50" s="197"/>
      <c r="N50" s="13"/>
      <c r="O50" s="198"/>
      <c r="P50" s="199"/>
      <c r="Q50" s="198"/>
      <c r="R50" s="199"/>
    </row>
    <row r="51" spans="2:18" s="105"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197"/>
      <c r="E77" s="13"/>
      <c r="F77" s="198"/>
      <c r="G77" s="199"/>
      <c r="H77" s="198"/>
      <c r="I77" s="199"/>
      <c r="M77" s="197"/>
      <c r="N77" s="13"/>
      <c r="O77" s="198"/>
      <c r="P77" s="199"/>
      <c r="Q77" s="198"/>
      <c r="R77" s="199"/>
    </row>
    <row r="78" spans="2:18" s="21" customFormat="1">
      <c r="B78" s="14"/>
      <c r="C78" s="13"/>
      <c r="D78" s="197"/>
      <c r="E78" s="13"/>
      <c r="F78" s="198"/>
      <c r="G78" s="199"/>
      <c r="H78" s="198"/>
      <c r="I78" s="199"/>
      <c r="M78" s="197"/>
      <c r="N78" s="13"/>
      <c r="O78" s="198"/>
      <c r="P78" s="199"/>
      <c r="Q78" s="198"/>
      <c r="R78" s="199"/>
    </row>
    <row r="79" spans="2:18" s="21" customFormat="1">
      <c r="B79" s="14"/>
      <c r="C79" s="13"/>
      <c r="D79" s="197"/>
      <c r="E79" s="13"/>
      <c r="F79" s="198"/>
      <c r="G79" s="199"/>
      <c r="H79" s="198"/>
      <c r="I79" s="199"/>
      <c r="M79" s="197"/>
      <c r="N79" s="13"/>
      <c r="O79" s="198"/>
      <c r="P79" s="199"/>
      <c r="Q79" s="198"/>
      <c r="R79" s="199"/>
    </row>
    <row r="80" spans="2:18" s="21" customFormat="1">
      <c r="B80" s="14"/>
      <c r="C80" s="13"/>
      <c r="D80" s="200"/>
      <c r="E80" s="201"/>
      <c r="F80" s="232"/>
      <c r="G80" s="203"/>
      <c r="H80" s="232"/>
      <c r="I80" s="203"/>
      <c r="M80" s="200"/>
      <c r="N80" s="201"/>
      <c r="O80" s="232"/>
      <c r="P80" s="203"/>
      <c r="Q80" s="232"/>
      <c r="R80" s="203"/>
    </row>
    <row r="81" spans="2:18" s="21" customFormat="1">
      <c r="B81" s="14"/>
      <c r="C81" s="13"/>
      <c r="D81" s="200"/>
      <c r="E81" s="200"/>
      <c r="F81" s="200"/>
      <c r="G81" s="200"/>
      <c r="H81" s="200"/>
      <c r="I81" s="200"/>
      <c r="M81" s="200"/>
      <c r="N81" s="200"/>
      <c r="O81" s="200"/>
      <c r="P81" s="200"/>
      <c r="Q81" s="200"/>
      <c r="R81" s="200"/>
    </row>
    <row r="82" spans="2:18" s="21" customFormat="1">
      <c r="B82" s="14"/>
      <c r="C82" s="13"/>
      <c r="D82" s="200"/>
      <c r="E82" s="200"/>
      <c r="F82" s="200"/>
      <c r="G82" s="200"/>
      <c r="H82" s="200"/>
      <c r="I82" s="200"/>
      <c r="M82" s="200"/>
      <c r="N82" s="200"/>
      <c r="O82" s="200"/>
      <c r="P82" s="200"/>
      <c r="Q82" s="200"/>
      <c r="R82" s="200"/>
    </row>
    <row r="83" spans="2:18" s="21" customFormat="1">
      <c r="B83" s="14"/>
      <c r="C83" s="13"/>
      <c r="D83" s="204"/>
      <c r="E83" s="233"/>
      <c r="F83" s="200"/>
      <c r="G83" s="200"/>
      <c r="H83" s="200"/>
      <c r="I83" s="200"/>
      <c r="M83" s="204"/>
      <c r="N83" s="233"/>
      <c r="O83" s="200"/>
      <c r="P83" s="200"/>
      <c r="Q83" s="200"/>
      <c r="R83" s="200"/>
    </row>
    <row r="84" spans="2:18" s="21" customFormat="1">
      <c r="B84" s="14"/>
      <c r="C84" s="13"/>
      <c r="D84" s="201"/>
      <c r="E84" s="233"/>
      <c r="F84" s="200"/>
      <c r="G84" s="200"/>
      <c r="H84" s="200"/>
      <c r="I84" s="200"/>
      <c r="M84" s="201"/>
      <c r="N84" s="233"/>
      <c r="O84" s="200"/>
      <c r="P84" s="200"/>
      <c r="Q84" s="200"/>
      <c r="R84" s="200"/>
    </row>
    <row r="85" spans="2:18" s="21" customFormat="1">
      <c r="B85" s="14"/>
      <c r="C85" s="13"/>
      <c r="D85" s="200"/>
      <c r="E85" s="233"/>
      <c r="F85" s="200"/>
      <c r="G85" s="200"/>
      <c r="H85" s="200"/>
      <c r="I85" s="200"/>
      <c r="M85" s="200"/>
      <c r="N85" s="233"/>
      <c r="O85" s="200"/>
      <c r="P85" s="200"/>
      <c r="Q85" s="200"/>
      <c r="R85" s="200"/>
    </row>
    <row r="86" spans="2:18" s="21" customFormat="1" ht="14">
      <c r="B86" s="200"/>
      <c r="C86" s="201"/>
      <c r="D86" s="206"/>
      <c r="E86" s="206"/>
      <c r="F86" s="206"/>
      <c r="G86" s="206"/>
      <c r="H86" s="206"/>
      <c r="I86" s="206"/>
      <c r="M86" s="206"/>
      <c r="N86" s="206"/>
      <c r="O86" s="206"/>
      <c r="P86" s="206"/>
      <c r="Q86" s="206"/>
      <c r="R86" s="206"/>
    </row>
    <row r="87" spans="2:18" s="21" customFormat="1" ht="14">
      <c r="B87" s="105"/>
      <c r="C87" s="105"/>
      <c r="D87" s="206"/>
      <c r="E87" s="206"/>
      <c r="F87" s="206"/>
      <c r="G87" s="206"/>
      <c r="H87" s="206"/>
      <c r="I87" s="206"/>
      <c r="M87" s="206"/>
      <c r="N87" s="206"/>
      <c r="O87" s="206"/>
      <c r="P87" s="206"/>
      <c r="Q87" s="206"/>
      <c r="R87" s="206"/>
    </row>
    <row r="88" spans="2:18" s="21" customFormat="1" ht="14">
      <c r="B88" s="105"/>
      <c r="C88" s="105"/>
      <c r="D88" s="207"/>
      <c r="E88" s="234"/>
      <c r="F88" s="206"/>
      <c r="G88" s="206"/>
      <c r="H88" s="206"/>
      <c r="I88" s="206"/>
      <c r="M88" s="207"/>
      <c r="N88" s="234"/>
      <c r="O88" s="206"/>
      <c r="P88" s="206"/>
      <c r="Q88" s="206"/>
      <c r="R88" s="206"/>
    </row>
    <row r="89" spans="2:18" s="21" customFormat="1" ht="14">
      <c r="B89" s="204"/>
      <c r="C89" s="233"/>
      <c r="D89" s="209"/>
      <c r="E89" s="234"/>
      <c r="F89" s="206"/>
      <c r="G89" s="206"/>
      <c r="H89" s="206"/>
      <c r="I89" s="206"/>
      <c r="M89" s="209"/>
      <c r="N89" s="234"/>
      <c r="O89" s="206"/>
      <c r="P89" s="206"/>
      <c r="Q89" s="206"/>
      <c r="R89" s="206"/>
    </row>
    <row r="90" spans="2:18" s="21" customFormat="1" ht="14">
      <c r="B90" s="210"/>
      <c r="C90" s="233"/>
      <c r="D90" s="206"/>
      <c r="E90" s="234"/>
      <c r="F90" s="206"/>
      <c r="G90" s="206"/>
      <c r="H90" s="206"/>
      <c r="I90" s="206"/>
      <c r="M90" s="206"/>
      <c r="N90" s="234"/>
      <c r="O90" s="206"/>
      <c r="P90" s="206"/>
      <c r="Q90" s="206"/>
      <c r="R90" s="206"/>
    </row>
    <row r="91" spans="2:18" s="21" customFormat="1">
      <c r="C91" s="233"/>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45911</v>
      </c>
      <c r="G2" s="107"/>
      <c r="H2" s="107"/>
      <c r="I2" s="107"/>
      <c r="J2" s="109"/>
      <c r="K2" s="110"/>
      <c r="L2" s="877"/>
    </row>
    <row r="3" spans="1:13" ht="18">
      <c r="A3" s="103"/>
      <c r="B3" s="104" t="str">
        <f>'Cover Sheet'!B3</f>
        <v>Monthly Investor Report</v>
      </c>
      <c r="C3" s="876"/>
      <c r="D3" s="112" t="str">
        <f>'Cover Sheet'!D3</f>
        <v>Payment Date</v>
      </c>
      <c r="E3" s="113"/>
      <c r="F3" s="114">
        <f>'Cover Sheet'!F3</f>
        <v>45915</v>
      </c>
      <c r="G3" s="113"/>
      <c r="H3" s="113"/>
      <c r="I3" s="113"/>
      <c r="J3" s="115"/>
      <c r="K3" s="110"/>
      <c r="L3" s="878"/>
    </row>
    <row r="4" spans="1:13" ht="13">
      <c r="A4" s="103"/>
      <c r="B4" s="158"/>
      <c r="C4" s="116"/>
      <c r="D4" s="112" t="str">
        <f>'Cover Sheet'!D4</f>
        <v>Period  No</v>
      </c>
      <c r="E4" s="113"/>
      <c r="F4" s="117">
        <f>'Cover Sheet'!F4</f>
        <v>35</v>
      </c>
      <c r="G4" s="113"/>
      <c r="H4" s="890">
        <f>F4-1</f>
        <v>34</v>
      </c>
      <c r="I4" s="113"/>
      <c r="J4" s="119"/>
      <c r="K4" s="110"/>
      <c r="L4" s="877"/>
    </row>
    <row r="5" spans="1:13" ht="18">
      <c r="A5" s="103"/>
      <c r="B5" s="120" t="s">
        <v>32</v>
      </c>
      <c r="C5" s="879"/>
      <c r="D5" s="112" t="str">
        <f>'Cover Sheet'!D5</f>
        <v>Monthly Period</v>
      </c>
      <c r="E5" s="113"/>
      <c r="F5" s="121">
        <f>'Cover Sheet'!F5</f>
        <v>45915</v>
      </c>
      <c r="G5" s="113"/>
      <c r="H5" s="118"/>
      <c r="I5" s="113"/>
      <c r="J5" s="119"/>
      <c r="K5" s="110"/>
      <c r="L5" s="878"/>
    </row>
    <row r="6" spans="1:13"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ht="13">
      <c r="A7" s="103"/>
      <c r="B7" s="880"/>
      <c r="C7" s="880"/>
      <c r="D7" s="127" t="str">
        <f>'Cover Sheet'!D7</f>
        <v>Collection Period</v>
      </c>
      <c r="E7" s="128" t="str">
        <f>'Cover Sheet'!E7</f>
        <v>from</v>
      </c>
      <c r="F7" s="129" t="str">
        <f>'Cover Sheet'!F7</f>
        <v>01.08.2025</v>
      </c>
      <c r="G7" s="128" t="str">
        <f>'Cover Sheet'!G7</f>
        <v>to</v>
      </c>
      <c r="H7" s="129">
        <f>'Cover Sheet'!H7</f>
        <v>45900</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881" t="s">
        <v>104</v>
      </c>
      <c r="E13" s="136"/>
      <c r="F13" s="881" t="s">
        <v>98</v>
      </c>
      <c r="G13" s="105"/>
      <c r="H13" s="105"/>
      <c r="I13" s="105"/>
      <c r="J13" s="881" t="s">
        <v>98</v>
      </c>
      <c r="K13" s="110"/>
      <c r="L13" s="882"/>
    </row>
    <row r="14" spans="1:13" ht="18">
      <c r="A14" s="103"/>
      <c r="B14" s="104"/>
      <c r="C14" s="881"/>
      <c r="E14" s="136"/>
      <c r="F14" s="891"/>
      <c r="G14" s="105"/>
      <c r="H14" s="105"/>
      <c r="I14" s="105"/>
      <c r="J14" s="883"/>
      <c r="K14" s="110"/>
    </row>
    <row r="15" spans="1:13" ht="13">
      <c r="A15" s="103"/>
      <c r="B15" s="142" t="s">
        <v>13</v>
      </c>
      <c r="C15" s="892">
        <f>VLOOKUP("Nbr_loans_bop",Assets,3,0)</f>
        <v>40914</v>
      </c>
      <c r="D15" s="59"/>
      <c r="E15" s="142"/>
      <c r="F15" s="893">
        <f>VLOOKUP("Outstanding_bop_current",calcdata_22,2,FALSE)</f>
        <v>493866831.41000003</v>
      </c>
      <c r="G15" s="884"/>
      <c r="H15" s="884"/>
      <c r="I15" s="884"/>
      <c r="J15" s="885">
        <f>VLOOKUP("Outstanding_bop_previous",calcdata_22,2,FALSE)</f>
        <v>512919477.87</v>
      </c>
      <c r="K15" s="110"/>
    </row>
    <row r="16" spans="1:13" ht="13">
      <c r="A16" s="103"/>
      <c r="F16" s="894"/>
      <c r="G16" s="872"/>
      <c r="H16" s="872"/>
      <c r="I16" s="872"/>
      <c r="J16" s="871"/>
      <c r="K16" s="110"/>
    </row>
    <row r="17" spans="1:11">
      <c r="A17" s="103"/>
      <c r="B17" s="105" t="s">
        <v>37</v>
      </c>
      <c r="C17" s="895"/>
      <c r="E17" s="105"/>
      <c r="F17" s="874">
        <f>F20-F18</f>
        <v>9680978.1300000027</v>
      </c>
      <c r="G17" s="872"/>
      <c r="H17" s="872"/>
      <c r="I17" s="872"/>
      <c r="J17" s="310">
        <f>J20-J18</f>
        <v>9641104.0900000073</v>
      </c>
      <c r="K17" s="110"/>
    </row>
    <row r="18" spans="1:11">
      <c r="A18" s="103"/>
      <c r="B18" s="105" t="s">
        <v>38</v>
      </c>
      <c r="C18" s="105"/>
      <c r="E18" s="105"/>
      <c r="F18" s="310">
        <f>VLOOKUP(F4,'1.1 Portfolio Information p.p.'!B:E,4,FALSE)</f>
        <v>5047183.5799999963</v>
      </c>
      <c r="G18" s="872"/>
      <c r="H18" s="896"/>
      <c r="I18" s="872"/>
      <c r="J18" s="310">
        <f>VLOOKUP(H4,'1.1 Portfolio Information p.p.'!B:E,4,FALSE)</f>
        <v>7017080.1599999936</v>
      </c>
      <c r="K18" s="110"/>
    </row>
    <row r="19" spans="1:11" ht="13">
      <c r="A19" s="103"/>
      <c r="B19" s="105"/>
      <c r="C19" s="105"/>
      <c r="E19" s="105"/>
      <c r="F19" s="874"/>
      <c r="G19" s="872"/>
      <c r="H19" s="872"/>
      <c r="I19" s="872"/>
      <c r="J19" s="871"/>
      <c r="K19" s="110"/>
    </row>
    <row r="20" spans="1:11" ht="13">
      <c r="A20" s="103"/>
      <c r="B20" s="142" t="s">
        <v>39</v>
      </c>
      <c r="C20" s="895"/>
      <c r="E20" s="105"/>
      <c r="F20" s="897">
        <f>VLOOKUP("Total_Principal_Collections_current",calcdata_22,2,FALSE)</f>
        <v>14728161.709999999</v>
      </c>
      <c r="G20" s="872"/>
      <c r="H20" s="872"/>
      <c r="I20" s="872"/>
      <c r="J20" s="871">
        <f>VLOOKUP("Total_Principal_Collections_previous",calcdata_22,2,FALSE)</f>
        <v>16658184.25</v>
      </c>
      <c r="K20" s="110"/>
    </row>
    <row r="21" spans="1:11" ht="13">
      <c r="A21" s="103"/>
      <c r="E21" s="105"/>
      <c r="F21" s="894"/>
      <c r="G21" s="872"/>
      <c r="H21" s="872"/>
      <c r="I21" s="872"/>
      <c r="J21" s="871"/>
      <c r="K21" s="110"/>
    </row>
    <row r="22" spans="1:11" ht="13">
      <c r="A22" s="103"/>
      <c r="B22" s="142" t="s">
        <v>40</v>
      </c>
      <c r="C22" s="898"/>
      <c r="E22" s="105"/>
      <c r="F22" s="897">
        <f>VLOOKUP("Collected_Interest_Portion_current",calcdata_22,2,FALSE)</f>
        <v>2236343.63</v>
      </c>
      <c r="G22" s="872"/>
      <c r="H22" s="872"/>
      <c r="I22" s="872"/>
      <c r="J22" s="871">
        <f>VLOOKUP("Collected_Interest_Portion_previous",calcdata_22,2,FALSE)</f>
        <v>2320819.58</v>
      </c>
      <c r="K22" s="110"/>
    </row>
    <row r="23" spans="1:11" ht="13">
      <c r="A23" s="103"/>
      <c r="B23" s="142"/>
      <c r="C23" s="898"/>
      <c r="E23" s="105"/>
      <c r="F23" s="897"/>
      <c r="G23" s="872"/>
      <c r="H23" s="872"/>
      <c r="I23" s="872"/>
      <c r="J23" s="871"/>
      <c r="K23" s="110"/>
    </row>
    <row r="24" spans="1:11" ht="13">
      <c r="A24" s="103"/>
      <c r="B24" s="142" t="s">
        <v>41</v>
      </c>
      <c r="C24" s="895"/>
      <c r="E24" s="105"/>
      <c r="F24" s="897">
        <f>VLOOKUP("Defaults_current",calcdata_22,2,FALSE)</f>
        <v>1631518.43</v>
      </c>
      <c r="G24" s="872"/>
      <c r="H24" s="872"/>
      <c r="I24" s="872"/>
      <c r="J24" s="871">
        <f>VLOOKUP("Defaults_previous",calcdata_22,2,FALSE)</f>
        <v>2394462.21</v>
      </c>
      <c r="K24" s="110"/>
    </row>
    <row r="25" spans="1:11" ht="13">
      <c r="A25" s="103"/>
      <c r="B25" s="142"/>
      <c r="C25" s="895"/>
      <c r="E25" s="105"/>
      <c r="F25" s="897"/>
      <c r="G25" s="872"/>
      <c r="H25" s="872"/>
      <c r="I25" s="872"/>
      <c r="J25" s="871"/>
      <c r="K25" s="110"/>
    </row>
    <row r="26" spans="1:11" ht="13">
      <c r="A26" s="103"/>
      <c r="B26" s="142" t="s">
        <v>135</v>
      </c>
      <c r="C26" s="895"/>
      <c r="E26" s="105"/>
      <c r="F26" s="897">
        <f>VLOOKUP("Replenishment_current",calcdata_22,2,FALSE)</f>
        <v>0</v>
      </c>
      <c r="G26" s="872"/>
      <c r="H26" s="872"/>
      <c r="I26" s="872"/>
      <c r="J26" s="871">
        <f>VLOOKUP("Replenishment_previous",calcdata_22,2,FALSE)</f>
        <v>0</v>
      </c>
      <c r="K26" s="110"/>
    </row>
    <row r="27" spans="1:11" ht="13">
      <c r="A27" s="103"/>
      <c r="B27" s="143"/>
      <c r="C27" s="105"/>
      <c r="E27" s="105"/>
      <c r="F27" s="874"/>
      <c r="G27" s="872"/>
      <c r="H27" s="872"/>
      <c r="I27" s="872"/>
      <c r="J27" s="871"/>
      <c r="K27" s="110"/>
    </row>
    <row r="28" spans="1:11" s="59" customFormat="1" ht="13">
      <c r="A28" s="886"/>
      <c r="B28" s="142" t="s">
        <v>14</v>
      </c>
      <c r="C28" s="892"/>
      <c r="E28" s="142"/>
      <c r="F28" s="899">
        <f>VLOOKUP("Outstanding_eop_current",calcdata_22,2,FALSE)</f>
        <v>477507151.26999998</v>
      </c>
      <c r="G28" s="887"/>
      <c r="H28" s="887"/>
      <c r="I28" s="887"/>
      <c r="J28" s="899">
        <f>VLOOKUP("Outstanding_eop_previous",calcdata_22,2,FALSE)</f>
        <v>493866831.41000003</v>
      </c>
      <c r="K28" s="168"/>
    </row>
    <row r="29" spans="1:11" s="59" customFormat="1" ht="13">
      <c r="A29" s="886"/>
      <c r="B29" s="142"/>
      <c r="C29" s="142"/>
      <c r="E29" s="142"/>
      <c r="F29" s="874"/>
      <c r="G29" s="884"/>
      <c r="H29" s="884"/>
      <c r="I29" s="884"/>
      <c r="J29" s="871"/>
      <c r="K29" s="168"/>
    </row>
    <row r="30" spans="1:11" s="59" customFormat="1" ht="13">
      <c r="A30" s="886"/>
      <c r="B30" s="142" t="s">
        <v>136</v>
      </c>
      <c r="C30" s="142"/>
      <c r="E30" s="142"/>
      <c r="F30" s="897">
        <f>VLOOKUP("Purchase_Shortfall_current",calcdata_22,2,FALSE)</f>
        <v>1.1399997211992741</v>
      </c>
      <c r="G30" s="884"/>
      <c r="H30" s="884"/>
      <c r="I30" s="884"/>
      <c r="J30" s="871">
        <f>VLOOKUP("Purchase_Shortfall_previous",calcdata_22,2,FALSE)</f>
        <v>37.419999722391367</v>
      </c>
      <c r="K30" s="168"/>
    </row>
    <row r="31" spans="1:11">
      <c r="A31" s="103"/>
      <c r="F31" s="894"/>
      <c r="G31" s="896"/>
      <c r="H31" s="896"/>
      <c r="I31" s="896"/>
      <c r="J31" s="894"/>
      <c r="K31" s="110"/>
    </row>
    <row r="32" spans="1:11" s="59" customFormat="1" ht="13">
      <c r="A32" s="886"/>
      <c r="B32" s="59" t="s">
        <v>137</v>
      </c>
      <c r="C32" s="892">
        <f>VLOOKUP("Total",'7. Current Principal Balance'!D:G,4,FALSE)</f>
        <v>39962</v>
      </c>
      <c r="F32" s="897">
        <f>VLOOKUP("Total_Assets_current",calcdata_22,2,FALSE)</f>
        <v>477507152.40999973</v>
      </c>
      <c r="G32" s="900"/>
      <c r="H32" s="900"/>
      <c r="I32" s="900"/>
      <c r="J32" s="897">
        <f>VLOOKUP("Total_Assets_previous",calcdata_22,2,FALSE)</f>
        <v>493866868.82999974</v>
      </c>
      <c r="K32" s="168"/>
    </row>
    <row r="33" spans="1:11">
      <c r="A33" s="103"/>
      <c r="F33" s="891"/>
      <c r="J33" s="891"/>
      <c r="K33" s="110"/>
    </row>
    <row r="34" spans="1:11" ht="13">
      <c r="A34" s="103"/>
      <c r="B34" s="142" t="s">
        <v>9</v>
      </c>
      <c r="C34" s="105"/>
      <c r="E34" s="105"/>
      <c r="F34" s="873">
        <f>IF(F15=0,0,1-(1-(F18/F15))^12)</f>
        <v>0.11597299521746207</v>
      </c>
      <c r="G34" s="105"/>
      <c r="H34" s="105"/>
      <c r="I34" s="105"/>
      <c r="J34" s="158"/>
      <c r="K34" s="110"/>
    </row>
    <row r="35" spans="1:11">
      <c r="A35" s="103"/>
      <c r="F35" s="891"/>
      <c r="J35" s="891"/>
      <c r="K35" s="110"/>
    </row>
    <row r="36" spans="1:11" ht="13">
      <c r="A36" s="103"/>
      <c r="B36" s="59" t="s">
        <v>296</v>
      </c>
      <c r="F36" s="873">
        <f>'5. Outstanding Notes'!C35</f>
        <v>0.49439631943999995</v>
      </c>
      <c r="J36" s="891"/>
      <c r="K36" s="110"/>
    </row>
    <row r="37" spans="1:11">
      <c r="A37" s="103"/>
      <c r="F37" s="891"/>
      <c r="J37" s="891"/>
      <c r="K37" s="110"/>
    </row>
    <row r="38" spans="1:11">
      <c r="A38" s="103"/>
      <c r="F38" s="891"/>
      <c r="J38" s="891"/>
      <c r="K38" s="110"/>
    </row>
    <row r="39" spans="1:11">
      <c r="A39" s="103"/>
      <c r="F39" s="891"/>
      <c r="J39" s="891"/>
      <c r="K39" s="110"/>
    </row>
    <row r="40" spans="1:11">
      <c r="A40" s="103"/>
      <c r="F40" s="891"/>
      <c r="J40" s="891"/>
      <c r="K40" s="110"/>
    </row>
    <row r="41" spans="1:11">
      <c r="A41" s="103"/>
      <c r="F41" s="891"/>
      <c r="J41" s="891"/>
      <c r="K41" s="110"/>
    </row>
    <row r="42" spans="1:11">
      <c r="A42" s="103"/>
      <c r="F42" s="891"/>
      <c r="J42" s="891"/>
      <c r="K42" s="110"/>
    </row>
    <row r="43" spans="1:11">
      <c r="A43" s="103"/>
      <c r="F43" s="891"/>
      <c r="J43" s="891"/>
      <c r="K43" s="110"/>
    </row>
    <row r="44" spans="1:11">
      <c r="A44" s="103"/>
      <c r="J44" s="891"/>
      <c r="K44" s="110"/>
    </row>
    <row r="45" spans="1:11">
      <c r="A45" s="103"/>
      <c r="J45" s="891"/>
      <c r="K45" s="110"/>
    </row>
    <row r="46" spans="1:11">
      <c r="A46" s="103"/>
      <c r="J46" s="891"/>
      <c r="K46" s="110"/>
    </row>
    <row r="47" spans="1:11">
      <c r="A47" s="103"/>
      <c r="J47" s="891"/>
      <c r="K47" s="110"/>
    </row>
    <row r="48" spans="1:11">
      <c r="A48" s="103"/>
      <c r="J48" s="891"/>
      <c r="K48" s="110"/>
    </row>
    <row r="49" spans="1:11">
      <c r="A49" s="103"/>
      <c r="J49" s="891"/>
      <c r="K49" s="110"/>
    </row>
    <row r="50" spans="1:11">
      <c r="A50" s="103"/>
      <c r="J50" s="891"/>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topLeftCell="A3" zoomScale="80" zoomScaleNormal="85" zoomScaleSheetLayoutView="80" workbookViewId="0">
      <selection activeCell="B3" sqref="B3"/>
    </sheetView>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tr">
        <f>'Cover Sheet'!B2</f>
        <v>SC Germany Consumer 2022-1</v>
      </c>
      <c r="C2" s="401"/>
      <c r="D2" s="402" t="str">
        <f>'Cover Sheet'!D2</f>
        <v>Calculation Date</v>
      </c>
      <c r="E2" s="403"/>
      <c r="F2" s="404">
        <f>'Cover Sheet'!F2</f>
        <v>45911</v>
      </c>
      <c r="G2" s="403"/>
      <c r="H2" s="403"/>
      <c r="I2" s="403"/>
      <c r="J2" s="405"/>
      <c r="K2" s="406"/>
      <c r="L2" s="407"/>
    </row>
    <row r="3" spans="1:14" ht="18">
      <c r="A3" s="398"/>
      <c r="B3" s="408" t="str">
        <f>'Cover Sheet'!B3</f>
        <v>Monthly Investor Report</v>
      </c>
      <c r="C3" s="409"/>
      <c r="D3" s="410" t="str">
        <f>'Cover Sheet'!D3</f>
        <v>Payment Date</v>
      </c>
      <c r="E3" s="411"/>
      <c r="F3" s="412">
        <f>'Cover Sheet'!F3</f>
        <v>45915</v>
      </c>
      <c r="G3" s="411"/>
      <c r="H3" s="411"/>
      <c r="I3" s="411"/>
      <c r="J3" s="413"/>
      <c r="K3" s="406"/>
      <c r="L3" s="407"/>
    </row>
    <row r="4" spans="1:14">
      <c r="A4" s="398"/>
      <c r="B4" s="414"/>
      <c r="C4" s="415"/>
      <c r="D4" s="410" t="str">
        <f>'Cover Sheet'!D4</f>
        <v>Period  No</v>
      </c>
      <c r="E4" s="411"/>
      <c r="F4" s="416">
        <f>'Cover Sheet'!F4</f>
        <v>35</v>
      </c>
      <c r="G4" s="411"/>
      <c r="H4" s="417"/>
      <c r="I4" s="411"/>
      <c r="J4" s="413"/>
      <c r="K4" s="418"/>
      <c r="L4" s="419"/>
    </row>
    <row r="5" spans="1:14" ht="18">
      <c r="A5" s="398"/>
      <c r="B5" s="420" t="s">
        <v>380</v>
      </c>
      <c r="C5" s="421"/>
      <c r="D5" s="410" t="str">
        <f>'Cover Sheet'!D5</f>
        <v>Monthly Period</v>
      </c>
      <c r="E5" s="411"/>
      <c r="F5" s="121">
        <f>'Cover Sheet'!F5</f>
        <v>45915</v>
      </c>
      <c r="G5" s="411"/>
      <c r="H5" s="417"/>
      <c r="I5" s="411"/>
      <c r="J5" s="413"/>
      <c r="K5" s="418"/>
      <c r="L5" s="419"/>
    </row>
    <row r="6" spans="1:14" s="429" customFormat="1" ht="15" customHeight="1">
      <c r="A6" s="398"/>
      <c r="B6" s="422"/>
      <c r="C6" s="423"/>
      <c r="D6" s="410" t="str">
        <f>'Cover Sheet'!D6</f>
        <v>Interest Period</v>
      </c>
      <c r="E6" s="424" t="str">
        <f>'Cover Sheet'!E6</f>
        <v>from</v>
      </c>
      <c r="F6" s="412">
        <f>'Cover Sheet'!F6</f>
        <v>45883</v>
      </c>
      <c r="G6" s="424" t="str">
        <f>'Cover Sheet'!G6</f>
        <v>to</v>
      </c>
      <c r="H6" s="412">
        <f>'Cover Sheet'!H6</f>
        <v>45915</v>
      </c>
      <c r="I6" s="424" t="str">
        <f>'Cover Sheet'!I6</f>
        <v>=</v>
      </c>
      <c r="J6" s="425" t="str">
        <f>'Cover Sheet'!J6</f>
        <v>32 days</v>
      </c>
      <c r="K6" s="426"/>
      <c r="L6" s="427"/>
      <c r="M6" s="399"/>
      <c r="N6" s="428"/>
    </row>
    <row r="7" spans="1:14">
      <c r="A7" s="398"/>
      <c r="B7" s="103"/>
      <c r="D7" s="430" t="str">
        <f>'Cover Sheet'!D7</f>
        <v>Collection Period</v>
      </c>
      <c r="E7" s="431" t="str">
        <f>'Cover Sheet'!E7</f>
        <v>from</v>
      </c>
      <c r="F7" s="432" t="str">
        <f>'Cover Sheet'!F7</f>
        <v>01.08.2025</v>
      </c>
      <c r="G7" s="431" t="str">
        <f>'Cover Sheet'!G7</f>
        <v>to</v>
      </c>
      <c r="H7" s="432">
        <f>'Cover Sheet'!H7</f>
        <v>45900</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328</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92" t="s">
        <v>110</v>
      </c>
      <c r="D17" s="995" t="s">
        <v>329</v>
      </c>
      <c r="E17" s="456"/>
      <c r="F17" s="992" t="s">
        <v>110</v>
      </c>
      <c r="G17" s="995" t="s">
        <v>329</v>
      </c>
      <c r="H17" s="428"/>
      <c r="I17" s="443"/>
      <c r="J17" s="453"/>
      <c r="K17" s="406"/>
      <c r="L17" s="457"/>
      <c r="M17" s="443"/>
    </row>
    <row r="18" spans="1:13" ht="13.5" customHeight="1" thickBot="1">
      <c r="A18" s="398"/>
      <c r="B18" s="398"/>
      <c r="C18" s="993"/>
      <c r="D18" s="996"/>
      <c r="E18" s="436"/>
      <c r="F18" s="993"/>
      <c r="G18" s="996"/>
      <c r="H18" s="436"/>
      <c r="I18" s="443"/>
      <c r="J18" s="453"/>
      <c r="K18" s="453"/>
      <c r="L18" s="458"/>
      <c r="M18" s="443"/>
    </row>
    <row r="19" spans="1:13" ht="13">
      <c r="A19" s="398"/>
      <c r="B19" s="398"/>
      <c r="C19" s="459" t="s">
        <v>472</v>
      </c>
      <c r="D19" s="460">
        <f t="shared" ref="D19:D50" si="0">VLOOKUP(CONCATENATE("period_",C19),Assets,3,0)</f>
        <v>477507151.26999903</v>
      </c>
      <c r="E19" s="436"/>
      <c r="F19" s="459" t="s">
        <v>473</v>
      </c>
      <c r="G19" s="460">
        <f t="shared" ref="G19:G50" si="1">VLOOKUP(CONCATENATE("period_",F19),Assets,3,0)</f>
        <v>61496585.18</v>
      </c>
      <c r="H19" s="436"/>
      <c r="I19" s="443"/>
      <c r="J19" s="453"/>
      <c r="K19" s="453"/>
      <c r="L19" s="407"/>
      <c r="M19" s="443"/>
    </row>
    <row r="20" spans="1:13" ht="13">
      <c r="A20" s="398"/>
      <c r="B20" s="398"/>
      <c r="C20" s="459" t="s">
        <v>474</v>
      </c>
      <c r="D20" s="460">
        <f t="shared" si="0"/>
        <v>468466287.01999998</v>
      </c>
      <c r="E20" s="461"/>
      <c r="F20" s="459" t="s">
        <v>475</v>
      </c>
      <c r="G20" s="460">
        <f t="shared" si="1"/>
        <v>55122530.640000001</v>
      </c>
      <c r="H20" s="436"/>
      <c r="I20" s="459"/>
      <c r="J20" s="462"/>
      <c r="K20" s="453"/>
      <c r="L20" s="407"/>
      <c r="M20" s="443"/>
    </row>
    <row r="21" spans="1:13" ht="13">
      <c r="A21" s="398"/>
      <c r="B21" s="398"/>
      <c r="C21" s="459" t="s">
        <v>476</v>
      </c>
      <c r="D21" s="460">
        <f t="shared" si="0"/>
        <v>459383074.76999998</v>
      </c>
      <c r="E21" s="436"/>
      <c r="F21" s="459" t="s">
        <v>477</v>
      </c>
      <c r="G21" s="460">
        <f t="shared" si="1"/>
        <v>48973325.140000001</v>
      </c>
      <c r="H21" s="436"/>
      <c r="I21" s="459"/>
      <c r="J21" s="462"/>
      <c r="K21" s="406"/>
      <c r="L21" s="407"/>
      <c r="M21" s="443"/>
    </row>
    <row r="22" spans="1:13" ht="13">
      <c r="A22" s="398"/>
      <c r="B22" s="398"/>
      <c r="C22" s="459" t="s">
        <v>478</v>
      </c>
      <c r="D22" s="460">
        <f t="shared" si="0"/>
        <v>450302551.81</v>
      </c>
      <c r="E22" s="456"/>
      <c r="F22" s="459" t="s">
        <v>479</v>
      </c>
      <c r="G22" s="460">
        <f t="shared" si="1"/>
        <v>43074976.350000001</v>
      </c>
      <c r="H22" s="428"/>
      <c r="I22" s="459"/>
      <c r="J22" s="462"/>
      <c r="K22" s="463"/>
      <c r="L22" s="457"/>
      <c r="M22" s="464"/>
    </row>
    <row r="23" spans="1:13" ht="13">
      <c r="A23" s="398"/>
      <c r="B23" s="398"/>
      <c r="C23" s="459" t="s">
        <v>480</v>
      </c>
      <c r="D23" s="460">
        <f t="shared" si="0"/>
        <v>441236894.31999999</v>
      </c>
      <c r="E23" s="436"/>
      <c r="F23" s="459" t="s">
        <v>481</v>
      </c>
      <c r="G23" s="460">
        <f t="shared" si="1"/>
        <v>37376299.009999998</v>
      </c>
      <c r="H23" s="436"/>
      <c r="I23" s="459"/>
      <c r="J23" s="462"/>
      <c r="K23" s="453"/>
      <c r="L23" s="407"/>
      <c r="M23" s="465"/>
    </row>
    <row r="24" spans="1:13" ht="13">
      <c r="A24" s="398"/>
      <c r="B24" s="398"/>
      <c r="C24" s="459" t="s">
        <v>482</v>
      </c>
      <c r="D24" s="460">
        <f t="shared" si="0"/>
        <v>432179604.62</v>
      </c>
      <c r="E24" s="436"/>
      <c r="F24" s="459" t="s">
        <v>483</v>
      </c>
      <c r="G24" s="460">
        <f t="shared" si="1"/>
        <v>31975084.969999999</v>
      </c>
      <c r="H24" s="436"/>
      <c r="I24" s="459"/>
      <c r="J24" s="462"/>
      <c r="K24" s="453"/>
      <c r="L24" s="407"/>
      <c r="M24" s="443"/>
    </row>
    <row r="25" spans="1:13" ht="13">
      <c r="A25" s="398"/>
      <c r="B25" s="398"/>
      <c r="C25" s="459" t="s">
        <v>484</v>
      </c>
      <c r="D25" s="460">
        <f t="shared" si="0"/>
        <v>423128047.56</v>
      </c>
      <c r="E25" s="461"/>
      <c r="F25" s="459" t="s">
        <v>485</v>
      </c>
      <c r="G25" s="460">
        <f t="shared" si="1"/>
        <v>26957970.68</v>
      </c>
      <c r="H25" s="436"/>
      <c r="I25" s="459"/>
      <c r="J25" s="462"/>
      <c r="K25" s="453"/>
      <c r="L25" s="407"/>
      <c r="M25" s="443"/>
    </row>
    <row r="26" spans="1:13" ht="13">
      <c r="A26" s="398"/>
      <c r="B26" s="398"/>
      <c r="C26" s="459" t="s">
        <v>486</v>
      </c>
      <c r="D26" s="460">
        <f t="shared" si="0"/>
        <v>414098093.43000001</v>
      </c>
      <c r="E26" s="436"/>
      <c r="F26" s="459" t="s">
        <v>487</v>
      </c>
      <c r="G26" s="460">
        <f t="shared" si="1"/>
        <v>22397234.77</v>
      </c>
      <c r="H26" s="436"/>
      <c r="I26" s="459"/>
      <c r="J26" s="462"/>
      <c r="K26" s="406"/>
      <c r="L26" s="407"/>
      <c r="M26" s="443"/>
    </row>
    <row r="27" spans="1:13" ht="13">
      <c r="A27" s="398"/>
      <c r="B27" s="398"/>
      <c r="C27" s="459" t="s">
        <v>488</v>
      </c>
      <c r="D27" s="460">
        <f t="shared" si="0"/>
        <v>405095374.70999998</v>
      </c>
      <c r="E27" s="456"/>
      <c r="F27" s="459" t="s">
        <v>489</v>
      </c>
      <c r="G27" s="460">
        <f t="shared" si="1"/>
        <v>18360812.489999998</v>
      </c>
      <c r="H27" s="428"/>
      <c r="I27" s="459"/>
      <c r="J27" s="462"/>
      <c r="K27" s="406"/>
      <c r="L27" s="407"/>
      <c r="M27" s="464"/>
    </row>
    <row r="28" spans="1:13" ht="13">
      <c r="A28" s="398"/>
      <c r="B28" s="398"/>
      <c r="C28" s="459" t="s">
        <v>490</v>
      </c>
      <c r="D28" s="460">
        <f t="shared" si="0"/>
        <v>396115507.80000001</v>
      </c>
      <c r="E28" s="436"/>
      <c r="F28" s="459" t="s">
        <v>491</v>
      </c>
      <c r="G28" s="460">
        <f t="shared" si="1"/>
        <v>15015528.98</v>
      </c>
      <c r="H28" s="436"/>
      <c r="I28" s="459"/>
      <c r="J28" s="462"/>
      <c r="K28" s="453"/>
      <c r="L28" s="407"/>
      <c r="M28" s="465"/>
    </row>
    <row r="29" spans="1:13" ht="13">
      <c r="A29" s="398"/>
      <c r="B29" s="398"/>
      <c r="C29" s="459" t="s">
        <v>492</v>
      </c>
      <c r="D29" s="460">
        <f t="shared" si="0"/>
        <v>387158676.45999998</v>
      </c>
      <c r="E29" s="436"/>
      <c r="F29" s="459" t="s">
        <v>493</v>
      </c>
      <c r="G29" s="460">
        <f t="shared" si="1"/>
        <v>12317867.119999999</v>
      </c>
      <c r="H29" s="436"/>
      <c r="I29" s="459"/>
      <c r="J29" s="462"/>
      <c r="K29" s="453"/>
      <c r="L29" s="407"/>
      <c r="M29" s="443"/>
    </row>
    <row r="30" spans="1:13" ht="13">
      <c r="A30" s="398"/>
      <c r="B30" s="398"/>
      <c r="C30" s="459" t="s">
        <v>494</v>
      </c>
      <c r="D30" s="460">
        <f t="shared" si="0"/>
        <v>378231689.80000001</v>
      </c>
      <c r="E30" s="461"/>
      <c r="F30" s="459" t="s">
        <v>495</v>
      </c>
      <c r="G30" s="460">
        <f t="shared" si="1"/>
        <v>10320870.76</v>
      </c>
      <c r="H30" s="436"/>
      <c r="I30" s="459"/>
      <c r="J30" s="462"/>
      <c r="K30" s="453"/>
      <c r="L30" s="407"/>
      <c r="M30" s="443"/>
    </row>
    <row r="31" spans="1:13" ht="13">
      <c r="A31" s="398"/>
      <c r="B31" s="398"/>
      <c r="C31" s="459" t="s">
        <v>496</v>
      </c>
      <c r="D31" s="460">
        <f t="shared" si="0"/>
        <v>369336231.25999999</v>
      </c>
      <c r="E31" s="436"/>
      <c r="F31" s="459" t="s">
        <v>497</v>
      </c>
      <c r="G31" s="460">
        <f t="shared" si="1"/>
        <v>8586922.3599999994</v>
      </c>
      <c r="H31" s="436"/>
      <c r="I31" s="459"/>
      <c r="J31" s="462"/>
      <c r="K31" s="406"/>
      <c r="L31" s="407"/>
      <c r="M31" s="443"/>
    </row>
    <row r="32" spans="1:13" ht="13">
      <c r="A32" s="398"/>
      <c r="B32" s="398"/>
      <c r="C32" s="459" t="s">
        <v>498</v>
      </c>
      <c r="D32" s="460">
        <f t="shared" si="0"/>
        <v>360474772.25999999</v>
      </c>
      <c r="E32" s="466"/>
      <c r="F32" s="459" t="s">
        <v>499</v>
      </c>
      <c r="G32" s="460">
        <f t="shared" si="1"/>
        <v>7082501.7300000004</v>
      </c>
      <c r="H32" s="459"/>
      <c r="I32" s="459"/>
      <c r="J32" s="462"/>
      <c r="K32" s="406"/>
      <c r="L32" s="407"/>
      <c r="M32" s="443"/>
    </row>
    <row r="33" spans="1:13" ht="13">
      <c r="A33" s="398"/>
      <c r="B33" s="398"/>
      <c r="C33" s="459" t="s">
        <v>500</v>
      </c>
      <c r="D33" s="460">
        <f t="shared" si="0"/>
        <v>351623603.57999998</v>
      </c>
      <c r="E33" s="459"/>
      <c r="F33" s="459" t="s">
        <v>501</v>
      </c>
      <c r="G33" s="460">
        <f t="shared" si="1"/>
        <v>5782302.0499999998</v>
      </c>
      <c r="H33" s="459"/>
      <c r="I33" s="459"/>
      <c r="J33" s="462"/>
      <c r="K33" s="453"/>
      <c r="L33" s="407"/>
      <c r="M33" s="443"/>
    </row>
    <row r="34" spans="1:13" ht="13">
      <c r="A34" s="398"/>
      <c r="B34" s="398"/>
      <c r="C34" s="459" t="s">
        <v>502</v>
      </c>
      <c r="D34" s="460">
        <f t="shared" si="0"/>
        <v>342781867.70999998</v>
      </c>
      <c r="E34" s="459"/>
      <c r="F34" s="459" t="s">
        <v>503</v>
      </c>
      <c r="G34" s="460">
        <f t="shared" si="1"/>
        <v>4670294.91</v>
      </c>
      <c r="H34" s="459"/>
      <c r="I34" s="459"/>
      <c r="J34" s="462"/>
      <c r="K34" s="453"/>
      <c r="L34" s="407"/>
      <c r="M34" s="443"/>
    </row>
    <row r="35" spans="1:13" ht="13">
      <c r="A35" s="398"/>
      <c r="B35" s="398"/>
      <c r="C35" s="459" t="s">
        <v>504</v>
      </c>
      <c r="D35" s="460">
        <f t="shared" si="0"/>
        <v>333970071.47000003</v>
      </c>
      <c r="E35" s="467"/>
      <c r="F35" s="459" t="s">
        <v>505</v>
      </c>
      <c r="G35" s="460">
        <f t="shared" si="1"/>
        <v>3699097.35</v>
      </c>
      <c r="H35" s="459"/>
      <c r="I35" s="459"/>
      <c r="J35" s="462"/>
      <c r="K35" s="453"/>
      <c r="L35" s="407"/>
      <c r="M35" s="443"/>
    </row>
    <row r="36" spans="1:13" ht="13">
      <c r="A36" s="398"/>
      <c r="B36" s="398"/>
      <c r="C36" s="459" t="s">
        <v>506</v>
      </c>
      <c r="D36" s="460">
        <f t="shared" si="0"/>
        <v>325194528.44</v>
      </c>
      <c r="E36" s="459"/>
      <c r="F36" s="459" t="s">
        <v>507</v>
      </c>
      <c r="G36" s="460">
        <f t="shared" si="1"/>
        <v>2879645.84</v>
      </c>
      <c r="H36" s="459"/>
      <c r="I36" s="459"/>
      <c r="J36" s="462"/>
      <c r="K36" s="406"/>
      <c r="L36" s="407"/>
      <c r="M36" s="443"/>
    </row>
    <row r="37" spans="1:13" ht="13">
      <c r="A37" s="398"/>
      <c r="B37" s="398"/>
      <c r="C37" s="459" t="s">
        <v>508</v>
      </c>
      <c r="D37" s="460">
        <f t="shared" si="0"/>
        <v>316430101.95999998</v>
      </c>
      <c r="E37" s="466"/>
      <c r="F37" s="459" t="s">
        <v>509</v>
      </c>
      <c r="G37" s="460">
        <f t="shared" si="1"/>
        <v>2224771.0299999998</v>
      </c>
      <c r="H37" s="459"/>
      <c r="I37" s="459"/>
      <c r="J37" s="462"/>
      <c r="K37" s="406"/>
      <c r="L37" s="407"/>
      <c r="M37" s="443"/>
    </row>
    <row r="38" spans="1:13" ht="13">
      <c r="A38" s="398"/>
      <c r="B38" s="398"/>
      <c r="C38" s="459" t="s">
        <v>510</v>
      </c>
      <c r="D38" s="460">
        <f t="shared" si="0"/>
        <v>307707297.41000003</v>
      </c>
      <c r="E38" s="459"/>
      <c r="F38" s="459" t="s">
        <v>511</v>
      </c>
      <c r="G38" s="460">
        <f t="shared" si="1"/>
        <v>1696242.48</v>
      </c>
      <c r="H38" s="459"/>
      <c r="I38" s="459"/>
      <c r="J38" s="439"/>
      <c r="K38" s="453"/>
      <c r="L38" s="407"/>
      <c r="M38" s="443"/>
    </row>
    <row r="39" spans="1:13" ht="13">
      <c r="A39" s="398"/>
      <c r="B39" s="398"/>
      <c r="C39" s="459" t="s">
        <v>512</v>
      </c>
      <c r="D39" s="460">
        <f t="shared" si="0"/>
        <v>299032465.26999998</v>
      </c>
      <c r="E39" s="459"/>
      <c r="F39" s="459" t="s">
        <v>513</v>
      </c>
      <c r="G39" s="460">
        <f t="shared" si="1"/>
        <v>1278438.68</v>
      </c>
      <c r="H39" s="459"/>
      <c r="I39" s="459"/>
      <c r="J39" s="439"/>
      <c r="K39" s="453"/>
      <c r="L39" s="407"/>
      <c r="M39" s="443"/>
    </row>
    <row r="40" spans="1:13" ht="13">
      <c r="A40" s="398"/>
      <c r="B40" s="398"/>
      <c r="C40" s="459" t="s">
        <v>514</v>
      </c>
      <c r="D40" s="460">
        <f t="shared" si="0"/>
        <v>290385794.99000001</v>
      </c>
      <c r="E40" s="467"/>
      <c r="F40" s="459" t="s">
        <v>515</v>
      </c>
      <c r="G40" s="460">
        <f t="shared" si="1"/>
        <v>962173.69</v>
      </c>
      <c r="H40" s="459"/>
      <c r="I40" s="459"/>
      <c r="J40" s="439"/>
      <c r="K40" s="453"/>
      <c r="L40" s="407"/>
      <c r="M40" s="443"/>
    </row>
    <row r="41" spans="1:13" ht="13">
      <c r="A41" s="398"/>
      <c r="B41" s="398"/>
      <c r="C41" s="459" t="s">
        <v>516</v>
      </c>
      <c r="D41" s="460">
        <f t="shared" si="0"/>
        <v>281773854.60000002</v>
      </c>
      <c r="E41" s="468"/>
      <c r="F41" s="459" t="s">
        <v>517</v>
      </c>
      <c r="G41" s="460">
        <f t="shared" si="1"/>
        <v>754506.74</v>
      </c>
      <c r="H41" s="436"/>
      <c r="I41" s="459"/>
      <c r="J41" s="439"/>
      <c r="K41" s="439"/>
      <c r="L41" s="398"/>
    </row>
    <row r="42" spans="1:13" ht="13">
      <c r="A42" s="398"/>
      <c r="B42" s="398"/>
      <c r="C42" s="459" t="s">
        <v>518</v>
      </c>
      <c r="D42" s="460">
        <f t="shared" si="0"/>
        <v>273207635.81999999</v>
      </c>
      <c r="E42" s="436"/>
      <c r="F42" s="459" t="s">
        <v>519</v>
      </c>
      <c r="G42" s="460">
        <f t="shared" si="1"/>
        <v>606749.96</v>
      </c>
      <c r="H42" s="436"/>
      <c r="I42" s="459"/>
      <c r="J42" s="439"/>
      <c r="K42" s="439"/>
      <c r="L42" s="398"/>
    </row>
    <row r="43" spans="1:13" ht="13">
      <c r="A43" s="398"/>
      <c r="B43" s="398"/>
      <c r="C43" s="459" t="s">
        <v>520</v>
      </c>
      <c r="D43" s="460">
        <f t="shared" si="0"/>
        <v>264700697.03999999</v>
      </c>
      <c r="E43" s="468"/>
      <c r="F43" s="459" t="s">
        <v>521</v>
      </c>
      <c r="G43" s="460">
        <f t="shared" si="1"/>
        <v>479532.99</v>
      </c>
      <c r="H43" s="468"/>
      <c r="I43" s="459"/>
      <c r="J43" s="439"/>
      <c r="K43" s="439"/>
      <c r="L43" s="398"/>
    </row>
    <row r="44" spans="1:13" ht="13">
      <c r="A44" s="398"/>
      <c r="B44" s="398"/>
      <c r="C44" s="459" t="s">
        <v>522</v>
      </c>
      <c r="D44" s="460">
        <f t="shared" si="0"/>
        <v>256260427.30000001</v>
      </c>
      <c r="E44" s="436"/>
      <c r="F44" s="459" t="s">
        <v>523</v>
      </c>
      <c r="G44" s="460">
        <f t="shared" si="1"/>
        <v>382722.15</v>
      </c>
      <c r="H44" s="436"/>
      <c r="I44" s="459"/>
      <c r="J44" s="439"/>
      <c r="K44" s="439"/>
      <c r="L44" s="398"/>
    </row>
    <row r="45" spans="1:13" ht="13">
      <c r="A45" s="398"/>
      <c r="B45" s="398"/>
      <c r="C45" s="459" t="s">
        <v>524</v>
      </c>
      <c r="D45" s="460">
        <f t="shared" si="0"/>
        <v>247832317.71000001</v>
      </c>
      <c r="E45" s="436"/>
      <c r="F45" s="459" t="s">
        <v>525</v>
      </c>
      <c r="G45" s="460">
        <f t="shared" si="1"/>
        <v>313378.99</v>
      </c>
      <c r="H45" s="436"/>
      <c r="I45" s="459"/>
      <c r="J45" s="439"/>
      <c r="K45" s="439"/>
      <c r="L45" s="398"/>
    </row>
    <row r="46" spans="1:13" ht="13">
      <c r="A46" s="398"/>
      <c r="B46" s="398"/>
      <c r="C46" s="459" t="s">
        <v>526</v>
      </c>
      <c r="D46" s="460">
        <f t="shared" si="0"/>
        <v>239417381.65000001</v>
      </c>
      <c r="E46" s="436"/>
      <c r="F46" s="459" t="s">
        <v>527</v>
      </c>
      <c r="G46" s="460">
        <f t="shared" si="1"/>
        <v>258639.1</v>
      </c>
      <c r="H46" s="436"/>
      <c r="I46" s="459"/>
      <c r="J46" s="439"/>
      <c r="K46" s="439"/>
      <c r="L46" s="398"/>
    </row>
    <row r="47" spans="1:13" ht="13">
      <c r="A47" s="398"/>
      <c r="B47" s="398"/>
      <c r="C47" s="459" t="s">
        <v>528</v>
      </c>
      <c r="D47" s="460">
        <f t="shared" si="0"/>
        <v>231033817.46000001</v>
      </c>
      <c r="E47" s="436"/>
      <c r="F47" s="459" t="s">
        <v>529</v>
      </c>
      <c r="G47" s="460">
        <f t="shared" si="1"/>
        <v>218050.63</v>
      </c>
      <c r="H47" s="436"/>
      <c r="I47" s="459"/>
      <c r="J47" s="439"/>
      <c r="K47" s="439"/>
      <c r="L47" s="398"/>
    </row>
    <row r="48" spans="1:13" ht="13">
      <c r="A48" s="398"/>
      <c r="B48" s="398"/>
      <c r="C48" s="459" t="s">
        <v>530</v>
      </c>
      <c r="D48" s="460">
        <f t="shared" si="0"/>
        <v>222675885.84999999</v>
      </c>
      <c r="E48" s="436"/>
      <c r="F48" s="459" t="s">
        <v>531</v>
      </c>
      <c r="G48" s="460">
        <f t="shared" si="1"/>
        <v>187230.79</v>
      </c>
      <c r="H48" s="436"/>
      <c r="I48" s="459"/>
      <c r="J48" s="439"/>
      <c r="K48" s="439"/>
      <c r="L48" s="398"/>
    </row>
    <row r="49" spans="1:12" ht="13">
      <c r="A49" s="398"/>
      <c r="B49" s="398"/>
      <c r="C49" s="459" t="s">
        <v>532</v>
      </c>
      <c r="D49" s="460">
        <f t="shared" si="0"/>
        <v>214347532.72</v>
      </c>
      <c r="E49" s="436"/>
      <c r="F49" s="459" t="s">
        <v>533</v>
      </c>
      <c r="G49" s="460">
        <f t="shared" si="1"/>
        <v>162541.91</v>
      </c>
      <c r="H49" s="436"/>
      <c r="I49" s="436"/>
      <c r="J49" s="469"/>
      <c r="K49" s="439"/>
      <c r="L49" s="398"/>
    </row>
    <row r="50" spans="1:12" ht="13">
      <c r="A50" s="398"/>
      <c r="B50" s="398"/>
      <c r="C50" s="459" t="s">
        <v>534</v>
      </c>
      <c r="D50" s="460">
        <f t="shared" si="0"/>
        <v>206054337.53999999</v>
      </c>
      <c r="E50" s="436"/>
      <c r="F50" s="459" t="s">
        <v>535</v>
      </c>
      <c r="G50" s="460">
        <f t="shared" si="1"/>
        <v>140985.31</v>
      </c>
      <c r="H50" s="436"/>
      <c r="I50" s="436"/>
      <c r="J50" s="469"/>
      <c r="K50" s="439"/>
      <c r="L50" s="398"/>
    </row>
    <row r="51" spans="1:12" ht="13">
      <c r="A51" s="398"/>
      <c r="B51" s="398"/>
      <c r="C51" s="459" t="s">
        <v>536</v>
      </c>
      <c r="D51" s="460">
        <f t="shared" ref="D51:D68" si="2">VLOOKUP(CONCATENATE("period_",C51),Assets,3,0)</f>
        <v>197809379.90000001</v>
      </c>
      <c r="E51" s="436"/>
      <c r="F51" s="459" t="s">
        <v>537</v>
      </c>
      <c r="G51" s="460">
        <f t="shared" ref="G51:G68" si="3">VLOOKUP(CONCATENATE("period_",F51),Assets,3,0)</f>
        <v>124145.54</v>
      </c>
      <c r="H51" s="436"/>
      <c r="I51" s="436"/>
      <c r="J51" s="469"/>
      <c r="K51" s="439"/>
      <c r="L51" s="398"/>
    </row>
    <row r="52" spans="1:12" ht="13">
      <c r="A52" s="398"/>
      <c r="B52" s="398"/>
      <c r="C52" s="459" t="s">
        <v>538</v>
      </c>
      <c r="D52" s="460">
        <f t="shared" si="2"/>
        <v>189604104.06999999</v>
      </c>
      <c r="E52" s="436"/>
      <c r="F52" s="459" t="s">
        <v>539</v>
      </c>
      <c r="G52" s="460">
        <f t="shared" si="3"/>
        <v>112231.1</v>
      </c>
      <c r="H52" s="436"/>
      <c r="I52" s="436"/>
      <c r="J52" s="469"/>
      <c r="K52" s="439"/>
      <c r="L52" s="398"/>
    </row>
    <row r="53" spans="1:12" ht="13">
      <c r="A53" s="398"/>
      <c r="B53" s="398"/>
      <c r="C53" s="459" t="s">
        <v>540</v>
      </c>
      <c r="D53" s="460">
        <f t="shared" si="2"/>
        <v>181448919.31999999</v>
      </c>
      <c r="E53" s="436"/>
      <c r="F53" s="459" t="s">
        <v>541</v>
      </c>
      <c r="G53" s="460">
        <f t="shared" si="3"/>
        <v>102189.36</v>
      </c>
      <c r="H53" s="436"/>
      <c r="I53" s="436"/>
      <c r="J53" s="469"/>
      <c r="K53" s="439"/>
      <c r="L53" s="398"/>
    </row>
    <row r="54" spans="1:12" ht="13">
      <c r="A54" s="398"/>
      <c r="B54" s="398"/>
      <c r="C54" s="459" t="s">
        <v>542</v>
      </c>
      <c r="D54" s="460">
        <f t="shared" si="2"/>
        <v>173341372.12</v>
      </c>
      <c r="E54" s="436"/>
      <c r="F54" s="459" t="s">
        <v>543</v>
      </c>
      <c r="G54" s="460">
        <f t="shared" si="3"/>
        <v>93015.12</v>
      </c>
      <c r="H54" s="436"/>
      <c r="I54" s="436"/>
      <c r="J54" s="469"/>
      <c r="K54" s="439"/>
      <c r="L54" s="398"/>
    </row>
    <row r="55" spans="1:12" ht="13">
      <c r="A55" s="398"/>
      <c r="B55" s="398"/>
      <c r="C55" s="459" t="s">
        <v>544</v>
      </c>
      <c r="D55" s="460">
        <f t="shared" si="2"/>
        <v>165296902.16</v>
      </c>
      <c r="E55" s="436"/>
      <c r="F55" s="459" t="s">
        <v>545</v>
      </c>
      <c r="G55" s="460">
        <f t="shared" si="3"/>
        <v>86107.6</v>
      </c>
      <c r="H55" s="436"/>
      <c r="I55" s="436"/>
      <c r="J55" s="469"/>
      <c r="K55" s="439"/>
      <c r="L55" s="398"/>
    </row>
    <row r="56" spans="1:12" ht="13">
      <c r="A56" s="398"/>
      <c r="B56" s="398"/>
      <c r="C56" s="459" t="s">
        <v>546</v>
      </c>
      <c r="D56" s="460">
        <f t="shared" si="2"/>
        <v>157305351.30000001</v>
      </c>
      <c r="E56" s="436"/>
      <c r="F56" s="459" t="s">
        <v>547</v>
      </c>
      <c r="G56" s="460">
        <f t="shared" si="3"/>
        <v>80237.61</v>
      </c>
      <c r="H56" s="436"/>
      <c r="I56" s="436"/>
      <c r="J56" s="469"/>
      <c r="K56" s="439"/>
      <c r="L56" s="398"/>
    </row>
    <row r="57" spans="1:12" ht="13">
      <c r="A57" s="398"/>
      <c r="B57" s="398"/>
      <c r="C57" s="459" t="s">
        <v>548</v>
      </c>
      <c r="D57" s="460">
        <f t="shared" si="2"/>
        <v>149335000.52000001</v>
      </c>
      <c r="E57" s="436"/>
      <c r="F57" s="459" t="s">
        <v>549</v>
      </c>
      <c r="G57" s="460">
        <f t="shared" si="3"/>
        <v>74702.740000000005</v>
      </c>
      <c r="H57" s="436"/>
      <c r="I57" s="436"/>
      <c r="J57" s="469"/>
      <c r="K57" s="439"/>
      <c r="L57" s="398"/>
    </row>
    <row r="58" spans="1:12" ht="13">
      <c r="A58" s="398"/>
      <c r="B58" s="398"/>
      <c r="C58" s="459" t="s">
        <v>550</v>
      </c>
      <c r="D58" s="460">
        <f t="shared" si="2"/>
        <v>141400582.16999999</v>
      </c>
      <c r="E58" s="436"/>
      <c r="F58" s="459" t="s">
        <v>551</v>
      </c>
      <c r="G58" s="460">
        <f t="shared" si="3"/>
        <v>69915.87</v>
      </c>
      <c r="H58" s="436"/>
      <c r="I58" s="436"/>
      <c r="J58" s="469"/>
      <c r="K58" s="439"/>
      <c r="L58" s="398"/>
    </row>
    <row r="59" spans="1:12" ht="13">
      <c r="A59" s="398"/>
      <c r="B59" s="398"/>
      <c r="C59" s="459" t="s">
        <v>552</v>
      </c>
      <c r="D59" s="460">
        <f t="shared" si="2"/>
        <v>133537359.55</v>
      </c>
      <c r="E59" s="436"/>
      <c r="F59" s="459" t="s">
        <v>553</v>
      </c>
      <c r="G59" s="460">
        <f t="shared" si="3"/>
        <v>65102.44</v>
      </c>
      <c r="H59" s="436"/>
      <c r="I59" s="436"/>
      <c r="J59" s="469"/>
      <c r="K59" s="439"/>
      <c r="L59" s="398"/>
    </row>
    <row r="60" spans="1:12" ht="13">
      <c r="A60" s="398"/>
      <c r="B60" s="398"/>
      <c r="C60" s="459" t="s">
        <v>554</v>
      </c>
      <c r="D60" s="460">
        <f t="shared" si="2"/>
        <v>125737578.66</v>
      </c>
      <c r="E60" s="436"/>
      <c r="F60" s="459" t="s">
        <v>555</v>
      </c>
      <c r="G60" s="460">
        <f t="shared" si="3"/>
        <v>60262.28</v>
      </c>
      <c r="H60" s="436"/>
      <c r="I60" s="436"/>
      <c r="J60" s="469"/>
      <c r="K60" s="439"/>
      <c r="L60" s="398"/>
    </row>
    <row r="61" spans="1:12" ht="13">
      <c r="A61" s="398"/>
      <c r="B61" s="398"/>
      <c r="C61" s="459" t="s">
        <v>556</v>
      </c>
      <c r="D61" s="460">
        <f t="shared" si="2"/>
        <v>117998977.36</v>
      </c>
      <c r="E61" s="436"/>
      <c r="F61" s="459" t="s">
        <v>557</v>
      </c>
      <c r="G61" s="460">
        <f t="shared" si="3"/>
        <v>55395.25</v>
      </c>
      <c r="H61" s="436"/>
      <c r="I61" s="436"/>
      <c r="J61" s="469"/>
      <c r="K61" s="439"/>
      <c r="L61" s="398"/>
    </row>
    <row r="62" spans="1:12" ht="13">
      <c r="A62" s="398"/>
      <c r="B62" s="398"/>
      <c r="C62" s="459" t="s">
        <v>558</v>
      </c>
      <c r="D62" s="460">
        <f t="shared" si="2"/>
        <v>110363353.95</v>
      </c>
      <c r="E62" s="436"/>
      <c r="F62" s="459" t="s">
        <v>559</v>
      </c>
      <c r="G62" s="460">
        <f t="shared" si="3"/>
        <v>50932.23</v>
      </c>
      <c r="H62" s="436"/>
      <c r="I62" s="436"/>
      <c r="J62" s="469"/>
      <c r="K62" s="439"/>
      <c r="L62" s="398"/>
    </row>
    <row r="63" spans="1:12" ht="13">
      <c r="A63" s="398"/>
      <c r="B63" s="398"/>
      <c r="C63" s="459" t="s">
        <v>560</v>
      </c>
      <c r="D63" s="460">
        <f t="shared" si="2"/>
        <v>102866834.98999999</v>
      </c>
      <c r="E63" s="436"/>
      <c r="F63" s="459" t="s">
        <v>561</v>
      </c>
      <c r="G63" s="460">
        <f t="shared" si="3"/>
        <v>46444.68</v>
      </c>
      <c r="H63" s="436"/>
      <c r="I63" s="436"/>
      <c r="J63" s="469"/>
      <c r="K63" s="439"/>
      <c r="L63" s="398"/>
    </row>
    <row r="64" spans="1:12" ht="13">
      <c r="A64" s="398"/>
      <c r="B64" s="398"/>
      <c r="C64" s="459" t="s">
        <v>562</v>
      </c>
      <c r="D64" s="460">
        <f t="shared" si="2"/>
        <v>95527393.599999994</v>
      </c>
      <c r="E64" s="436"/>
      <c r="F64" s="459" t="s">
        <v>563</v>
      </c>
      <c r="G64" s="460">
        <f t="shared" si="3"/>
        <v>42083.43</v>
      </c>
      <c r="H64" s="436"/>
      <c r="I64" s="436"/>
      <c r="J64" s="469"/>
      <c r="K64" s="439"/>
      <c r="L64" s="398"/>
    </row>
    <row r="65" spans="1:12" ht="13">
      <c r="A65" s="398"/>
      <c r="B65" s="398"/>
      <c r="C65" s="459" t="s">
        <v>564</v>
      </c>
      <c r="D65" s="460">
        <f t="shared" si="2"/>
        <v>88344346.590000004</v>
      </c>
      <c r="E65" s="436"/>
      <c r="F65" s="459" t="s">
        <v>565</v>
      </c>
      <c r="G65" s="460">
        <f t="shared" si="3"/>
        <v>38053.82</v>
      </c>
      <c r="H65" s="436"/>
      <c r="I65" s="436"/>
      <c r="J65" s="469"/>
      <c r="K65" s="439"/>
      <c r="L65" s="398"/>
    </row>
    <row r="66" spans="1:12" ht="13">
      <c r="A66" s="398"/>
      <c r="B66" s="398"/>
      <c r="C66" s="459" t="s">
        <v>566</v>
      </c>
      <c r="D66" s="460">
        <f t="shared" si="2"/>
        <v>81361671.540000007</v>
      </c>
      <c r="E66" s="436"/>
      <c r="F66" s="459" t="s">
        <v>567</v>
      </c>
      <c r="G66" s="460">
        <f t="shared" si="3"/>
        <v>34001.230000000003</v>
      </c>
      <c r="H66" s="436"/>
      <c r="I66" s="436"/>
      <c r="J66" s="469"/>
      <c r="K66" s="439"/>
      <c r="L66" s="398"/>
    </row>
    <row r="67" spans="1:12" ht="13">
      <c r="A67" s="398"/>
      <c r="B67" s="398"/>
      <c r="C67" s="459" t="s">
        <v>568</v>
      </c>
      <c r="D67" s="460">
        <f t="shared" si="2"/>
        <v>74565956.939999998</v>
      </c>
      <c r="E67" s="436"/>
      <c r="F67" s="459" t="s">
        <v>569</v>
      </c>
      <c r="G67" s="460">
        <f t="shared" si="3"/>
        <v>30227.75</v>
      </c>
      <c r="H67" s="436"/>
      <c r="I67" s="436"/>
      <c r="J67" s="469"/>
      <c r="K67" s="439"/>
      <c r="L67" s="398"/>
    </row>
    <row r="68" spans="1:12" ht="13">
      <c r="A68" s="398"/>
      <c r="B68" s="398"/>
      <c r="C68" s="459">
        <v>50</v>
      </c>
      <c r="D68" s="460">
        <f t="shared" si="2"/>
        <v>67982296.260000005</v>
      </c>
      <c r="E68" s="436"/>
      <c r="F68" s="459">
        <v>100</v>
      </c>
      <c r="G68" s="460">
        <f t="shared" si="3"/>
        <v>26432.77</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tr">
        <f>'Cover Sheet'!B2</f>
        <v>SC Germany Consumer 2022-1</v>
      </c>
      <c r="D2" s="106" t="str">
        <f>'Cover Sheet'!D2</f>
        <v>Calculation Date</v>
      </c>
      <c r="E2" s="107"/>
      <c r="F2" s="108">
        <f>'Cover Sheet'!F2</f>
        <v>45911</v>
      </c>
      <c r="G2" s="107"/>
      <c r="H2" s="107"/>
      <c r="I2" s="107"/>
      <c r="J2" s="109"/>
      <c r="K2" s="105"/>
      <c r="L2" s="105"/>
      <c r="M2" s="105"/>
      <c r="N2" s="105"/>
      <c r="O2" s="105"/>
      <c r="P2" s="105"/>
      <c r="Q2" s="105"/>
      <c r="R2" s="105"/>
      <c r="S2" s="134"/>
      <c r="T2" s="105"/>
      <c r="U2" s="359"/>
    </row>
    <row r="3" spans="1:21" s="102" customFormat="1" ht="18">
      <c r="A3" s="103"/>
      <c r="B3" s="105"/>
      <c r="C3" s="104" t="str">
        <f>'Cover Sheet'!B3</f>
        <v>Monthly Investor Report</v>
      </c>
      <c r="D3" s="112" t="str">
        <f>'Cover Sheet'!D3</f>
        <v>Payment Date</v>
      </c>
      <c r="E3" s="113"/>
      <c r="F3" s="114">
        <f>'Cover Sheet'!F3</f>
        <v>45915</v>
      </c>
      <c r="G3" s="113"/>
      <c r="H3" s="113"/>
      <c r="I3" s="113"/>
      <c r="J3" s="115"/>
      <c r="K3" s="105"/>
      <c r="L3" s="105"/>
      <c r="M3" s="105"/>
      <c r="N3" s="105"/>
      <c r="O3" s="105"/>
      <c r="P3" s="105"/>
      <c r="Q3" s="105"/>
      <c r="R3" s="105"/>
      <c r="S3" s="135"/>
      <c r="T3" s="105"/>
      <c r="U3" s="125"/>
    </row>
    <row r="4" spans="1:21" s="102" customFormat="1" ht="13">
      <c r="A4" s="103"/>
      <c r="B4" s="105"/>
      <c r="C4" s="157"/>
      <c r="D4" s="112" t="str">
        <f>'Cover Sheet'!D4</f>
        <v>Period  No</v>
      </c>
      <c r="E4" s="113"/>
      <c r="F4" s="117">
        <f>'Cover Sheet'!F4</f>
        <v>35</v>
      </c>
      <c r="G4" s="113"/>
      <c r="H4" s="118"/>
      <c r="I4" s="118"/>
      <c r="J4" s="119"/>
      <c r="K4" s="105"/>
      <c r="L4" s="105"/>
      <c r="M4" s="105"/>
      <c r="N4" s="105"/>
      <c r="O4" s="105"/>
      <c r="P4" s="105"/>
      <c r="Q4" s="105"/>
      <c r="R4" s="105"/>
      <c r="S4" s="134"/>
      <c r="T4" s="105"/>
      <c r="U4" s="359"/>
    </row>
    <row r="5" spans="1:21" s="102" customFormat="1" ht="18">
      <c r="A5" s="103"/>
      <c r="B5" s="105"/>
      <c r="C5" s="160" t="s">
        <v>381</v>
      </c>
      <c r="D5" s="112" t="str">
        <f>'Cover Sheet'!D5</f>
        <v>Monthly Period</v>
      </c>
      <c r="E5" s="113"/>
      <c r="F5" s="121">
        <f>'Cover Sheet'!F5</f>
        <v>45915</v>
      </c>
      <c r="G5" s="113"/>
      <c r="H5" s="118"/>
      <c r="I5" s="118"/>
      <c r="J5" s="119"/>
      <c r="K5" s="105"/>
      <c r="L5" s="105"/>
      <c r="M5" s="105"/>
      <c r="N5" s="105"/>
      <c r="O5" s="105"/>
      <c r="P5" s="105"/>
      <c r="Q5" s="105"/>
      <c r="R5" s="105"/>
      <c r="S5" s="135"/>
      <c r="T5" s="105"/>
      <c r="U5" s="125"/>
    </row>
    <row r="6" spans="1:21" s="102" customFormat="1" ht="15" customHeight="1">
      <c r="A6" s="103"/>
      <c r="B6" s="105"/>
      <c r="C6" s="122"/>
      <c r="D6" s="112" t="str">
        <f>'Cover Sheet'!D6</f>
        <v>Interest Period</v>
      </c>
      <c r="E6" s="121" t="s">
        <v>34</v>
      </c>
      <c r="F6" s="114">
        <f>'Cover Sheet'!F6</f>
        <v>45883</v>
      </c>
      <c r="G6" s="123" t="str">
        <f>'Cover Sheet'!G6</f>
        <v>to</v>
      </c>
      <c r="H6" s="114">
        <f>'Cover Sheet'!H6</f>
        <v>45915</v>
      </c>
      <c r="I6" s="114" t="str">
        <f>'Cover Sheet'!I6</f>
        <v>=</v>
      </c>
      <c r="J6" s="372" t="str">
        <f>'Cover Sheet'!J6</f>
        <v>32 days</v>
      </c>
      <c r="K6" s="105"/>
      <c r="L6" s="105"/>
      <c r="M6" s="105"/>
      <c r="N6" s="105"/>
      <c r="O6" s="105"/>
      <c r="P6" s="105"/>
      <c r="Q6" s="105"/>
      <c r="R6" s="105"/>
      <c r="S6" s="135"/>
      <c r="T6" s="105"/>
      <c r="U6" s="125"/>
    </row>
    <row r="7" spans="1:21" s="102" customFormat="1" ht="13">
      <c r="A7" s="103"/>
      <c r="B7" s="105"/>
      <c r="C7" s="105"/>
      <c r="D7" s="127" t="str">
        <f>'Cover Sheet'!D7</f>
        <v>Collection Period</v>
      </c>
      <c r="E7" s="128" t="s">
        <v>34</v>
      </c>
      <c r="F7" s="129" t="str">
        <f>'Cover Sheet'!F7</f>
        <v>01.08.2025</v>
      </c>
      <c r="G7" s="128" t="str">
        <f>'Cover Sheet'!G7</f>
        <v>to</v>
      </c>
      <c r="H7" s="129">
        <f>'Cover Sheet'!H7</f>
        <v>45900</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370</v>
      </c>
      <c r="C13" s="104"/>
      <c r="D13" s="164"/>
      <c r="E13" s="21"/>
      <c r="F13" s="105"/>
      <c r="G13" s="104"/>
      <c r="H13" s="105"/>
      <c r="I13" s="104" t="s">
        <v>371</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224</v>
      </c>
      <c r="D15" s="164" t="s">
        <v>225</v>
      </c>
      <c r="E15" s="943">
        <f>VLOOKUP("Interest_collections",calcdata_22,2,FALSE)</f>
        <v>2236343.63</v>
      </c>
      <c r="F15" s="21"/>
      <c r="G15" s="105"/>
      <c r="H15" s="105"/>
      <c r="I15" s="373" t="s">
        <v>318</v>
      </c>
      <c r="J15" s="373"/>
      <c r="K15" s="373"/>
      <c r="L15" s="158" t="s">
        <v>225</v>
      </c>
      <c r="M15" s="943">
        <f>VLOOKUP("Principal_collections",calcdata_22,2,FALSE)</f>
        <v>14728161.710000001</v>
      </c>
      <c r="N15" s="105"/>
      <c r="O15" s="105"/>
      <c r="P15" s="105"/>
      <c r="Q15" s="105"/>
      <c r="R15" s="105"/>
      <c r="S15" s="105"/>
      <c r="T15" s="110"/>
      <c r="U15" s="110"/>
    </row>
    <row r="16" spans="1:21" ht="13.5" customHeight="1">
      <c r="A16" s="180"/>
      <c r="B16" s="103"/>
      <c r="C16" s="105" t="s">
        <v>408</v>
      </c>
      <c r="D16" s="164" t="s">
        <v>225</v>
      </c>
      <c r="E16" s="943">
        <f>VLOOKUP("Other_interest_payments",calcdata_22,2,FALSE)</f>
        <v>0</v>
      </c>
      <c r="F16" s="21"/>
      <c r="G16" s="105"/>
      <c r="H16" s="105"/>
      <c r="I16" s="373" t="s">
        <v>409</v>
      </c>
      <c r="J16" s="373"/>
      <c r="K16" s="373"/>
      <c r="L16" s="158" t="s">
        <v>225</v>
      </c>
      <c r="M16" s="943">
        <f>VLOOKUP("Other_Principal_amount",calcdata_22,2,FALSE)</f>
        <v>0</v>
      </c>
      <c r="N16" s="105"/>
      <c r="O16" s="105"/>
      <c r="P16" s="105"/>
      <c r="Q16" s="105"/>
      <c r="R16" s="105"/>
      <c r="S16" s="105"/>
      <c r="T16" s="110"/>
      <c r="U16" s="174"/>
    </row>
    <row r="17" spans="1:21" ht="13.5" customHeight="1">
      <c r="A17" s="180"/>
      <c r="B17" s="103"/>
      <c r="C17" s="105" t="s">
        <v>618</v>
      </c>
      <c r="D17" s="164" t="s">
        <v>225</v>
      </c>
      <c r="E17" s="943">
        <f>VLOOKUP("Recoveries_received",calcdata_22,2,FALSE)</f>
        <v>184720.33</v>
      </c>
      <c r="F17" s="21"/>
      <c r="G17" s="105"/>
      <c r="H17" s="105"/>
      <c r="I17" s="373" t="s">
        <v>410</v>
      </c>
      <c r="J17" s="373"/>
      <c r="K17" s="373"/>
      <c r="L17" s="158" t="s">
        <v>225</v>
      </c>
      <c r="M17" s="943">
        <f>VLOOKUP("Final_Repurchase_Price",calcdata_22,2,FALSE)</f>
        <v>0</v>
      </c>
      <c r="N17" s="105"/>
      <c r="O17" s="105"/>
      <c r="P17" s="105"/>
      <c r="Q17" s="105"/>
      <c r="R17" s="105"/>
      <c r="S17" s="105"/>
      <c r="T17" s="110"/>
      <c r="U17" s="174"/>
    </row>
    <row r="18" spans="1:21" ht="13.5" customHeight="1">
      <c r="A18" s="180"/>
      <c r="B18" s="103"/>
      <c r="C18" s="105" t="s">
        <v>619</v>
      </c>
      <c r="D18" s="164" t="s">
        <v>225</v>
      </c>
      <c r="E18" s="943">
        <f>VLOOKUP("Interests_earned_Transaction_Purchase_Shortfall_Account",calcdata_22,2,FALSE)</f>
        <v>0</v>
      </c>
      <c r="F18" s="105"/>
      <c r="G18" s="105"/>
      <c r="H18" s="105"/>
      <c r="I18" s="373" t="s">
        <v>411</v>
      </c>
      <c r="J18" s="373"/>
      <c r="K18" s="373"/>
      <c r="L18" s="158" t="s">
        <v>225</v>
      </c>
      <c r="M18" s="943">
        <f>VLOOKUP("Amounts_credit_Com_Reserve_Account",calcdata_22,2,FALSE)</f>
        <v>0</v>
      </c>
      <c r="N18" s="105"/>
      <c r="O18" s="105"/>
      <c r="P18" s="105"/>
      <c r="Q18" s="105"/>
      <c r="R18" s="105"/>
      <c r="S18" s="105"/>
      <c r="T18" s="110"/>
      <c r="U18" s="174"/>
    </row>
    <row r="19" spans="1:21" ht="13.5" customHeight="1">
      <c r="A19" s="180"/>
      <c r="B19" s="103"/>
      <c r="C19" s="21" t="s">
        <v>620</v>
      </c>
      <c r="D19" s="164" t="s">
        <v>225</v>
      </c>
      <c r="E19" s="943">
        <f>VLOOKUP("Amounts_ComReserve_Account",calcdata_22,2,FALSE)</f>
        <v>0</v>
      </c>
      <c r="F19" s="105"/>
      <c r="G19" s="105"/>
      <c r="H19" s="105"/>
      <c r="I19" s="373" t="s">
        <v>625</v>
      </c>
      <c r="J19" s="373"/>
      <c r="K19" s="373"/>
      <c r="L19" s="158" t="s">
        <v>225</v>
      </c>
      <c r="M19" s="943">
        <f>VLOOKUP("Amounts_credit_Settoff_Reserve_Account",calcdata_22,2,FALSE)</f>
        <v>0</v>
      </c>
      <c r="N19" s="105"/>
      <c r="O19" s="105"/>
      <c r="P19" s="105"/>
      <c r="Q19" s="105"/>
      <c r="R19" s="105"/>
      <c r="S19" s="105"/>
      <c r="T19" s="110"/>
      <c r="U19" s="174"/>
    </row>
    <row r="20" spans="1:21" ht="13.5" customHeight="1">
      <c r="A20" s="180"/>
      <c r="B20" s="103"/>
      <c r="C20" s="105" t="s">
        <v>621</v>
      </c>
      <c r="D20" s="164" t="s">
        <v>225</v>
      </c>
      <c r="E20" s="943">
        <f>VLOOKUP("Amounts_Liqudity_Reserve_Account",calcdata_22,2,FALSE)</f>
        <v>12655445.01</v>
      </c>
      <c r="F20" s="105"/>
      <c r="G20" s="105"/>
      <c r="H20" s="105"/>
      <c r="I20" s="373" t="s">
        <v>136</v>
      </c>
      <c r="J20" s="373"/>
      <c r="K20" s="373"/>
      <c r="L20" s="158" t="s">
        <v>225</v>
      </c>
      <c r="M20" s="943">
        <f>VLOOKUP("Amounts_credit_Purchase_Shortfall_Account",calcdata_22,2,FALSE)</f>
        <v>37.419999722391367</v>
      </c>
      <c r="N20" s="105"/>
      <c r="O20" s="105"/>
      <c r="P20" s="105"/>
      <c r="Q20" s="105"/>
      <c r="R20" s="105"/>
      <c r="S20" s="105"/>
      <c r="T20" s="110"/>
      <c r="U20" s="174"/>
    </row>
    <row r="21" spans="1:21" ht="13.5" customHeight="1">
      <c r="A21" s="180"/>
      <c r="B21" s="103"/>
      <c r="C21" s="105" t="s">
        <v>622</v>
      </c>
      <c r="D21" s="164" t="s">
        <v>225</v>
      </c>
      <c r="E21" s="943">
        <f>VLOOKUP("Interests_paid_Swap_Counterparty",calcdata_22,2,FALSE)</f>
        <v>0</v>
      </c>
      <c r="F21" s="105"/>
      <c r="G21" s="105"/>
      <c r="H21" s="105"/>
      <c r="I21" s="373" t="s">
        <v>412</v>
      </c>
      <c r="J21" s="373"/>
      <c r="K21" s="373"/>
      <c r="L21" s="158" t="s">
        <v>225</v>
      </c>
      <c r="M21" s="943">
        <f>VLOOKUP("Mezzanine_loan_disbursement",calcdata_22,2,FALSE)</f>
        <v>0</v>
      </c>
      <c r="N21" s="105"/>
      <c r="O21" s="105"/>
      <c r="P21" s="105"/>
      <c r="Q21" s="105"/>
      <c r="R21" s="105"/>
      <c r="S21" s="105"/>
      <c r="T21" s="110"/>
      <c r="U21" s="174"/>
    </row>
    <row r="22" spans="1:21" ht="13.5" customHeight="1">
      <c r="A22" s="180"/>
      <c r="B22" s="103"/>
      <c r="C22" s="105" t="s">
        <v>623</v>
      </c>
      <c r="D22" s="164" t="s">
        <v>225</v>
      </c>
      <c r="E22" s="943">
        <f>VLOOKUP("Remaining_PreEnforcement_available_Principal_amount",calcdata_22,2,FALSE)</f>
        <v>0</v>
      </c>
      <c r="F22" s="105"/>
      <c r="G22" s="105"/>
      <c r="H22" s="105"/>
      <c r="I22" s="373" t="s">
        <v>413</v>
      </c>
      <c r="J22" s="373"/>
      <c r="K22" s="373"/>
      <c r="L22" s="158" t="s">
        <v>225</v>
      </c>
      <c r="M22" s="943">
        <f>VLOOKUP("PDL",calcdata_22,2,FALSE)</f>
        <v>501270.80999999866</v>
      </c>
      <c r="N22" s="105"/>
      <c r="O22" s="105"/>
      <c r="P22" s="105"/>
      <c r="Q22" s="105"/>
      <c r="R22" s="105"/>
      <c r="S22" s="105"/>
      <c r="T22" s="110"/>
      <c r="U22" s="174"/>
    </row>
    <row r="23" spans="1:21" ht="13.5" customHeight="1" thickBot="1">
      <c r="A23" s="180"/>
      <c r="B23" s="103"/>
      <c r="C23" s="105" t="s">
        <v>624</v>
      </c>
      <c r="D23" s="164" t="s">
        <v>225</v>
      </c>
      <c r="E23" s="943">
        <f>VLOOKUP("Other_amounts_paid_Interests",calcdata_22,2,FALSE)</f>
        <v>0</v>
      </c>
      <c r="F23" s="105"/>
      <c r="G23" s="105"/>
      <c r="H23" s="105"/>
      <c r="I23" s="373" t="s">
        <v>226</v>
      </c>
      <c r="J23" s="373"/>
      <c r="K23" s="373"/>
      <c r="L23" s="158" t="s">
        <v>225</v>
      </c>
      <c r="M23" s="943">
        <f>VLOOKUP("Rounding_differences_previous",calcdata_22,2,FALSE)</f>
        <v>0</v>
      </c>
      <c r="N23" s="105"/>
      <c r="O23" s="105"/>
      <c r="P23" s="105"/>
      <c r="Q23" s="105"/>
      <c r="R23" s="105"/>
      <c r="S23" s="105"/>
      <c r="T23" s="110"/>
      <c r="U23" s="174"/>
    </row>
    <row r="24" spans="1:21" ht="13.5" customHeight="1" thickTop="1">
      <c r="A24" s="180"/>
      <c r="B24" s="103"/>
      <c r="C24" s="105" t="s">
        <v>222</v>
      </c>
      <c r="D24" s="164" t="s">
        <v>15</v>
      </c>
      <c r="E24" s="944">
        <f>VLOOKUP("Available_Interest_amount",calcdata_22,2,FALSE)</f>
        <v>15076508.969999999</v>
      </c>
      <c r="F24" s="105"/>
      <c r="G24" s="105"/>
      <c r="H24" s="105"/>
      <c r="I24" s="373" t="s">
        <v>223</v>
      </c>
      <c r="J24" s="373"/>
      <c r="K24" s="373"/>
      <c r="L24" s="158" t="s">
        <v>15</v>
      </c>
      <c r="M24" s="944">
        <f>VLOOKUP("Available_Principal_amount",calcdata_22,2,FALSE)</f>
        <v>15229469.939999722</v>
      </c>
      <c r="N24" s="105"/>
      <c r="O24" s="105"/>
      <c r="P24" s="105"/>
      <c r="Q24" s="105"/>
      <c r="R24" s="105"/>
      <c r="S24" s="105"/>
      <c r="T24" s="110"/>
      <c r="U24" s="174"/>
    </row>
    <row r="25" spans="1:21" ht="13.5" customHeight="1">
      <c r="A25" s="180"/>
      <c r="B25" s="103"/>
      <c r="C25" s="105"/>
      <c r="D25" s="164"/>
      <c r="E25" s="945"/>
      <c r="F25" s="105"/>
      <c r="G25" s="105"/>
      <c r="H25" s="105"/>
      <c r="I25" s="373"/>
      <c r="J25" s="373"/>
      <c r="K25" s="373"/>
      <c r="L25" s="158"/>
      <c r="M25" s="945"/>
      <c r="N25" s="105"/>
      <c r="O25" s="105"/>
      <c r="P25" s="105"/>
      <c r="Q25" s="105"/>
      <c r="R25" s="105"/>
      <c r="S25" s="105"/>
      <c r="T25" s="110"/>
      <c r="U25" s="174"/>
    </row>
    <row r="26" spans="1:21">
      <c r="A26" s="180"/>
      <c r="B26" s="146"/>
      <c r="C26" s="148" t="s">
        <v>629</v>
      </c>
      <c r="D26" s="375"/>
      <c r="E26" s="946"/>
      <c r="F26" s="148"/>
      <c r="G26" s="148"/>
      <c r="H26" s="148"/>
      <c r="I26" s="148"/>
      <c r="J26" s="148"/>
      <c r="K26" s="148"/>
      <c r="L26" s="376"/>
      <c r="M26" s="989"/>
      <c r="N26" s="148"/>
      <c r="O26" s="148"/>
      <c r="P26" s="148"/>
      <c r="Q26" s="148"/>
      <c r="R26" s="148"/>
      <c r="S26" s="148"/>
      <c r="T26" s="149"/>
      <c r="U26" s="174"/>
    </row>
    <row r="27" spans="1:21">
      <c r="A27" s="180"/>
      <c r="B27" s="105"/>
      <c r="C27" s="105"/>
      <c r="D27" s="164"/>
      <c r="E27" s="947"/>
      <c r="F27" s="105"/>
      <c r="G27" s="105"/>
      <c r="H27" s="105"/>
      <c r="I27" s="105"/>
      <c r="J27" s="105"/>
      <c r="K27" s="105"/>
      <c r="L27" s="158"/>
      <c r="M27" s="966"/>
      <c r="N27" s="105"/>
      <c r="O27" s="105"/>
      <c r="P27" s="105"/>
      <c r="Q27" s="105"/>
      <c r="R27" s="105"/>
      <c r="S27" s="105"/>
      <c r="T27" s="105"/>
      <c r="U27" s="174"/>
    </row>
    <row r="28" spans="1:21" ht="18">
      <c r="A28" s="180"/>
      <c r="B28" s="104" t="s">
        <v>389</v>
      </c>
      <c r="C28" s="104"/>
      <c r="D28" s="164"/>
      <c r="E28" s="948"/>
      <c r="F28" s="212"/>
      <c r="G28" s="104"/>
      <c r="H28" s="172"/>
      <c r="I28" s="104" t="s">
        <v>390</v>
      </c>
      <c r="J28" s="172"/>
      <c r="K28" s="172"/>
      <c r="L28" s="377"/>
      <c r="M28" s="947"/>
      <c r="N28" s="173"/>
      <c r="O28" s="173"/>
      <c r="P28" s="173"/>
      <c r="Q28" s="173"/>
      <c r="R28" s="173"/>
      <c r="S28" s="173"/>
      <c r="T28" s="21"/>
      <c r="U28" s="174"/>
    </row>
    <row r="29" spans="1:21" ht="10.5" customHeight="1">
      <c r="A29" s="180"/>
      <c r="B29" s="99"/>
      <c r="C29" s="378"/>
      <c r="D29" s="371"/>
      <c r="E29" s="949"/>
      <c r="F29" s="379"/>
      <c r="G29" s="380"/>
      <c r="H29" s="381"/>
      <c r="I29" s="380"/>
      <c r="J29" s="381"/>
      <c r="K29" s="381"/>
      <c r="L29" s="382"/>
      <c r="M29" s="990"/>
      <c r="N29" s="383"/>
      <c r="O29" s="383"/>
      <c r="P29" s="383"/>
      <c r="Q29" s="383"/>
      <c r="R29" s="383"/>
      <c r="S29" s="383"/>
      <c r="T29" s="154"/>
      <c r="U29" s="174"/>
    </row>
    <row r="30" spans="1:21" ht="13.5" customHeight="1">
      <c r="A30" s="180"/>
      <c r="B30" s="103"/>
      <c r="C30" s="85" t="s">
        <v>222</v>
      </c>
      <c r="D30" s="85"/>
      <c r="E30" s="945">
        <f>VLOOKUP("Available_Interest_amount",calcdata_22,2,FALSE)</f>
        <v>15076508.969999999</v>
      </c>
      <c r="F30" s="282"/>
      <c r="G30" s="21"/>
      <c r="H30" s="283"/>
      <c r="I30" s="373" t="s">
        <v>223</v>
      </c>
      <c r="J30" s="373"/>
      <c r="K30" s="373"/>
      <c r="L30" s="284"/>
      <c r="M30" s="945">
        <f>VLOOKUP("Available_Principal_amount",calcdata_22,2,FALSE)</f>
        <v>15229469.939999722</v>
      </c>
      <c r="N30" s="172"/>
      <c r="O30" s="172"/>
      <c r="P30" s="172"/>
      <c r="Q30" s="172"/>
      <c r="R30" s="172"/>
      <c r="S30" s="172"/>
      <c r="T30" s="174"/>
      <c r="U30" s="174"/>
    </row>
    <row r="31" spans="1:21" ht="13.5" customHeight="1">
      <c r="A31" s="180"/>
      <c r="B31" s="180"/>
      <c r="C31" s="85" t="s">
        <v>299</v>
      </c>
      <c r="D31" s="86" t="s">
        <v>35</v>
      </c>
      <c r="E31" s="945">
        <f>VLOOKUP("Senior_Expenses",calcdata_22,2,FALSE)</f>
        <v>15.56</v>
      </c>
      <c r="F31" s="286"/>
      <c r="G31" s="21"/>
      <c r="H31" s="288"/>
      <c r="I31" s="373" t="s">
        <v>300</v>
      </c>
      <c r="J31" s="373"/>
      <c r="K31" s="373"/>
      <c r="L31" s="287" t="s">
        <v>35</v>
      </c>
      <c r="M31" s="945">
        <f>VLOOKUP("Addition_amounts",calcdata_22,2,FALSE)</f>
        <v>0</v>
      </c>
      <c r="N31" s="219"/>
      <c r="O31" s="219"/>
      <c r="P31" s="219"/>
      <c r="Q31" s="219"/>
      <c r="R31" s="219"/>
      <c r="S31" s="219"/>
      <c r="T31" s="174"/>
      <c r="U31" s="174"/>
    </row>
    <row r="32" spans="1:21" ht="13.5" customHeight="1">
      <c r="A32" s="180"/>
      <c r="B32" s="180"/>
      <c r="C32" s="21" t="s">
        <v>301</v>
      </c>
      <c r="D32" s="86" t="s">
        <v>35</v>
      </c>
      <c r="E32" s="945">
        <f>VLOOKUP("Swap_payment",calcdata_22,2,FALSE)</f>
        <v>108740.40000000002</v>
      </c>
      <c r="F32" s="286"/>
      <c r="G32" s="21"/>
      <c r="H32" s="288"/>
      <c r="I32" s="373" t="s">
        <v>391</v>
      </c>
      <c r="J32" s="373"/>
      <c r="K32" s="373"/>
      <c r="L32" s="394" t="s">
        <v>15</v>
      </c>
      <c r="M32" s="945">
        <f>VLOOKUP("Net_note_available_Principal_Proceeds",calcdata_22,2,FALSE)</f>
        <v>15229469.939999722</v>
      </c>
      <c r="N32" s="219"/>
      <c r="O32" s="219"/>
      <c r="P32" s="219"/>
      <c r="Q32" s="219"/>
      <c r="R32" s="219"/>
      <c r="S32" s="219"/>
      <c r="T32" s="174"/>
      <c r="U32" s="174"/>
    </row>
    <row r="33" spans="1:21" ht="13.5" customHeight="1">
      <c r="A33" s="180"/>
      <c r="B33" s="180"/>
      <c r="C33" s="85" t="s">
        <v>227</v>
      </c>
      <c r="D33" s="86" t="s">
        <v>35</v>
      </c>
      <c r="E33" s="945">
        <f>VLOOKUP("A_interest_amount_notes",calcdata_22,2,FALSE)</f>
        <v>748364.39999999991</v>
      </c>
      <c r="F33" s="286"/>
      <c r="G33" s="21"/>
      <c r="H33" s="288"/>
      <c r="I33" s="373" t="s">
        <v>228</v>
      </c>
      <c r="J33" s="373"/>
      <c r="K33" s="373"/>
      <c r="L33" s="287" t="s">
        <v>35</v>
      </c>
      <c r="M33" s="945">
        <f>VLOOKUP("Replenishment",calcdata_22,2,FALSE)</f>
        <v>0</v>
      </c>
      <c r="N33" s="219"/>
      <c r="O33" s="219"/>
      <c r="P33" s="219"/>
      <c r="Q33" s="219"/>
      <c r="R33" s="219"/>
      <c r="S33" s="219"/>
      <c r="T33" s="174"/>
      <c r="U33" s="174"/>
    </row>
    <row r="34" spans="1:21" ht="13.5" customHeight="1">
      <c r="A34" s="180"/>
      <c r="B34" s="180"/>
      <c r="C34" s="85" t="s">
        <v>587</v>
      </c>
      <c r="D34" s="86" t="s">
        <v>35</v>
      </c>
      <c r="E34" s="945">
        <f>VLOOKUP("B_interest_amount_notes",calcdata_22,2,FALSE)</f>
        <v>126614.39999999999</v>
      </c>
      <c r="F34" s="286"/>
      <c r="G34" s="21"/>
      <c r="H34" s="288"/>
      <c r="I34" s="373" t="s">
        <v>136</v>
      </c>
      <c r="J34" s="373"/>
      <c r="K34" s="373"/>
      <c r="L34" s="287" t="s">
        <v>35</v>
      </c>
      <c r="M34" s="945">
        <f>VLOOKUP("Purchase_Shortfall",calcdata_22,2,FALSE)</f>
        <v>0</v>
      </c>
      <c r="N34" s="219"/>
      <c r="O34" s="219"/>
      <c r="P34" s="219"/>
      <c r="Q34" s="219"/>
      <c r="R34" s="219"/>
      <c r="S34" s="219"/>
      <c r="T34" s="174"/>
      <c r="U34" s="174"/>
    </row>
    <row r="35" spans="1:21" ht="13.5" customHeight="1">
      <c r="A35" s="180"/>
      <c r="B35" s="180"/>
      <c r="C35" s="85" t="s">
        <v>302</v>
      </c>
      <c r="D35" s="86" t="s">
        <v>35</v>
      </c>
      <c r="E35" s="945">
        <f>VLOOKUP("C_interest_amount_notes",calcdata_22,2,FALSE)</f>
        <v>192555</v>
      </c>
      <c r="F35" s="286"/>
      <c r="G35" s="21"/>
      <c r="H35" s="288"/>
      <c r="I35" s="373" t="s">
        <v>392</v>
      </c>
      <c r="J35" s="373"/>
      <c r="K35" s="373"/>
      <c r="L35" s="287" t="s">
        <v>35</v>
      </c>
      <c r="M35" s="945">
        <f>VLOOKUP("A_prorata_Principal",calcdata_22,2,FALSE)</f>
        <v>0</v>
      </c>
      <c r="N35" s="219"/>
      <c r="O35" s="219"/>
      <c r="P35" s="219"/>
      <c r="Q35" s="219"/>
      <c r="R35" s="219"/>
      <c r="S35" s="219"/>
      <c r="T35" s="174"/>
      <c r="U35" s="174"/>
    </row>
    <row r="36" spans="1:21" ht="13.5" customHeight="1">
      <c r="A36" s="180"/>
      <c r="B36" s="180"/>
      <c r="C36" s="85" t="s">
        <v>304</v>
      </c>
      <c r="D36" s="86" t="s">
        <v>35</v>
      </c>
      <c r="E36" s="945">
        <f>VLOOKUP("D_interest_amount_notes",calcdata_22,2,FALSE)</f>
        <v>183680</v>
      </c>
      <c r="F36" s="286"/>
      <c r="G36" s="21"/>
      <c r="H36" s="288"/>
      <c r="I36" s="373" t="s">
        <v>393</v>
      </c>
      <c r="J36" s="373"/>
      <c r="K36" s="373"/>
      <c r="L36" s="287" t="s">
        <v>35</v>
      </c>
      <c r="M36" s="945">
        <f>VLOOKUP("B_prorata_Principal",calcdata_22,2,FALSE)</f>
        <v>0</v>
      </c>
      <c r="N36" s="219"/>
      <c r="O36" s="219"/>
      <c r="P36" s="219"/>
      <c r="Q36" s="219"/>
      <c r="R36" s="219"/>
      <c r="S36" s="219"/>
      <c r="T36" s="174"/>
      <c r="U36" s="174"/>
    </row>
    <row r="37" spans="1:21" ht="13.5" customHeight="1">
      <c r="A37" s="180"/>
      <c r="B37" s="180"/>
      <c r="C37" s="85" t="s">
        <v>306</v>
      </c>
      <c r="D37" s="86" t="s">
        <v>35</v>
      </c>
      <c r="E37" s="945">
        <f>VLOOKUP("E_interest_amount_notes",calcdata_22,2,FALSE)</f>
        <v>329572.2</v>
      </c>
      <c r="F37" s="286"/>
      <c r="G37" s="21"/>
      <c r="H37" s="288"/>
      <c r="I37" s="373" t="s">
        <v>394</v>
      </c>
      <c r="J37" s="373"/>
      <c r="K37" s="373"/>
      <c r="L37" s="287" t="s">
        <v>35</v>
      </c>
      <c r="M37" s="945">
        <f>VLOOKUP("C_prorata_Principal",calcdata_22,2,FALSE)</f>
        <v>0</v>
      </c>
      <c r="N37" s="219"/>
      <c r="O37" s="219"/>
      <c r="P37" s="219"/>
      <c r="Q37" s="219"/>
      <c r="R37" s="219"/>
      <c r="S37" s="219"/>
      <c r="T37" s="174"/>
      <c r="U37" s="174"/>
    </row>
    <row r="38" spans="1:21" ht="13.5" customHeight="1">
      <c r="A38" s="180"/>
      <c r="B38" s="180"/>
      <c r="C38" s="85" t="s">
        <v>308</v>
      </c>
      <c r="D38" s="86" t="s">
        <v>35</v>
      </c>
      <c r="E38" s="945">
        <f>VLOOKUP("F_interest_amount_notes",calcdata_22,2,FALSE)</f>
        <v>249696.2</v>
      </c>
      <c r="F38" s="286"/>
      <c r="G38" s="21"/>
      <c r="H38" s="288"/>
      <c r="I38" s="373" t="s">
        <v>395</v>
      </c>
      <c r="J38" s="373"/>
      <c r="K38" s="373"/>
      <c r="L38" s="287" t="s">
        <v>35</v>
      </c>
      <c r="M38" s="945">
        <f>VLOOKUP("D_prorata_Principal",calcdata_22,2,FALSE)</f>
        <v>0</v>
      </c>
      <c r="N38" s="219"/>
      <c r="O38" s="219"/>
      <c r="P38" s="219"/>
      <c r="Q38" s="219"/>
      <c r="R38" s="219"/>
      <c r="S38" s="219"/>
      <c r="T38" s="174"/>
      <c r="U38" s="174"/>
    </row>
    <row r="39" spans="1:21" ht="13.5" customHeight="1">
      <c r="A39" s="180"/>
      <c r="B39" s="180"/>
      <c r="C39" s="85" t="s">
        <v>612</v>
      </c>
      <c r="D39" s="86" t="s">
        <v>35</v>
      </c>
      <c r="E39" s="945">
        <f>VLOOKUP("Liquidity_Reserve_Account_part1",calcdata_22,2,FALSE)</f>
        <v>12636000</v>
      </c>
      <c r="F39" s="286"/>
      <c r="G39" s="21"/>
      <c r="H39" s="288"/>
      <c r="I39" s="373" t="s">
        <v>396</v>
      </c>
      <c r="J39" s="373"/>
      <c r="K39" s="373"/>
      <c r="L39" s="287" t="s">
        <v>35</v>
      </c>
      <c r="M39" s="945">
        <f>VLOOKUP("E_prorata_Principal",calcdata_22,2,FALSE)</f>
        <v>0</v>
      </c>
      <c r="N39" s="219"/>
      <c r="O39" s="219"/>
      <c r="P39" s="219"/>
      <c r="Q39" s="219"/>
      <c r="R39" s="219"/>
      <c r="S39" s="219"/>
      <c r="T39" s="174"/>
      <c r="U39" s="174"/>
    </row>
    <row r="40" spans="1:21" ht="13.5" customHeight="1">
      <c r="A40" s="180"/>
      <c r="B40" s="180"/>
      <c r="C40" s="85" t="s">
        <v>311</v>
      </c>
      <c r="D40" s="86" t="s">
        <v>35</v>
      </c>
      <c r="E40" s="945">
        <f>VLOOKUP("Elimination_PDL",calcdata_22,2,FALSE)</f>
        <v>501270.80999999866</v>
      </c>
      <c r="F40" s="286"/>
      <c r="G40" s="21"/>
      <c r="H40" s="288"/>
      <c r="I40" s="373" t="s">
        <v>303</v>
      </c>
      <c r="J40" s="373"/>
      <c r="K40" s="373"/>
      <c r="L40" s="287" t="s">
        <v>35</v>
      </c>
      <c r="M40" s="945">
        <f>VLOOKUP("A_sequential_Principal",calcdata_22,2,FALSE)</f>
        <v>15229468.800000001</v>
      </c>
      <c r="N40" s="219"/>
      <c r="O40" s="219"/>
      <c r="P40" s="219"/>
      <c r="Q40" s="219"/>
      <c r="R40" s="219"/>
      <c r="S40" s="219"/>
      <c r="T40" s="174"/>
      <c r="U40" s="174"/>
    </row>
    <row r="41" spans="1:21" ht="13.5" customHeight="1">
      <c r="A41" s="180"/>
      <c r="B41" s="180"/>
      <c r="C41" s="85" t="s">
        <v>571</v>
      </c>
      <c r="D41" s="86" t="s">
        <v>35</v>
      </c>
      <c r="E41" s="945">
        <f>VLOOKUP("Liquidity_Reserve_Account_part2",calcdata_22,2,FALSE)</f>
        <v>0</v>
      </c>
      <c r="F41" s="286"/>
      <c r="G41" s="21"/>
      <c r="H41" s="288"/>
      <c r="I41" s="373" t="s">
        <v>414</v>
      </c>
      <c r="J41" s="373"/>
      <c r="K41" s="373"/>
      <c r="L41" s="287" t="s">
        <v>35</v>
      </c>
      <c r="M41" s="945">
        <f>VLOOKUP("B_to_G_Full_Redemption",calcdata_22,2,FALSE)</f>
        <v>0</v>
      </c>
      <c r="N41" s="219"/>
      <c r="O41" s="219"/>
      <c r="P41" s="219"/>
      <c r="Q41" s="219"/>
      <c r="R41" s="219"/>
      <c r="S41" s="219"/>
      <c r="T41" s="174"/>
      <c r="U41" s="174"/>
    </row>
    <row r="42" spans="1:21" ht="13.5" customHeight="1">
      <c r="A42" s="180"/>
      <c r="B42" s="180"/>
      <c r="C42" s="85" t="s">
        <v>312</v>
      </c>
      <c r="D42" s="86" t="s">
        <v>35</v>
      </c>
      <c r="E42" s="945">
        <f>VLOOKUP("B_Interests_notes",calcdata_22,2,FALSE)</f>
        <v>0</v>
      </c>
      <c r="F42" s="286"/>
      <c r="G42" s="21"/>
      <c r="H42" s="288"/>
      <c r="I42" s="373" t="s">
        <v>305</v>
      </c>
      <c r="J42" s="373"/>
      <c r="K42" s="373"/>
      <c r="L42" s="287" t="s">
        <v>35</v>
      </c>
      <c r="M42" s="945">
        <f>VLOOKUP("B_Redemption_triggerbreach",calcdata_22,2,FALSE)</f>
        <v>0</v>
      </c>
      <c r="N42" s="224"/>
      <c r="O42" s="224"/>
      <c r="P42" s="224"/>
      <c r="Q42" s="224"/>
      <c r="R42" s="224"/>
      <c r="S42" s="224"/>
      <c r="T42" s="174"/>
      <c r="U42" s="174"/>
    </row>
    <row r="43" spans="1:21" ht="13.5" customHeight="1">
      <c r="A43" s="180"/>
      <c r="B43" s="180"/>
      <c r="C43" s="85" t="s">
        <v>313</v>
      </c>
      <c r="D43" s="86" t="s">
        <v>35</v>
      </c>
      <c r="E43" s="945">
        <f>VLOOKUP("C_Interests_notes",calcdata_22,2,FALSE)</f>
        <v>0</v>
      </c>
      <c r="F43" s="286"/>
      <c r="G43" s="21"/>
      <c r="H43" s="288"/>
      <c r="I43" s="373" t="s">
        <v>307</v>
      </c>
      <c r="J43" s="373"/>
      <c r="K43" s="373"/>
      <c r="L43" s="287" t="s">
        <v>35</v>
      </c>
      <c r="M43" s="945">
        <f>VLOOKUP("C_Redemption_triggerbreach",calcdata_22,2,FALSE)</f>
        <v>0</v>
      </c>
      <c r="N43" s="224"/>
      <c r="O43" s="224"/>
      <c r="P43" s="224"/>
      <c r="Q43" s="224"/>
      <c r="R43" s="224"/>
      <c r="S43" s="224"/>
      <c r="T43" s="174"/>
      <c r="U43" s="174"/>
    </row>
    <row r="44" spans="1:21" ht="13.5" customHeight="1">
      <c r="A44" s="180"/>
      <c r="B44" s="180"/>
      <c r="C44" s="85" t="s">
        <v>314</v>
      </c>
      <c r="D44" s="86" t="s">
        <v>35</v>
      </c>
      <c r="E44" s="945">
        <f>VLOOKUP("D_Interests_notes",calcdata_22,2,FALSE)</f>
        <v>0</v>
      </c>
      <c r="F44" s="286"/>
      <c r="G44" s="21"/>
      <c r="H44" s="288"/>
      <c r="I44" s="373" t="s">
        <v>309</v>
      </c>
      <c r="J44" s="373"/>
      <c r="K44" s="373"/>
      <c r="L44" s="287" t="s">
        <v>35</v>
      </c>
      <c r="M44" s="945">
        <f>VLOOKUP("D_Redemption_triggerbreach",calcdata_22,2,FALSE)</f>
        <v>0</v>
      </c>
      <c r="N44" s="224"/>
      <c r="O44" s="224"/>
      <c r="P44" s="224"/>
      <c r="Q44" s="224"/>
      <c r="R44" s="224"/>
      <c r="S44" s="224"/>
      <c r="T44" s="174"/>
      <c r="U44" s="174"/>
    </row>
    <row r="45" spans="1:21" ht="13.5" customHeight="1">
      <c r="A45" s="180"/>
      <c r="B45" s="180"/>
      <c r="C45" s="85" t="s">
        <v>315</v>
      </c>
      <c r="D45" s="86" t="s">
        <v>35</v>
      </c>
      <c r="E45" s="945">
        <f>VLOOKUP("E_Interests_notes",calcdata_22,2,FALSE)</f>
        <v>0</v>
      </c>
      <c r="F45" s="286"/>
      <c r="G45" s="21"/>
      <c r="H45" s="288"/>
      <c r="I45" s="373" t="s">
        <v>310</v>
      </c>
      <c r="J45" s="373"/>
      <c r="K45" s="373"/>
      <c r="L45" s="287" t="s">
        <v>35</v>
      </c>
      <c r="M45" s="945">
        <f>VLOOKUP("E_Redemption_triggerbreach",calcdata_22,2,FALSE)</f>
        <v>0</v>
      </c>
      <c r="N45" s="224"/>
      <c r="O45" s="224"/>
      <c r="P45" s="224"/>
      <c r="Q45" s="224"/>
      <c r="R45" s="224"/>
      <c r="S45" s="224"/>
      <c r="T45" s="174"/>
      <c r="U45" s="174"/>
    </row>
    <row r="46" spans="1:21" ht="13.5" customHeight="1">
      <c r="A46" s="180"/>
      <c r="B46" s="180"/>
      <c r="C46" s="85" t="s">
        <v>316</v>
      </c>
      <c r="D46" s="86" t="s">
        <v>35</v>
      </c>
      <c r="E46" s="945">
        <f>VLOOKUP("F_Interests_notes",calcdata_22,2,FALSE)</f>
        <v>0</v>
      </c>
      <c r="F46" s="286"/>
      <c r="G46" s="21"/>
      <c r="H46" s="288"/>
      <c r="I46" s="373" t="s">
        <v>452</v>
      </c>
      <c r="J46" s="373"/>
      <c r="K46" s="373"/>
      <c r="L46" s="287" t="s">
        <v>35</v>
      </c>
      <c r="M46" s="945">
        <f>VLOOKUP("F_prorata_Principal",calcdata_22,2,FALSE)</f>
        <v>0</v>
      </c>
      <c r="N46" s="224"/>
      <c r="O46" s="224"/>
      <c r="P46" s="224"/>
      <c r="Q46" s="224"/>
      <c r="R46" s="224"/>
      <c r="S46" s="224"/>
      <c r="T46" s="174"/>
      <c r="U46" s="174"/>
    </row>
    <row r="47" spans="1:21" ht="13.5" customHeight="1">
      <c r="A47" s="180"/>
      <c r="B47" s="180"/>
      <c r="C47" s="85" t="s">
        <v>588</v>
      </c>
      <c r="D47" s="86" t="s">
        <v>35</v>
      </c>
      <c r="E47" s="945">
        <f>VLOOKUP("F_Principal_Redemption_amount",calcdata_22,2,FALSE)</f>
        <v>0</v>
      </c>
      <c r="F47" s="286"/>
      <c r="G47" s="21"/>
      <c r="H47" s="288"/>
      <c r="I47" s="373" t="s">
        <v>415</v>
      </c>
      <c r="J47" s="373"/>
      <c r="K47" s="373"/>
      <c r="L47" s="287" t="s">
        <v>35</v>
      </c>
      <c r="M47" s="945">
        <f>VLOOKUP("Mezzanine_loan_principal",calcdata_22,2,FALSE)</f>
        <v>0</v>
      </c>
      <c r="N47" s="224"/>
      <c r="O47" s="224"/>
      <c r="P47" s="224"/>
      <c r="Q47" s="224"/>
      <c r="R47" s="224"/>
      <c r="S47" s="224"/>
      <c r="T47" s="174"/>
      <c r="U47" s="174"/>
    </row>
    <row r="48" spans="1:21" ht="13.5" customHeight="1" thickBot="1">
      <c r="A48" s="180"/>
      <c r="B48" s="180"/>
      <c r="C48" s="85" t="s">
        <v>626</v>
      </c>
      <c r="D48" s="86" t="s">
        <v>35</v>
      </c>
      <c r="E48" s="945">
        <f>VLOOKUP("Mezzanine_loan_interests",calcdata_22,2,FALSE)</f>
        <v>0</v>
      </c>
      <c r="F48" s="286"/>
      <c r="G48" s="21"/>
      <c r="H48" s="288"/>
      <c r="I48" s="373" t="s">
        <v>289</v>
      </c>
      <c r="J48" s="373"/>
      <c r="K48" s="373"/>
      <c r="L48" s="287" t="s">
        <v>35</v>
      </c>
      <c r="M48" s="943">
        <f>VLOOKUP("G_prorata_Principal",calcdata_22,2,FALSE)</f>
        <v>0</v>
      </c>
      <c r="N48" s="224"/>
      <c r="O48" s="224"/>
      <c r="P48" s="224"/>
      <c r="Q48" s="224"/>
      <c r="R48" s="224"/>
      <c r="S48" s="224"/>
      <c r="T48" s="174"/>
      <c r="U48" s="174"/>
    </row>
    <row r="49" spans="1:21" ht="13.5" customHeight="1" thickTop="1">
      <c r="A49" s="180"/>
      <c r="B49" s="180"/>
      <c r="C49" s="85" t="s">
        <v>317</v>
      </c>
      <c r="D49" s="86" t="s">
        <v>35</v>
      </c>
      <c r="E49" s="945">
        <f>VLOOKUP("G_Interests_notes",calcdata_22,2,FALSE)</f>
        <v>0</v>
      </c>
      <c r="F49" s="286"/>
      <c r="G49" s="21"/>
      <c r="H49" s="288"/>
      <c r="I49" s="373" t="s">
        <v>617</v>
      </c>
      <c r="J49" s="373"/>
      <c r="K49" s="373"/>
      <c r="L49" s="287" t="s">
        <v>15</v>
      </c>
      <c r="M49" s="944">
        <f>VLOOKUP("Transaction_Account_remaining_amount",calcdata_22,2,FALSE)</f>
        <v>0</v>
      </c>
      <c r="N49" s="224"/>
      <c r="O49" s="224"/>
      <c r="P49" s="224"/>
      <c r="Q49" s="224"/>
      <c r="R49" s="224"/>
      <c r="S49" s="224"/>
      <c r="T49" s="174"/>
      <c r="U49" s="174"/>
    </row>
    <row r="50" spans="1:21" ht="13.5" customHeight="1">
      <c r="A50" s="180"/>
      <c r="B50" s="180"/>
      <c r="C50" s="85" t="s">
        <v>613</v>
      </c>
      <c r="D50" s="86" t="s">
        <v>35</v>
      </c>
      <c r="E50" s="945">
        <f>VLOOKUP("Termination_payment",calcdata_22,2,FALSE)</f>
        <v>0</v>
      </c>
      <c r="F50" s="286"/>
      <c r="G50" s="21"/>
      <c r="H50" s="288"/>
      <c r="I50" s="373"/>
      <c r="J50" s="373"/>
      <c r="K50" s="373"/>
      <c r="L50" s="287"/>
      <c r="M50" s="374"/>
      <c r="N50" s="224"/>
      <c r="O50" s="224"/>
      <c r="P50" s="224"/>
      <c r="Q50" s="224"/>
      <c r="R50" s="224"/>
      <c r="S50" s="224"/>
      <c r="T50" s="174"/>
      <c r="U50" s="174"/>
    </row>
    <row r="51" spans="1:21" ht="13.5" customHeight="1">
      <c r="A51" s="180"/>
      <c r="B51" s="180"/>
      <c r="C51" s="85" t="s">
        <v>614</v>
      </c>
      <c r="D51" s="86" t="s">
        <v>35</v>
      </c>
      <c r="E51" s="945">
        <f>VLOOKUP("Liqudity_Reserve_Interests",calcdata_22,2,FALSE)</f>
        <v>0</v>
      </c>
      <c r="F51" s="286"/>
      <c r="G51" s="21"/>
      <c r="H51" s="288"/>
      <c r="N51" s="224"/>
      <c r="O51" s="224"/>
      <c r="P51" s="224"/>
      <c r="Q51" s="224"/>
      <c r="R51" s="224"/>
      <c r="S51" s="224"/>
      <c r="T51" s="174"/>
      <c r="U51" s="174"/>
    </row>
    <row r="52" spans="1:21" ht="13.5" customHeight="1" thickBot="1">
      <c r="A52" s="180"/>
      <c r="B52" s="180"/>
      <c r="C52" s="85" t="s">
        <v>615</v>
      </c>
      <c r="D52" s="86" t="s">
        <v>35</v>
      </c>
      <c r="E52" s="945">
        <f>VLOOKUP("Liqudity_Reserve_Principal",calcdata_22,2,FALSE)</f>
        <v>0</v>
      </c>
      <c r="F52" s="286"/>
      <c r="G52" s="21"/>
      <c r="H52" s="288"/>
      <c r="I52" s="1007"/>
      <c r="J52" s="1007"/>
      <c r="K52" s="1007"/>
      <c r="L52" s="287"/>
      <c r="M52" s="224"/>
      <c r="N52" s="224"/>
      <c r="O52" s="224"/>
      <c r="P52" s="224"/>
      <c r="Q52" s="224"/>
      <c r="R52" s="224"/>
      <c r="S52" s="224"/>
      <c r="T52" s="174"/>
      <c r="U52" s="174"/>
    </row>
    <row r="53" spans="1:21" ht="13.5" customHeight="1" thickTop="1">
      <c r="A53" s="180"/>
      <c r="B53" s="180"/>
      <c r="C53" s="85" t="s">
        <v>616</v>
      </c>
      <c r="D53" s="86" t="s">
        <v>15</v>
      </c>
      <c r="E53" s="944">
        <f>VLOOKUP("Remaining_amount_seller",calcdata_22,2,FALSE)</f>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229</v>
      </c>
      <c r="P59" s="48"/>
      <c r="Q59" s="48" t="s">
        <v>240</v>
      </c>
      <c r="R59" s="48"/>
      <c r="S59" s="48" t="s">
        <v>322</v>
      </c>
      <c r="T59" s="48"/>
      <c r="U59" s="174"/>
    </row>
    <row r="60" spans="1:21" ht="13.5" customHeight="1">
      <c r="A60" s="180"/>
      <c r="B60" s="153"/>
      <c r="C60" s="49" t="s">
        <v>78</v>
      </c>
      <c r="D60" s="950">
        <f>E31</f>
        <v>15.56</v>
      </c>
      <c r="E60" s="951"/>
      <c r="F60" s="951"/>
      <c r="G60" s="951"/>
      <c r="H60" s="952"/>
      <c r="I60" s="951"/>
      <c r="J60" s="952"/>
      <c r="K60" s="951"/>
      <c r="L60" s="952"/>
      <c r="M60" s="951"/>
      <c r="N60" s="951"/>
      <c r="O60" s="951"/>
      <c r="P60" s="951"/>
      <c r="Q60" s="951"/>
      <c r="R60" s="951"/>
      <c r="S60" s="951"/>
      <c r="T60" s="386"/>
      <c r="U60" s="174"/>
    </row>
    <row r="61" spans="1:21" ht="13.5" customHeight="1">
      <c r="A61" s="180"/>
      <c r="B61" s="180"/>
      <c r="C61" s="21" t="s">
        <v>86</v>
      </c>
      <c r="D61" s="950">
        <f>SUM(E61:S61)</f>
        <v>15410183.869999999</v>
      </c>
      <c r="E61" s="950">
        <f>VLOOKUP("A_Interests_accrued",calcdata_22,2,FALSE)</f>
        <v>748364.39999999991</v>
      </c>
      <c r="F61" s="953"/>
      <c r="G61" s="950">
        <f>VLOOKUP("B_Interests_accrued",calcdata_22,2,FALSE)</f>
        <v>126614.39999999999</v>
      </c>
      <c r="H61" s="954"/>
      <c r="I61" s="950">
        <f>VLOOKUP("C_Interests_accrued",calcdata_22,2,FALSE)</f>
        <v>192555</v>
      </c>
      <c r="J61" s="954"/>
      <c r="K61" s="950">
        <f>VLOOKUP("D_Interests_accrued",calcdata_22,2,FALSE)</f>
        <v>183680</v>
      </c>
      <c r="L61" s="954"/>
      <c r="M61" s="950">
        <f>VLOOKUP("E_Interests_accrued",calcdata_22,2,FALSE)</f>
        <v>329572.2</v>
      </c>
      <c r="N61" s="950"/>
      <c r="O61" s="950">
        <f>VLOOKUP("F_Interests_accrued",calcdata_22,2,FALSE)</f>
        <v>249696.2</v>
      </c>
      <c r="P61" s="950"/>
      <c r="Q61" s="950">
        <f>VLOOKUP("G_Interests_accrued",calcdata_22,2,FALSE)</f>
        <v>13231209.6</v>
      </c>
      <c r="R61" s="950"/>
      <c r="S61" s="950">
        <f>VLOOKUP("Reserve_Interests_accrued",calcdata_22,2,FALSE)</f>
        <v>348492.07000000007</v>
      </c>
      <c r="T61" s="387"/>
      <c r="U61" s="174"/>
    </row>
    <row r="62" spans="1:21" ht="13.5" customHeight="1">
      <c r="A62" s="180"/>
      <c r="B62" s="180"/>
      <c r="C62" s="21" t="s">
        <v>87</v>
      </c>
      <c r="D62" s="950">
        <f t="shared" ref="D62:D64" si="0">SUM(E62:S62)</f>
        <v>353076661.41999996</v>
      </c>
      <c r="E62" s="950">
        <f>VLOOKUP("A_Interests_accrued_cum",calcdata_22,2,FALSE)</f>
        <v>66445066.799999997</v>
      </c>
      <c r="F62" s="953"/>
      <c r="G62" s="950">
        <f>VLOOKUP("B_Interests_accrued_cum",calcdata_22,2,FALSE)</f>
        <v>6299048.8000000007</v>
      </c>
      <c r="H62" s="954"/>
      <c r="I62" s="950">
        <f>VLOOKUP("C_Interests_accrued_cum",calcdata_22,2,FALSE)</f>
        <v>9245566</v>
      </c>
      <c r="J62" s="954"/>
      <c r="K62" s="950">
        <f>VLOOKUP("D_Interests_accrued_cum",calcdata_22,2,FALSE)</f>
        <v>8469912</v>
      </c>
      <c r="L62" s="954"/>
      <c r="M62" s="950">
        <f>VLOOKUP("E_Interests_accrued_cum",calcdata_22,2,FALSE)</f>
        <v>14615085.299999999</v>
      </c>
      <c r="N62" s="950"/>
      <c r="O62" s="950">
        <f>VLOOKUP("F_Interests_accrued_cum",calcdata_22,2,FALSE)</f>
        <v>8990961.1999999974</v>
      </c>
      <c r="P62" s="950"/>
      <c r="Q62" s="950">
        <f>VLOOKUP("G_Interests_accrued_cum",calcdata_22,2,FALSE)</f>
        <v>235249422.79999998</v>
      </c>
      <c r="R62" s="950"/>
      <c r="S62" s="950">
        <f>VLOOKUP("Reserve_Interests_accrued_cum",calcdata_22,2,FALSE)</f>
        <v>3761598.5200000005</v>
      </c>
      <c r="T62" s="387"/>
      <c r="U62" s="174"/>
    </row>
    <row r="63" spans="1:21" ht="13.5" customHeight="1">
      <c r="A63" s="180"/>
      <c r="B63" s="180"/>
      <c r="C63" s="21" t="s">
        <v>88</v>
      </c>
      <c r="D63" s="950">
        <f t="shared" si="0"/>
        <v>1830482.1999999997</v>
      </c>
      <c r="E63" s="950">
        <f>VLOOKUP("A_Interest_Payments",calcdata_22,2,FALSE)</f>
        <v>748364.39999999991</v>
      </c>
      <c r="F63" s="953"/>
      <c r="G63" s="950">
        <f>VLOOKUP("B_Interest_Payments",calcdata_22,2,FALSE)</f>
        <v>126614.39999999999</v>
      </c>
      <c r="H63" s="947"/>
      <c r="I63" s="950">
        <f>VLOOKUP("C_Interest_Payments",calcdata_22,2,FALSE)</f>
        <v>192555</v>
      </c>
      <c r="J63" s="947"/>
      <c r="K63" s="950">
        <f>VLOOKUP("D_Interest_Payments",calcdata_22,2,FALSE)</f>
        <v>183680</v>
      </c>
      <c r="L63" s="947"/>
      <c r="M63" s="950">
        <f>VLOOKUP("E_Interest_Payments",calcdata_22,2,FALSE)</f>
        <v>329572.2</v>
      </c>
      <c r="N63" s="950"/>
      <c r="O63" s="950">
        <f>VLOOKUP("F_Interest_Payments",calcdata_22,2,FALSE)</f>
        <v>249696.2</v>
      </c>
      <c r="P63" s="950"/>
      <c r="Q63" s="950">
        <f>VLOOKUP("G_Interest_Payments",calcdata_22,2,FALSE)</f>
        <v>0</v>
      </c>
      <c r="R63" s="950"/>
      <c r="S63" s="950">
        <f>VLOOKUP("Reserve_Interest_Payments",calcdata_22,2,FALSE)</f>
        <v>0</v>
      </c>
      <c r="T63" s="388"/>
      <c r="U63" s="174"/>
    </row>
    <row r="64" spans="1:21" ht="13.5" customHeight="1">
      <c r="A64" s="180"/>
      <c r="B64" s="180"/>
      <c r="C64" s="21" t="s">
        <v>89</v>
      </c>
      <c r="D64" s="950">
        <f t="shared" si="0"/>
        <v>114065640.09999999</v>
      </c>
      <c r="E64" s="950">
        <f>VLOOKUP("A_Interest_Payments_cum",calcdata_22,2,FALSE)</f>
        <v>66445066.799999997</v>
      </c>
      <c r="F64" s="953"/>
      <c r="G64" s="950">
        <f>VLOOKUP("B_Interest_Payments_cum",calcdata_22,2,FALSE)</f>
        <v>6299048.8000000007</v>
      </c>
      <c r="H64" s="947"/>
      <c r="I64" s="950">
        <f>VLOOKUP("C_Interest_Payments_cum",calcdata_22,2,FALSE)</f>
        <v>9245566</v>
      </c>
      <c r="J64" s="947"/>
      <c r="K64" s="950">
        <f>VLOOKUP("D_Interest_Payments_cum",calcdata_22,2,FALSE)</f>
        <v>8469912</v>
      </c>
      <c r="L64" s="947"/>
      <c r="M64" s="950">
        <f>VLOOKUP("E_Interest_Payments_cum",calcdata_22,2,FALSE)</f>
        <v>14615085.299999999</v>
      </c>
      <c r="N64" s="950"/>
      <c r="O64" s="950">
        <f>VLOOKUP("F_Interest_Payments_cum",calcdata_22,2,FALSE)</f>
        <v>8990961.1999999974</v>
      </c>
      <c r="P64" s="950"/>
      <c r="Q64" s="950">
        <f>VLOOKUP("G_Interest_Payments_cum",calcdata_22,2,FALSE)</f>
        <v>0</v>
      </c>
      <c r="R64" s="950"/>
      <c r="S64" s="950">
        <f>VLOOKUP("Reserve_Interest_Payments_cum",calcdata_22,2,FALSE)</f>
        <v>0</v>
      </c>
      <c r="T64" s="388"/>
      <c r="U64" s="174"/>
    </row>
    <row r="65" spans="1:21" ht="13.5" customHeight="1">
      <c r="A65" s="180"/>
      <c r="B65" s="180"/>
      <c r="C65" s="21" t="s">
        <v>90</v>
      </c>
      <c r="D65" s="950">
        <f>SUM(E65:S65)</f>
        <v>13579701.67</v>
      </c>
      <c r="E65" s="950">
        <f>VLOOKUP("A_Interests_unpaid",calcdata_22,2,FALSE)</f>
        <v>0</v>
      </c>
      <c r="F65" s="953"/>
      <c r="G65" s="950">
        <f>VLOOKUP("B_Interests_unpaid",calcdata_22,2,FALSE)</f>
        <v>0</v>
      </c>
      <c r="H65" s="947"/>
      <c r="I65" s="950">
        <f>VLOOKUP("C_Interests_unpaid",calcdata_22,2,FALSE)</f>
        <v>0</v>
      </c>
      <c r="J65" s="947"/>
      <c r="K65" s="950">
        <f>VLOOKUP("D_Interests_unpaid",calcdata_22,2,FALSE)</f>
        <v>0</v>
      </c>
      <c r="L65" s="947"/>
      <c r="M65" s="950">
        <f>VLOOKUP("E_Interests_unpaid",calcdata_22,2,FALSE)</f>
        <v>0</v>
      </c>
      <c r="N65" s="950"/>
      <c r="O65" s="950">
        <f>VLOOKUP("F_Interests_unpaid",calcdata_22,2,FALSE)</f>
        <v>0</v>
      </c>
      <c r="P65" s="950"/>
      <c r="Q65" s="950">
        <f>VLOOKUP("G_Interests_unpaid",calcdata_22,2,FALSE)</f>
        <v>13231209.6</v>
      </c>
      <c r="R65" s="950"/>
      <c r="S65" s="950">
        <f>VLOOKUP("Reserve_Interests_unpaid",calcdata_22,2,FALSE)</f>
        <v>348492.07000000007</v>
      </c>
      <c r="T65" s="388"/>
      <c r="U65" s="174"/>
    </row>
    <row r="66" spans="1:21" ht="13.5" customHeight="1">
      <c r="A66" s="180"/>
      <c r="B66" s="180"/>
      <c r="C66" s="21" t="s">
        <v>91</v>
      </c>
      <c r="D66" s="950">
        <f>SUM(E66:S66)</f>
        <v>239011021.31999999</v>
      </c>
      <c r="E66" s="950">
        <f>VLOOKUP("A_Interests_unpaid_cum",calcdata_22,2,FALSE)</f>
        <v>0</v>
      </c>
      <c r="F66" s="953"/>
      <c r="G66" s="950">
        <f>VLOOKUP("B_Interests_unpaid_cum",calcdata_22,2,FALSE)</f>
        <v>0</v>
      </c>
      <c r="H66" s="947"/>
      <c r="I66" s="950">
        <f>VLOOKUP("C_Interests_unpaid_cum",calcdata_22,2,FALSE)</f>
        <v>0</v>
      </c>
      <c r="J66" s="947"/>
      <c r="K66" s="950">
        <f>VLOOKUP("D_Interests_unpaid_cum",calcdata_22,2,FALSE)</f>
        <v>0</v>
      </c>
      <c r="L66" s="947"/>
      <c r="M66" s="950">
        <f>VLOOKUP("E_Interests_unpaid_cum",calcdata_22,2,FALSE)</f>
        <v>0</v>
      </c>
      <c r="N66" s="950"/>
      <c r="O66" s="950">
        <f>VLOOKUP("F_Interests_unpaid_cum",calcdata_22,2,FALSE)</f>
        <v>0</v>
      </c>
      <c r="P66" s="950"/>
      <c r="Q66" s="950">
        <f>VLOOKUP("G_Interests_unpaid_cum",calcdata_22,2,FALSE)</f>
        <v>235249422.79999998</v>
      </c>
      <c r="R66" s="950"/>
      <c r="S66" s="950">
        <f>VLOOKUP("Reserve_Interests_unpaid_cum",calcdata_22,2,FALSE)</f>
        <v>3761598.5200000005</v>
      </c>
      <c r="T66" s="388"/>
      <c r="U66" s="174"/>
    </row>
    <row r="67" spans="1:21" ht="13.5" customHeight="1">
      <c r="A67" s="180"/>
      <c r="B67" s="195"/>
      <c r="C67" s="50" t="s">
        <v>323</v>
      </c>
      <c r="D67" s="955">
        <f>SUM(E67:S67)</f>
        <v>21667900.400000002</v>
      </c>
      <c r="E67" s="955"/>
      <c r="F67" s="956"/>
      <c r="G67" s="955"/>
      <c r="H67" s="946"/>
      <c r="I67" s="955"/>
      <c r="J67" s="946"/>
      <c r="K67" s="955"/>
      <c r="L67" s="946"/>
      <c r="M67" s="955"/>
      <c r="N67" s="955"/>
      <c r="O67" s="955"/>
      <c r="P67" s="955"/>
      <c r="Q67" s="955"/>
      <c r="R67" s="955"/>
      <c r="S67" s="955">
        <f>VLOOKUP("Reserve_outstanding",calcdata_22,2,FALSE)</f>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45911</v>
      </c>
      <c r="G2" s="107"/>
      <c r="H2" s="107"/>
      <c r="I2" s="107"/>
      <c r="J2" s="109"/>
      <c r="K2" s="359"/>
    </row>
    <row r="3" spans="1:13" s="102" customFormat="1" ht="18">
      <c r="A3" s="103"/>
      <c r="B3" s="104" t="str">
        <f>'Cover Sheet'!B3</f>
        <v>Monthly Investor Report</v>
      </c>
      <c r="C3" s="104"/>
      <c r="D3" s="112" t="str">
        <f>'Cover Sheet'!D3</f>
        <v>Payment Date</v>
      </c>
      <c r="E3" s="113"/>
      <c r="F3" s="114">
        <f>'Cover Sheet'!F3</f>
        <v>45915</v>
      </c>
      <c r="G3" s="113"/>
      <c r="H3" s="113"/>
      <c r="I3" s="113"/>
      <c r="J3" s="115"/>
      <c r="K3" s="125"/>
    </row>
    <row r="4" spans="1:13" s="102" customFormat="1" ht="13">
      <c r="A4" s="103"/>
      <c r="B4" s="157"/>
      <c r="C4" s="158"/>
      <c r="D4" s="112" t="str">
        <f>'Cover Sheet'!D4</f>
        <v>Period  No</v>
      </c>
      <c r="E4" s="113"/>
      <c r="F4" s="117">
        <f>'Cover Sheet'!F4</f>
        <v>35</v>
      </c>
      <c r="G4" s="113"/>
      <c r="H4" s="118"/>
      <c r="I4" s="113"/>
      <c r="J4" s="119"/>
      <c r="K4" s="359"/>
    </row>
    <row r="5" spans="1:13" s="102" customFormat="1" ht="18">
      <c r="A5" s="103"/>
      <c r="B5" s="160" t="s">
        <v>379</v>
      </c>
      <c r="C5" s="120"/>
      <c r="D5" s="112" t="str">
        <f>'Cover Sheet'!D5</f>
        <v>Monthly Period</v>
      </c>
      <c r="E5" s="113"/>
      <c r="F5" s="121">
        <f>'Cover Sheet'!F5</f>
        <v>45915</v>
      </c>
      <c r="G5" s="113"/>
      <c r="H5" s="118"/>
      <c r="I5" s="113"/>
      <c r="J5" s="119"/>
      <c r="K5" s="12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s="102" customFormat="1" ht="13">
      <c r="A7" s="103"/>
      <c r="B7" s="105"/>
      <c r="C7" s="105"/>
      <c r="D7" s="127" t="str">
        <f>'Cover Sheet'!D7</f>
        <v>Collection Period</v>
      </c>
      <c r="E7" s="128" t="str">
        <f>'Cover Sheet'!E7</f>
        <v>from</v>
      </c>
      <c r="F7" s="129" t="str">
        <f>'Cover Sheet'!F7</f>
        <v>01.08.2025</v>
      </c>
      <c r="G7" s="128" t="str">
        <f>'Cover Sheet'!G7</f>
        <v>to</v>
      </c>
      <c r="H7" s="129">
        <f>'Cover Sheet'!H7</f>
        <v>45900</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1008" t="s">
        <v>263</v>
      </c>
      <c r="C14" s="1008"/>
      <c r="D14" s="1008"/>
      <c r="E14" s="1008"/>
      <c r="F14" s="1008"/>
      <c r="G14" s="1008"/>
      <c r="H14" s="364"/>
      <c r="I14" s="364"/>
      <c r="J14" s="21"/>
      <c r="K14" s="110"/>
      <c r="M14" s="175"/>
    </row>
    <row r="15" spans="1:13" ht="12.75" customHeight="1">
      <c r="A15" s="180"/>
      <c r="B15" s="1008"/>
      <c r="C15" s="1008"/>
      <c r="D15" s="1008"/>
      <c r="E15" s="1008"/>
      <c r="F15" s="1008"/>
      <c r="G15" s="1008"/>
      <c r="H15" s="364"/>
      <c r="I15" s="364"/>
      <c r="J15" s="21"/>
      <c r="K15" s="174"/>
      <c r="M15" s="175"/>
    </row>
    <row r="16" spans="1:13" ht="12.75" customHeight="1">
      <c r="A16" s="180"/>
      <c r="B16" s="1008"/>
      <c r="C16" s="1008"/>
      <c r="D16" s="1008"/>
      <c r="E16" s="1008"/>
      <c r="F16" s="1008"/>
      <c r="G16" s="1008"/>
      <c r="H16" s="364"/>
      <c r="I16" s="364"/>
      <c r="J16" s="21"/>
      <c r="K16" s="174"/>
      <c r="M16" s="175"/>
    </row>
    <row r="17" spans="1:13" ht="24" customHeight="1">
      <c r="A17" s="180"/>
      <c r="B17" s="1008"/>
      <c r="C17" s="1008"/>
      <c r="D17" s="1008"/>
      <c r="E17" s="1008"/>
      <c r="F17" s="1008"/>
      <c r="G17" s="1008"/>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324</v>
      </c>
      <c r="C19" s="89"/>
      <c r="D19" s="964">
        <f>VLOOKUP("Retention_amt",Assets,3,0)</f>
        <v>23297865.30999995</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tr">
        <f>'Cover Sheet'!B2</f>
        <v>SC Germany Consumer 2022-1</v>
      </c>
      <c r="C2" s="240"/>
      <c r="D2" s="1012" t="str">
        <f>'Cover Sheet'!D2</f>
        <v>Calculation Date</v>
      </c>
      <c r="E2" s="1013"/>
      <c r="F2" s="242"/>
      <c r="G2" s="108">
        <f>'Cover Sheet'!F2</f>
        <v>45911</v>
      </c>
      <c r="H2" s="353"/>
      <c r="I2" s="242"/>
      <c r="J2" s="242"/>
      <c r="K2" s="244"/>
      <c r="M2" s="246"/>
    </row>
    <row r="3" spans="1:13" s="247" customFormat="1" ht="18">
      <c r="A3" s="239"/>
      <c r="B3" s="240" t="str">
        <f>'Cover Sheet'!B3</f>
        <v>Monthly Investor Report</v>
      </c>
      <c r="C3" s="240"/>
      <c r="D3" s="1014" t="str">
        <f>'Cover Sheet'!D3</f>
        <v>Payment Date</v>
      </c>
      <c r="E3" s="1015"/>
      <c r="F3" s="250"/>
      <c r="G3" s="114">
        <f>'Cover Sheet'!F3</f>
        <v>45915</v>
      </c>
      <c r="H3" s="354"/>
      <c r="I3" s="249"/>
      <c r="J3" s="249"/>
      <c r="K3" s="251"/>
      <c r="M3" s="246"/>
    </row>
    <row r="4" spans="1:13" s="247" customFormat="1">
      <c r="A4" s="239"/>
      <c r="B4" s="253"/>
      <c r="C4" s="328"/>
      <c r="D4" s="1014" t="str">
        <f>'Cover Sheet'!D4</f>
        <v>Period  No</v>
      </c>
      <c r="E4" s="1015"/>
      <c r="F4" s="254"/>
      <c r="G4" s="117">
        <f>'Cover Sheet'!F4</f>
        <v>35</v>
      </c>
      <c r="H4" s="355"/>
      <c r="I4" s="255"/>
      <c r="J4" s="249"/>
      <c r="K4" s="256"/>
      <c r="M4" s="246"/>
    </row>
    <row r="5" spans="1:13" s="247" customFormat="1" ht="18">
      <c r="A5" s="239"/>
      <c r="B5" s="257" t="s">
        <v>378</v>
      </c>
      <c r="C5" s="329"/>
      <c r="D5" s="1014" t="str">
        <f>'Cover Sheet'!D5</f>
        <v>Monthly Period</v>
      </c>
      <c r="E5" s="1015"/>
      <c r="F5" s="356"/>
      <c r="G5" s="121">
        <f>'Cover Sheet'!F5</f>
        <v>45915</v>
      </c>
      <c r="H5" s="249"/>
      <c r="I5" s="255"/>
      <c r="J5" s="249"/>
      <c r="K5" s="256"/>
      <c r="M5" s="246"/>
    </row>
    <row r="6" spans="1:13" s="247" customFormat="1" ht="15" customHeight="1">
      <c r="A6" s="239"/>
      <c r="B6" s="258"/>
      <c r="C6" s="330"/>
      <c r="D6" s="1016" t="str">
        <f>'Cover Sheet'!D6</f>
        <v>Interest Period</v>
      </c>
      <c r="E6" s="1015"/>
      <c r="F6" s="250" t="s">
        <v>34</v>
      </c>
      <c r="G6" s="114">
        <f>'Cover Sheet'!F6</f>
        <v>45883</v>
      </c>
      <c r="H6" s="250" t="s">
        <v>4</v>
      </c>
      <c r="I6" s="250">
        <f>'Cover Sheet'!H6</f>
        <v>45915</v>
      </c>
      <c r="J6" s="250" t="s">
        <v>15</v>
      </c>
      <c r="K6" s="261" t="str">
        <f>'Cover Sheet'!J6</f>
        <v>32 days</v>
      </c>
      <c r="M6" s="262"/>
    </row>
    <row r="7" spans="1:13" s="247" customFormat="1" ht="13">
      <c r="A7" s="239"/>
      <c r="B7" s="33"/>
      <c r="C7" s="33"/>
      <c r="D7" s="1017" t="str">
        <f>'Cover Sheet'!D7</f>
        <v>Collection Period</v>
      </c>
      <c r="E7" s="1018"/>
      <c r="F7" s="264" t="s">
        <v>34</v>
      </c>
      <c r="G7" s="129" t="str">
        <f>'Cover Sheet'!F7</f>
        <v>01.08.2025</v>
      </c>
      <c r="H7" s="264" t="s">
        <v>4</v>
      </c>
      <c r="I7" s="264">
        <f>'Cover Sheet'!H7</f>
        <v>45900</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418</v>
      </c>
      <c r="E11" s="32" t="s">
        <v>419</v>
      </c>
      <c r="F11" s="32" t="s">
        <v>421</v>
      </c>
      <c r="G11" s="32" t="s">
        <v>267</v>
      </c>
      <c r="H11" s="32" t="s">
        <v>420</v>
      </c>
      <c r="I11" s="32" t="s">
        <v>243</v>
      </c>
      <c r="J11" s="28"/>
      <c r="K11" s="28"/>
      <c r="L11" s="28"/>
      <c r="M11" s="273"/>
    </row>
    <row r="12" spans="1:13" s="247" customFormat="1" ht="15" customHeight="1">
      <c r="A12" s="239"/>
      <c r="B12" s="33"/>
      <c r="C12" s="25"/>
      <c r="D12" s="1009" t="s">
        <v>241</v>
      </c>
      <c r="E12" s="1010"/>
      <c r="F12" s="1011"/>
      <c r="G12" s="1009" t="s">
        <v>242</v>
      </c>
      <c r="H12" s="1010"/>
      <c r="I12" s="1011"/>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418</v>
      </c>
      <c r="E14" s="34" t="s">
        <v>419</v>
      </c>
      <c r="F14" s="35" t="s">
        <v>421</v>
      </c>
      <c r="G14" s="34" t="s">
        <v>267</v>
      </c>
      <c r="H14" s="34" t="s">
        <v>420</v>
      </c>
      <c r="I14" s="34" t="s">
        <v>243</v>
      </c>
      <c r="J14" s="25"/>
      <c r="K14" s="5"/>
      <c r="L14" s="270"/>
      <c r="M14" s="314"/>
    </row>
    <row r="15" spans="1:13" ht="12.75" customHeight="1">
      <c r="A15" s="285"/>
      <c r="B15" s="36" t="s">
        <v>441</v>
      </c>
      <c r="C15" s="67" t="s">
        <v>103</v>
      </c>
      <c r="D15" s="5" t="str">
        <f>VLOOKUP(C15,ratings,7,FALSE)</f>
        <v>A+</v>
      </c>
      <c r="E15" s="5" t="str">
        <f>VLOOKUP(C15,ratings,10,FALSE)</f>
        <v>F1</v>
      </c>
      <c r="F15" s="6" t="str">
        <f>VLOOKUP(C15,ratings,11,FALSE)</f>
        <v>STABLE</v>
      </c>
      <c r="G15" s="5" t="str">
        <f>VLOOKUP(C15,ratings,3,FALSE)</f>
        <v>A2</v>
      </c>
      <c r="H15" s="6" t="str">
        <f>VLOOKUP(C15,ratings,5,FALSE)</f>
        <v>P-1</v>
      </c>
      <c r="I15" s="5" t="str">
        <f>VLOOKUP(C15,ratings,6,FALSE)</f>
        <v>POS</v>
      </c>
      <c r="J15" s="25"/>
      <c r="K15" s="5" t="s">
        <v>200</v>
      </c>
      <c r="L15" s="270"/>
      <c r="M15" s="314"/>
    </row>
    <row r="16" spans="1:13" ht="12.75" customHeight="1">
      <c r="A16" s="285"/>
      <c r="B16" s="7"/>
      <c r="C16" s="68" t="s">
        <v>459</v>
      </c>
      <c r="D16" s="38"/>
      <c r="E16" s="38"/>
      <c r="F16" s="25"/>
      <c r="G16" s="38"/>
      <c r="H16" s="25"/>
      <c r="I16" s="38"/>
      <c r="J16" s="25"/>
      <c r="K16" s="5"/>
      <c r="L16" s="270"/>
      <c r="M16" s="314"/>
    </row>
    <row r="17" spans="1:13" ht="12.75" customHeight="1">
      <c r="A17" s="285"/>
      <c r="B17" s="8"/>
      <c r="C17" s="68" t="s">
        <v>460</v>
      </c>
      <c r="D17" s="5"/>
      <c r="E17" s="5"/>
      <c r="F17" s="6"/>
      <c r="G17" s="5"/>
      <c r="H17" s="6"/>
      <c r="I17" s="5"/>
      <c r="J17" s="25"/>
      <c r="K17" s="5"/>
      <c r="L17" s="270"/>
      <c r="M17" s="314"/>
    </row>
    <row r="18" spans="1:13" ht="12.75" customHeight="1">
      <c r="A18" s="285"/>
      <c r="B18" s="8"/>
      <c r="C18" s="68" t="s">
        <v>261</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256</v>
      </c>
      <c r="D20" s="5" t="str">
        <f>VLOOKUP(C20,ratings,8,FALSE)</f>
        <v>A-</v>
      </c>
      <c r="E20" s="5" t="str">
        <f>VLOOKUP(C20,ratings,10,FALSE)</f>
        <v>F1</v>
      </c>
      <c r="F20" s="6" t="str">
        <f>VLOOKUP(C20,ratings,11,FALSE)</f>
        <v>STABLE</v>
      </c>
      <c r="G20" s="5" t="str">
        <f>VLOOKUP(C20,ratings,3,FALSE)</f>
        <v>A1</v>
      </c>
      <c r="H20" s="6" t="str">
        <f>VLOOKUP(C20,ratings,5,FALSE)</f>
        <v>P-1</v>
      </c>
      <c r="I20" s="5" t="str">
        <f>VLOOKUP(C20,ratings,6,FALSE)</f>
        <v>STABLE</v>
      </c>
      <c r="J20" s="25"/>
      <c r="K20" s="5" t="s">
        <v>200</v>
      </c>
      <c r="L20" s="270"/>
      <c r="M20" s="314"/>
    </row>
    <row r="21" spans="1:13" ht="12.75" customHeight="1">
      <c r="A21" s="285"/>
      <c r="B21" s="8"/>
      <c r="C21" s="68" t="s">
        <v>456</v>
      </c>
      <c r="D21" s="38"/>
      <c r="E21" s="38"/>
      <c r="F21" s="25"/>
      <c r="G21" s="38"/>
      <c r="H21" s="25"/>
      <c r="I21" s="38"/>
      <c r="J21" s="25"/>
      <c r="K21" s="5"/>
      <c r="L21" s="270"/>
      <c r="M21" s="314"/>
    </row>
    <row r="22" spans="1:13" ht="12.75" customHeight="1">
      <c r="A22" s="285"/>
      <c r="B22" s="8"/>
      <c r="C22" s="68" t="s">
        <v>457</v>
      </c>
      <c r="D22" s="38"/>
      <c r="E22" s="38"/>
      <c r="F22" s="25"/>
      <c r="G22" s="38"/>
      <c r="H22" s="25"/>
      <c r="I22" s="38"/>
      <c r="J22" s="25"/>
      <c r="K22" s="5"/>
      <c r="L22" s="270"/>
      <c r="M22" s="314"/>
    </row>
    <row r="23" spans="1:13" ht="12.75" customHeight="1">
      <c r="A23" s="285"/>
      <c r="B23" s="8"/>
      <c r="C23" s="68" t="s">
        <v>458</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594</v>
      </c>
      <c r="D25" s="5" t="str">
        <f>VLOOKUP(C25,ratings,8,FALSE)</f>
        <v>A-</v>
      </c>
      <c r="E25" s="5" t="str">
        <f>VLOOKUP(C25,ratings,10,FALSE)</f>
        <v>F2</v>
      </c>
      <c r="F25" s="6" t="str">
        <f>VLOOKUP(C25,ratings,11,FALSE)</f>
        <v>STABLE</v>
      </c>
      <c r="G25" s="5" t="str">
        <f>VLOOKUP(C25,ratings,3,FALSE)</f>
        <v>A2</v>
      </c>
      <c r="H25" s="6" t="str">
        <f>VLOOKUP(C25,ratings,5,FALSE)</f>
        <v>P-1</v>
      </c>
      <c r="I25" s="5" t="str">
        <f>VLOOKUP(C25,ratings,6,FALSE)</f>
        <v>POS</v>
      </c>
      <c r="J25" s="25"/>
      <c r="K25" s="5" t="s">
        <v>200</v>
      </c>
      <c r="L25" s="270"/>
      <c r="M25" s="314"/>
    </row>
    <row r="26" spans="1:13" ht="12.75" customHeight="1">
      <c r="A26" s="285"/>
      <c r="B26" s="8"/>
      <c r="C26" s="68" t="s">
        <v>595</v>
      </c>
      <c r="D26" s="38"/>
      <c r="E26" s="38"/>
      <c r="F26" s="25"/>
      <c r="G26" s="38"/>
      <c r="H26" s="25"/>
      <c r="I26" s="38"/>
      <c r="J26" s="25"/>
      <c r="K26" s="5"/>
      <c r="L26" s="270"/>
      <c r="M26" s="314"/>
    </row>
    <row r="27" spans="1:13" ht="12.75" customHeight="1">
      <c r="A27" s="285"/>
      <c r="B27" s="8"/>
      <c r="C27" s="68" t="s">
        <v>596</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439</v>
      </c>
      <c r="C30" s="67" t="s">
        <v>260</v>
      </c>
      <c r="D30" s="5" t="str">
        <f>VLOOKUP(C30,ratings,8,FALSE)</f>
        <v>-</v>
      </c>
      <c r="E30" s="5" t="str">
        <f>VLOOKUP(C30,ratings,10,FALSE)</f>
        <v>-</v>
      </c>
      <c r="F30" s="5" t="str">
        <f>VLOOKUP(C30,ratings,11,FALSE)</f>
        <v>-</v>
      </c>
      <c r="G30" s="5" t="str">
        <f>VLOOKUP(C30,ratings,3,FALSE)</f>
        <v>-</v>
      </c>
      <c r="H30" s="5" t="str">
        <f>VLOOKUP(C30,ratings,5,FALSE)</f>
        <v>-</v>
      </c>
      <c r="I30" s="5" t="str">
        <f>VLOOKUP(C30,ratings,6,FALSE)</f>
        <v>-</v>
      </c>
      <c r="J30" s="25"/>
      <c r="K30" s="5" t="s">
        <v>200</v>
      </c>
      <c r="L30" s="270"/>
      <c r="M30" s="314"/>
    </row>
    <row r="31" spans="1:13" ht="12.75" customHeight="1">
      <c r="A31" s="285"/>
      <c r="B31" s="8"/>
      <c r="C31" s="68" t="s">
        <v>455</v>
      </c>
      <c r="D31" s="38"/>
      <c r="E31" s="38"/>
      <c r="F31" s="25"/>
      <c r="G31" s="38"/>
      <c r="H31" s="25"/>
      <c r="I31" s="38"/>
      <c r="J31" s="25"/>
      <c r="K31" s="5"/>
      <c r="L31" s="270"/>
      <c r="M31" s="314"/>
    </row>
    <row r="32" spans="1:13" ht="12.75" customHeight="1">
      <c r="A32" s="285"/>
      <c r="B32" s="8"/>
      <c r="C32" s="68" t="s">
        <v>440</v>
      </c>
      <c r="D32" s="38"/>
      <c r="E32" s="38"/>
      <c r="F32" s="25"/>
      <c r="G32" s="38"/>
      <c r="H32" s="25"/>
      <c r="I32" s="38"/>
      <c r="J32" s="25"/>
      <c r="K32" s="5"/>
      <c r="L32" s="270"/>
      <c r="M32" s="314"/>
    </row>
    <row r="33" spans="1:13" ht="12.75" customHeight="1">
      <c r="A33" s="285"/>
      <c r="B33" s="8"/>
      <c r="C33" s="68" t="s">
        <v>258</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445</v>
      </c>
      <c r="C36" s="94" t="s">
        <v>466</v>
      </c>
      <c r="D36" s="5" t="str">
        <f>VLOOKUP(C36,ratings,8,FALSE)</f>
        <v>AA</v>
      </c>
      <c r="E36" s="5" t="str">
        <f>VLOOKUP(C36,ratings,10,FALSE)</f>
        <v>F1+</v>
      </c>
      <c r="F36" s="6" t="str">
        <f>VLOOKUP(C36,ratings,11,FALSE)</f>
        <v>STABLE</v>
      </c>
      <c r="G36" s="5" t="str">
        <f>VLOOKUP(C36,ratings,3,FALSE)</f>
        <v>-</v>
      </c>
      <c r="H36" s="6" t="str">
        <f>VLOOKUP(C36,ratings,5,FALSE)</f>
        <v>P-1</v>
      </c>
      <c r="I36" s="5" t="str">
        <f>VLOOKUP(C36,ratings,6,FALSE)</f>
        <v>STABLE</v>
      </c>
      <c r="J36" s="25"/>
      <c r="K36" s="5" t="s">
        <v>200</v>
      </c>
      <c r="L36" s="270"/>
      <c r="M36" s="314"/>
    </row>
    <row r="37" spans="1:13" ht="12.75" customHeight="1">
      <c r="A37" s="285"/>
      <c r="B37" s="8" t="s">
        <v>437</v>
      </c>
      <c r="C37" s="92" t="s">
        <v>446</v>
      </c>
      <c r="D37" s="38"/>
      <c r="E37" s="38"/>
      <c r="F37" s="25"/>
      <c r="G37" s="38"/>
      <c r="H37" s="25"/>
      <c r="I37" s="38"/>
      <c r="J37" s="25"/>
      <c r="K37" s="5"/>
      <c r="L37" s="270"/>
      <c r="M37" s="314"/>
    </row>
    <row r="38" spans="1:13" ht="12.75" customHeight="1">
      <c r="A38" s="285"/>
      <c r="B38" s="8"/>
      <c r="C38" s="68" t="s">
        <v>438</v>
      </c>
      <c r="D38" s="38"/>
      <c r="E38" s="38"/>
      <c r="F38" s="25"/>
      <c r="G38" s="38"/>
      <c r="H38" s="25"/>
      <c r="I38" s="38"/>
      <c r="J38" s="25"/>
      <c r="K38" s="5"/>
      <c r="L38" s="270"/>
      <c r="M38" s="314"/>
    </row>
    <row r="39" spans="1:13" ht="12.75" customHeight="1">
      <c r="A39" s="285"/>
      <c r="B39" s="8"/>
      <c r="C39" s="68" t="s">
        <v>258</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432</v>
      </c>
      <c r="C41" s="69" t="s">
        <v>463</v>
      </c>
      <c r="D41" s="5" t="str">
        <f>VLOOKUP(C41,ratings,8,FALSE)</f>
        <v>AA</v>
      </c>
      <c r="E41" s="5" t="str">
        <f>VLOOKUP(C41,ratings,10,FALSE)</f>
        <v>F1+</v>
      </c>
      <c r="F41" s="6" t="str">
        <f>VLOOKUP(C41,ratings,11,FALSE)</f>
        <v>STABLE</v>
      </c>
      <c r="G41" s="5" t="str">
        <f>VLOOKUP(C41,ratings,3,FALSE)</f>
        <v>Aa2</v>
      </c>
      <c r="H41" s="6" t="str">
        <f>VLOOKUP(C41,ratings,5,FALSE)</f>
        <v>P-1</v>
      </c>
      <c r="I41" s="5" t="str">
        <f>VLOOKUP(C41,ratings,6,FALSE)</f>
        <v>STABLE</v>
      </c>
      <c r="J41" s="25"/>
      <c r="K41" s="5" t="s">
        <v>200</v>
      </c>
      <c r="L41" s="270"/>
      <c r="M41" s="314"/>
    </row>
    <row r="42" spans="1:13" ht="12.75" customHeight="1">
      <c r="A42" s="285"/>
      <c r="B42" s="65" t="s">
        <v>433</v>
      </c>
      <c r="C42" s="68" t="s">
        <v>443</v>
      </c>
      <c r="D42" s="38"/>
      <c r="E42" s="38"/>
      <c r="F42" s="25"/>
      <c r="G42" s="38"/>
      <c r="H42" s="25"/>
      <c r="I42" s="38"/>
      <c r="J42" s="25"/>
      <c r="K42" s="5"/>
      <c r="L42" s="270"/>
      <c r="M42" s="314"/>
    </row>
    <row r="43" spans="1:13" ht="12.75" customHeight="1">
      <c r="A43" s="285"/>
      <c r="B43" s="24" t="s">
        <v>434</v>
      </c>
      <c r="C43" s="68" t="s">
        <v>435</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436</v>
      </c>
      <c r="C47" s="69" t="s">
        <v>463</v>
      </c>
      <c r="D47" s="5" t="str">
        <f>VLOOKUP(C47,ratings,8,FALSE)</f>
        <v>AA</v>
      </c>
      <c r="E47" s="5" t="str">
        <f>VLOOKUP(C47,ratings,10,FALSE)</f>
        <v>F1+</v>
      </c>
      <c r="F47" s="6" t="str">
        <f>VLOOKUP(C47,ratings,11,FALSE)</f>
        <v>STABLE</v>
      </c>
      <c r="G47" s="5" t="str">
        <f>VLOOKUP(C47,ratings,3,FALSE)</f>
        <v>Aa2</v>
      </c>
      <c r="H47" s="6" t="str">
        <f>VLOOKUP(C47,ratings,5,FALSE)</f>
        <v>P-1</v>
      </c>
      <c r="I47" s="5" t="str">
        <f>VLOOKUP(C47,ratings,6,FALSE)</f>
        <v>STABLE</v>
      </c>
      <c r="J47" s="25"/>
      <c r="K47" s="5" t="s">
        <v>200</v>
      </c>
      <c r="L47" s="270"/>
      <c r="M47" s="314"/>
    </row>
    <row r="48" spans="1:13" ht="12.75" customHeight="1">
      <c r="A48" s="285"/>
      <c r="B48" s="25"/>
      <c r="C48" s="64" t="s">
        <v>442</v>
      </c>
      <c r="D48" s="38"/>
      <c r="E48" s="38"/>
      <c r="F48" s="25"/>
      <c r="G48" s="38"/>
      <c r="H48" s="25"/>
      <c r="I48" s="38"/>
      <c r="J48" s="25"/>
      <c r="K48" s="5"/>
      <c r="L48" s="270"/>
      <c r="M48" s="314"/>
    </row>
    <row r="49" spans="1:13" ht="12.75" customHeight="1">
      <c r="A49" s="285"/>
      <c r="B49" s="25"/>
      <c r="C49" s="64" t="s">
        <v>444</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262</v>
      </c>
      <c r="C53" s="69" t="s">
        <v>103</v>
      </c>
      <c r="D53" s="5" t="str">
        <f>VLOOKUP(C53,ratings,7,FALSE)</f>
        <v>A+</v>
      </c>
      <c r="E53" s="5" t="str">
        <f>VLOOKUP(C53,ratings,10,FALSE)</f>
        <v>F1</v>
      </c>
      <c r="F53" s="6" t="str">
        <f>VLOOKUP(C53,ratings,11,FALSE)</f>
        <v>STABLE</v>
      </c>
      <c r="G53" s="5" t="str">
        <f>VLOOKUP(C53,ratings,3,FALSE)</f>
        <v>A2</v>
      </c>
      <c r="H53" s="6" t="str">
        <f>VLOOKUP(C53,ratings,5,FALSE)</f>
        <v>P-1</v>
      </c>
      <c r="I53" s="5" t="str">
        <f>VLOOKUP(C53,ratings,6,FALSE)</f>
        <v>POS</v>
      </c>
      <c r="J53" s="25"/>
      <c r="K53" s="5" t="s">
        <v>200</v>
      </c>
      <c r="L53" s="270"/>
      <c r="M53" s="314"/>
    </row>
    <row r="54" spans="1:13" ht="12.75" customHeight="1">
      <c r="A54" s="285"/>
      <c r="B54" s="25"/>
      <c r="C54" s="68" t="s">
        <v>590</v>
      </c>
      <c r="D54" s="38"/>
      <c r="E54" s="38"/>
      <c r="F54" s="38"/>
      <c r="G54" s="38"/>
      <c r="H54" s="38"/>
      <c r="I54" s="38"/>
      <c r="J54" s="25"/>
      <c r="K54" s="5"/>
      <c r="L54" s="25"/>
      <c r="M54" s="314"/>
    </row>
    <row r="55" spans="1:13" ht="12.75" customHeight="1">
      <c r="A55" s="285"/>
      <c r="C55" s="68" t="s">
        <v>591</v>
      </c>
      <c r="D55" s="38"/>
      <c r="E55" s="38"/>
      <c r="F55" s="25"/>
      <c r="G55" s="38"/>
      <c r="H55" s="25"/>
      <c r="I55" s="38"/>
      <c r="J55" s="25"/>
      <c r="K55" s="5"/>
      <c r="L55" s="25"/>
      <c r="M55" s="314"/>
    </row>
    <row r="56" spans="1:13" ht="12.75" customHeight="1">
      <c r="A56" s="285"/>
      <c r="B56" s="25"/>
      <c r="C56" s="68" t="s">
        <v>592</v>
      </c>
      <c r="D56" s="38"/>
      <c r="E56" s="38"/>
      <c r="F56" s="25"/>
      <c r="G56" s="38"/>
      <c r="H56" s="25"/>
      <c r="I56" s="38"/>
      <c r="J56" s="25"/>
      <c r="K56" s="5"/>
      <c r="L56" s="25"/>
      <c r="M56" s="314"/>
    </row>
    <row r="57" spans="1:13" ht="12.75" customHeight="1">
      <c r="A57" s="285"/>
      <c r="B57" s="25"/>
      <c r="C57" s="68" t="s">
        <v>593</v>
      </c>
      <c r="D57" s="38"/>
      <c r="E57" s="38"/>
      <c r="F57" s="25"/>
      <c r="G57" s="38"/>
      <c r="H57" s="25"/>
      <c r="I57" s="38"/>
      <c r="J57" s="25"/>
      <c r="K57" s="5"/>
      <c r="L57" s="25"/>
      <c r="M57" s="314"/>
    </row>
    <row r="58" spans="1:13" ht="12.75" customHeight="1">
      <c r="A58" s="285"/>
      <c r="B58" s="25"/>
      <c r="C58" s="68" t="s">
        <v>261</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430</v>
      </c>
      <c r="D60" s="5" t="str">
        <f>VLOOKUP(C60,ratings,8,FALSE)</f>
        <v>-</v>
      </c>
      <c r="E60" s="5" t="str">
        <f>VLOOKUP(C60,ratings,10,FALSE)</f>
        <v>-</v>
      </c>
      <c r="F60" s="5" t="str">
        <f>VLOOKUP(C60,ratings,11,FALSE)</f>
        <v>-</v>
      </c>
      <c r="G60" s="5" t="str">
        <f>VLOOKUP(C60,ratings,3,FALSE)</f>
        <v>-</v>
      </c>
      <c r="H60" s="5" t="str">
        <f>VLOOKUP(C60,ratings,5,FALSE)</f>
        <v>-</v>
      </c>
      <c r="I60" s="5" t="str">
        <f>VLOOKUP(C60,ratings,6,FALSE)</f>
        <v>-</v>
      </c>
      <c r="J60" s="25"/>
      <c r="K60" s="5" t="s">
        <v>200</v>
      </c>
      <c r="L60" s="25"/>
      <c r="M60" s="314"/>
    </row>
    <row r="61" spans="1:13" ht="12.75" customHeight="1">
      <c r="A61" s="285"/>
      <c r="B61" s="25"/>
      <c r="C61" s="68" t="s">
        <v>610</v>
      </c>
      <c r="D61" s="38"/>
      <c r="E61" s="38"/>
      <c r="F61" s="25"/>
      <c r="G61" s="38"/>
      <c r="H61" s="25"/>
      <c r="I61" s="38"/>
      <c r="J61" s="25"/>
      <c r="K61" s="5"/>
      <c r="L61" s="25"/>
      <c r="M61" s="314"/>
    </row>
    <row r="62" spans="1:13" ht="12.75" customHeight="1">
      <c r="A62" s="285"/>
      <c r="B62" s="25"/>
      <c r="C62" s="68" t="s">
        <v>611</v>
      </c>
      <c r="D62" s="38"/>
      <c r="E62" s="38"/>
      <c r="F62" s="25"/>
      <c r="G62" s="38"/>
      <c r="H62" s="25"/>
      <c r="I62" s="38"/>
      <c r="J62" s="25"/>
      <c r="K62" s="5"/>
      <c r="L62" s="25"/>
      <c r="M62" s="314"/>
    </row>
    <row r="63" spans="1:13" ht="12.75" customHeight="1">
      <c r="A63" s="285"/>
      <c r="B63" s="25"/>
      <c r="C63" s="68" t="s">
        <v>431</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447</v>
      </c>
      <c r="D70" s="64"/>
      <c r="E70" s="65" t="s">
        <v>422</v>
      </c>
      <c r="F70" s="64"/>
      <c r="G70" s="64"/>
      <c r="H70" s="25"/>
      <c r="I70" s="24"/>
      <c r="J70" s="33"/>
      <c r="K70" s="33"/>
      <c r="L70" s="33"/>
      <c r="M70" s="314"/>
    </row>
    <row r="71" spans="1:13" ht="12.75" customHeight="1">
      <c r="A71" s="285"/>
      <c r="B71" s="25"/>
      <c r="C71" s="64" t="s">
        <v>448</v>
      </c>
      <c r="D71" s="64"/>
      <c r="E71" s="64" t="s">
        <v>450</v>
      </c>
      <c r="F71" s="64"/>
      <c r="G71" s="64"/>
      <c r="H71" s="64"/>
      <c r="I71" s="64"/>
      <c r="J71" s="33"/>
      <c r="K71" s="33"/>
      <c r="L71" s="33"/>
      <c r="M71" s="314"/>
    </row>
    <row r="72" spans="1:13" ht="12.75" customHeight="1">
      <c r="A72" s="285"/>
      <c r="B72" s="25"/>
      <c r="C72" s="64" t="s">
        <v>449</v>
      </c>
      <c r="D72" s="64"/>
      <c r="E72" s="64" t="s">
        <v>451</v>
      </c>
      <c r="F72" s="64"/>
      <c r="G72" s="64"/>
      <c r="H72" s="64"/>
      <c r="I72" s="64"/>
      <c r="J72" s="33"/>
      <c r="K72" s="33"/>
      <c r="L72" s="33"/>
      <c r="M72" s="314"/>
    </row>
    <row r="73" spans="1:13" s="33" customFormat="1" ht="12.75" customHeight="1">
      <c r="A73" s="239"/>
      <c r="B73" s="25"/>
      <c r="C73" s="64" t="s">
        <v>195</v>
      </c>
      <c r="D73" s="64"/>
      <c r="E73" s="64" t="s">
        <v>261</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tr">
        <f>VLOOKUP("RatingDate",ratings,17,0)</f>
        <v>Ratings as of 31.08.2025, data source: Bloomberg</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tr">
        <f>'Cover Sheet'!B2</f>
        <v>SC Germany Consumer 2022-1</v>
      </c>
      <c r="C2" s="240"/>
      <c r="D2" s="241" t="str">
        <f>'Cover Sheet'!D2</f>
        <v>Calculation Date</v>
      </c>
      <c r="E2" s="242"/>
      <c r="F2" s="243">
        <f>'Cover Sheet'!F2</f>
        <v>45911</v>
      </c>
      <c r="G2" s="242"/>
      <c r="H2" s="242"/>
      <c r="I2" s="242"/>
      <c r="J2" s="244"/>
      <c r="K2" s="326"/>
    </row>
    <row r="3" spans="1:16" s="247" customFormat="1" ht="18">
      <c r="A3" s="239"/>
      <c r="B3" s="240" t="str">
        <f>'Cover Sheet'!B3</f>
        <v>Monthly Investor Report</v>
      </c>
      <c r="C3" s="240"/>
      <c r="D3" s="248" t="str">
        <f>'Cover Sheet'!D3</f>
        <v>Payment Date</v>
      </c>
      <c r="E3" s="249"/>
      <c r="F3" s="250">
        <f>'Cover Sheet'!F3</f>
        <v>45915</v>
      </c>
      <c r="G3" s="249"/>
      <c r="H3" s="249"/>
      <c r="I3" s="249"/>
      <c r="J3" s="251"/>
      <c r="K3" s="327"/>
    </row>
    <row r="4" spans="1:16" s="247" customFormat="1" ht="13">
      <c r="A4" s="239"/>
      <c r="B4" s="253"/>
      <c r="C4" s="328"/>
      <c r="D4" s="248" t="str">
        <f>'Cover Sheet'!D4</f>
        <v>Period  No</v>
      </c>
      <c r="E4" s="249"/>
      <c r="F4" s="254">
        <f>'Cover Sheet'!F4</f>
        <v>35</v>
      </c>
      <c r="G4" s="249"/>
      <c r="H4" s="255"/>
      <c r="I4" s="249"/>
      <c r="J4" s="256"/>
      <c r="K4" s="326"/>
    </row>
    <row r="5" spans="1:16" s="247" customFormat="1" ht="18">
      <c r="A5" s="239"/>
      <c r="B5" s="257" t="s">
        <v>377</v>
      </c>
      <c r="C5" s="329"/>
      <c r="D5" s="248" t="str">
        <f>'Cover Sheet'!D5</f>
        <v>Monthly Period</v>
      </c>
      <c r="E5" s="249"/>
      <c r="F5" s="121">
        <f>'Cover Sheet'!F5</f>
        <v>45915</v>
      </c>
      <c r="G5" s="249"/>
      <c r="H5" s="255"/>
      <c r="I5" s="249"/>
      <c r="J5" s="256"/>
      <c r="K5" s="327"/>
    </row>
    <row r="6" spans="1:16" s="247" customFormat="1" ht="15" customHeight="1">
      <c r="A6" s="239"/>
      <c r="B6" s="258"/>
      <c r="C6" s="330"/>
      <c r="D6" s="259" t="str">
        <f>'Cover Sheet'!D6</f>
        <v>Interest Period</v>
      </c>
      <c r="E6" s="250" t="s">
        <v>34</v>
      </c>
      <c r="F6" s="250">
        <f>'Cover Sheet'!F6</f>
        <v>45883</v>
      </c>
      <c r="G6" s="250" t="s">
        <v>4</v>
      </c>
      <c r="H6" s="250">
        <f>'Cover Sheet'!H6</f>
        <v>45915</v>
      </c>
      <c r="I6" s="260" t="s">
        <v>15</v>
      </c>
      <c r="J6" s="261" t="str">
        <f>'Cover Sheet'!J6</f>
        <v>32 days</v>
      </c>
      <c r="K6" s="327"/>
      <c r="M6" s="331"/>
    </row>
    <row r="7" spans="1:16" s="247" customFormat="1" ht="13">
      <c r="A7" s="239"/>
      <c r="B7" s="33"/>
      <c r="C7" s="33"/>
      <c r="D7" s="263" t="str">
        <f>'Cover Sheet'!D7</f>
        <v>Collection Period</v>
      </c>
      <c r="E7" s="264" t="s">
        <v>34</v>
      </c>
      <c r="F7" s="264" t="str">
        <f>'Cover Sheet'!F7</f>
        <v>01.08.2025</v>
      </c>
      <c r="G7" s="264" t="s">
        <v>4</v>
      </c>
      <c r="H7" s="264">
        <f>'Cover Sheet'!H7</f>
        <v>45900</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572</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601</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257</v>
      </c>
      <c r="E17" s="340"/>
      <c r="F17" s="341"/>
      <c r="G17" s="26"/>
      <c r="H17" s="339"/>
      <c r="I17" s="219"/>
      <c r="J17" s="25"/>
      <c r="K17" s="314"/>
      <c r="M17" s="333"/>
      <c r="P17" s="25"/>
    </row>
    <row r="18" spans="1:16" ht="12.75" customHeight="1">
      <c r="A18" s="285"/>
      <c r="B18" s="23"/>
      <c r="D18" s="64" t="s">
        <v>259</v>
      </c>
      <c r="E18" s="340"/>
      <c r="F18" s="341"/>
      <c r="G18" s="26"/>
      <c r="H18" s="339"/>
      <c r="I18" s="219"/>
      <c r="J18" s="25"/>
      <c r="K18" s="314"/>
      <c r="M18" s="333"/>
      <c r="P18" s="25"/>
    </row>
    <row r="19" spans="1:16" ht="12.75" customHeight="1">
      <c r="A19" s="285"/>
      <c r="B19" s="23"/>
      <c r="D19" s="64" t="s">
        <v>258</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205</v>
      </c>
      <c r="D21" s="64" t="s">
        <v>405</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199</v>
      </c>
      <c r="F32" s="28"/>
      <c r="G32" s="28"/>
      <c r="H32" s="28"/>
      <c r="I32" s="28"/>
      <c r="J32" s="25"/>
      <c r="K32" s="314"/>
      <c r="M32" s="333"/>
      <c r="P32" s="25"/>
    </row>
    <row r="33" spans="1:16" ht="12.75" customHeight="1">
      <c r="A33" s="285"/>
      <c r="B33" s="23"/>
      <c r="D33" s="25"/>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260</v>
      </c>
      <c r="E35" s="340"/>
      <c r="F35" s="62"/>
      <c r="G35" s="28"/>
      <c r="H35" s="28"/>
      <c r="I35" s="28"/>
      <c r="J35" s="25"/>
      <c r="K35" s="314"/>
      <c r="M35" s="333"/>
      <c r="P35" s="24"/>
    </row>
    <row r="36" spans="1:16" ht="12.75" customHeight="1">
      <c r="A36" s="285"/>
      <c r="B36" s="23"/>
      <c r="D36" s="64" t="s">
        <v>257</v>
      </c>
      <c r="E36" s="340"/>
      <c r="F36" s="346"/>
      <c r="G36" s="347"/>
      <c r="H36" s="347"/>
      <c r="I36" s="279"/>
      <c r="J36" s="279"/>
      <c r="K36" s="314"/>
      <c r="P36" s="25"/>
    </row>
    <row r="37" spans="1:16" ht="12.75" customHeight="1">
      <c r="A37" s="285"/>
      <c r="B37" s="25"/>
      <c r="D37" s="64" t="s">
        <v>259</v>
      </c>
      <c r="E37" s="340"/>
      <c r="F37" s="346"/>
      <c r="G37" s="347"/>
      <c r="H37" s="347"/>
      <c r="I37" s="279"/>
      <c r="J37" s="25"/>
      <c r="K37" s="314"/>
      <c r="P37" s="25"/>
    </row>
    <row r="38" spans="1:16" ht="12.75" customHeight="1">
      <c r="A38" s="285"/>
      <c r="B38" s="23"/>
      <c r="D38" s="64" t="s">
        <v>258</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tr">
        <f>'Cover Sheet'!B2</f>
        <v>SC Germany Consumer 2022-1</v>
      </c>
      <c r="C2" s="240"/>
      <c r="D2" s="241" t="str">
        <f>'Cover Sheet'!D2</f>
        <v>Calculation Date</v>
      </c>
      <c r="E2" s="242"/>
      <c r="F2" s="243">
        <f>'Cover Sheet'!F2</f>
        <v>45911</v>
      </c>
      <c r="G2" s="242"/>
      <c r="H2" s="242"/>
      <c r="I2" s="242"/>
      <c r="J2" s="244"/>
      <c r="K2" s="245"/>
      <c r="L2" s="245"/>
      <c r="M2" s="33"/>
      <c r="N2" s="246"/>
    </row>
    <row r="3" spans="1:14" s="247" customFormat="1" ht="18">
      <c r="A3" s="239"/>
      <c r="B3" s="240" t="str">
        <f>'Cover Sheet'!B3</f>
        <v>Monthly Investor Report</v>
      </c>
      <c r="C3" s="240"/>
      <c r="D3" s="248" t="str">
        <f>'Cover Sheet'!D3</f>
        <v>Payment Date</v>
      </c>
      <c r="E3" s="249"/>
      <c r="F3" s="250">
        <f>'Cover Sheet'!F3</f>
        <v>45915</v>
      </c>
      <c r="G3" s="249"/>
      <c r="H3" s="249"/>
      <c r="I3" s="249"/>
      <c r="J3" s="251"/>
      <c r="K3" s="252"/>
      <c r="L3" s="252"/>
      <c r="M3" s="33"/>
      <c r="N3" s="246"/>
    </row>
    <row r="4" spans="1:14" s="247" customFormat="1" ht="13">
      <c r="A4" s="239"/>
      <c r="B4" s="253"/>
      <c r="C4" s="253"/>
      <c r="D4" s="248" t="str">
        <f>'Cover Sheet'!D4</f>
        <v>Period  No</v>
      </c>
      <c r="E4" s="249"/>
      <c r="F4" s="254">
        <f>'Cover Sheet'!F4</f>
        <v>35</v>
      </c>
      <c r="G4" s="249"/>
      <c r="H4" s="255"/>
      <c r="I4" s="249"/>
      <c r="J4" s="256"/>
      <c r="K4" s="245"/>
      <c r="L4" s="245"/>
      <c r="M4" s="33"/>
      <c r="N4" s="246"/>
    </row>
    <row r="5" spans="1:14" s="247" customFormat="1" ht="18">
      <c r="A5" s="239"/>
      <c r="B5" s="257" t="s">
        <v>374</v>
      </c>
      <c r="C5" s="257"/>
      <c r="D5" s="248" t="str">
        <f>'Cover Sheet'!D5</f>
        <v>Monthly Period</v>
      </c>
      <c r="E5" s="249"/>
      <c r="F5" s="121">
        <f>'Cover Sheet'!F5</f>
        <v>45915</v>
      </c>
      <c r="G5" s="249"/>
      <c r="H5" s="255"/>
      <c r="I5" s="249"/>
      <c r="J5" s="256"/>
      <c r="K5" s="252"/>
      <c r="L5" s="252"/>
      <c r="M5" s="33"/>
      <c r="N5" s="246"/>
    </row>
    <row r="6" spans="1:14" s="247" customFormat="1" ht="15" customHeight="1">
      <c r="A6" s="239"/>
      <c r="B6" s="258"/>
      <c r="C6" s="258"/>
      <c r="D6" s="259" t="str">
        <f>'Cover Sheet'!D6</f>
        <v>Interest Period</v>
      </c>
      <c r="E6" s="250" t="s">
        <v>34</v>
      </c>
      <c r="F6" s="250">
        <f>'Cover Sheet'!F6</f>
        <v>45883</v>
      </c>
      <c r="G6" s="250" t="s">
        <v>4</v>
      </c>
      <c r="H6" s="250">
        <f>'Cover Sheet'!H6</f>
        <v>45915</v>
      </c>
      <c r="I6" s="260" t="s">
        <v>15</v>
      </c>
      <c r="J6" s="261" t="str">
        <f>'Cover Sheet'!J6</f>
        <v>32 days</v>
      </c>
      <c r="K6" s="252"/>
      <c r="L6" s="252"/>
      <c r="M6" s="33"/>
      <c r="N6" s="262"/>
    </row>
    <row r="7" spans="1:14" s="247" customFormat="1" ht="13">
      <c r="A7" s="239"/>
      <c r="B7" s="33"/>
      <c r="C7" s="33"/>
      <c r="D7" s="263" t="str">
        <f>'Cover Sheet'!D7</f>
        <v>Collection Period</v>
      </c>
      <c r="E7" s="264" t="s">
        <v>34</v>
      </c>
      <c r="F7" s="264" t="str">
        <f>'Cover Sheet'!F7</f>
        <v>01.08.2025</v>
      </c>
      <c r="G7" s="264" t="s">
        <v>4</v>
      </c>
      <c r="H7" s="264">
        <f>'Cover Sheet'!H7</f>
        <v>45900</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264</v>
      </c>
      <c r="C13" s="275"/>
      <c r="D13" s="25"/>
      <c r="E13" s="276"/>
      <c r="F13" s="276"/>
      <c r="G13" s="277"/>
      <c r="H13" s="278"/>
      <c r="I13" s="278"/>
      <c r="J13" s="279"/>
      <c r="K13" s="25"/>
      <c r="L13" s="33"/>
      <c r="M13" s="33"/>
      <c r="N13" s="273"/>
    </row>
    <row r="14" spans="1:14" s="247" customFormat="1" ht="12.75" customHeight="1">
      <c r="A14" s="239"/>
      <c r="B14" s="25" t="s">
        <v>265</v>
      </c>
      <c r="C14" s="280" t="s">
        <v>103</v>
      </c>
      <c r="E14" s="281"/>
      <c r="F14" s="282"/>
      <c r="G14" s="283"/>
      <c r="H14" s="283"/>
      <c r="I14" s="284"/>
      <c r="J14" s="278"/>
      <c r="K14" s="25"/>
      <c r="L14" s="33"/>
      <c r="M14" s="33"/>
      <c r="N14" s="273"/>
    </row>
    <row r="15" spans="1:14">
      <c r="A15" s="285"/>
      <c r="B15" s="45" t="s">
        <v>266</v>
      </c>
      <c r="C15" s="922" t="s">
        <v>43</v>
      </c>
      <c r="E15" s="25"/>
      <c r="F15" s="286"/>
      <c r="G15" s="287"/>
      <c r="H15" s="288"/>
      <c r="I15" s="287"/>
      <c r="J15" s="287"/>
      <c r="K15" s="25"/>
      <c r="L15" s="25"/>
      <c r="M15" s="25"/>
      <c r="N15" s="273"/>
    </row>
    <row r="16" spans="1:14" ht="13" thickBot="1">
      <c r="A16" s="285"/>
      <c r="B16" s="14"/>
      <c r="C16" s="73"/>
      <c r="D16" s="32" t="s">
        <v>609</v>
      </c>
      <c r="E16" s="32" t="s">
        <v>419</v>
      </c>
      <c r="F16" s="32" t="s">
        <v>421</v>
      </c>
      <c r="G16" s="32" t="s">
        <v>424</v>
      </c>
      <c r="H16" s="32" t="s">
        <v>420</v>
      </c>
      <c r="I16" s="32" t="s">
        <v>243</v>
      </c>
      <c r="J16" s="287"/>
      <c r="K16" s="25"/>
      <c r="L16" s="25"/>
      <c r="M16" s="25"/>
      <c r="N16" s="273"/>
    </row>
    <row r="17" spans="1:14" ht="13" thickBot="1">
      <c r="A17" s="285"/>
      <c r="D17" s="1019" t="s">
        <v>241</v>
      </c>
      <c r="E17" s="1020"/>
      <c r="F17" s="1020"/>
      <c r="G17" s="1019" t="s">
        <v>242</v>
      </c>
      <c r="H17" s="1020"/>
      <c r="I17" s="1021"/>
      <c r="J17" s="25"/>
      <c r="N17" s="273"/>
    </row>
    <row r="18" spans="1:14" ht="50">
      <c r="A18" s="285"/>
      <c r="B18" s="289" t="s">
        <v>268</v>
      </c>
      <c r="C18" s="290" t="s">
        <v>269</v>
      </c>
      <c r="D18" s="74" t="s">
        <v>607</v>
      </c>
      <c r="E18" s="74" t="s">
        <v>107</v>
      </c>
      <c r="F18" s="74" t="s">
        <v>108</v>
      </c>
      <c r="G18" s="75" t="s">
        <v>270</v>
      </c>
      <c r="H18" s="75" t="s">
        <v>107</v>
      </c>
      <c r="I18" s="75" t="s">
        <v>108</v>
      </c>
      <c r="J18" s="291" t="s">
        <v>271</v>
      </c>
      <c r="N18" s="273"/>
    </row>
    <row r="19" spans="1:14" ht="8.25" customHeight="1">
      <c r="A19" s="285"/>
      <c r="B19" s="292"/>
      <c r="C19" s="38"/>
      <c r="D19" s="293" t="s">
        <v>609</v>
      </c>
      <c r="E19" s="293" t="s">
        <v>419</v>
      </c>
      <c r="F19" s="293" t="s">
        <v>421</v>
      </c>
      <c r="G19" s="294" t="s">
        <v>424</v>
      </c>
      <c r="H19" s="295" t="s">
        <v>420</v>
      </c>
      <c r="I19" s="296" t="s">
        <v>243</v>
      </c>
      <c r="J19" s="297"/>
      <c r="N19" s="273"/>
    </row>
    <row r="20" spans="1:14" ht="25">
      <c r="A20" s="285"/>
      <c r="B20" s="292" t="s">
        <v>272</v>
      </c>
      <c r="C20" s="298" t="s">
        <v>397</v>
      </c>
      <c r="D20" s="93" t="s">
        <v>400</v>
      </c>
      <c r="E20" s="93" t="s">
        <v>401</v>
      </c>
      <c r="F20" s="93"/>
      <c r="G20" s="93" t="s">
        <v>398</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273</v>
      </c>
      <c r="C22" s="298" t="s">
        <v>465</v>
      </c>
      <c r="D22" s="93" t="s">
        <v>402</v>
      </c>
      <c r="E22" s="93" t="s">
        <v>403</v>
      </c>
      <c r="F22" s="93"/>
      <c r="G22" s="93" t="s">
        <v>399</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274</v>
      </c>
      <c r="C24" s="305"/>
      <c r="D24" s="93" t="str">
        <f>VLOOKUP($C$14,ratings,12,FALSE)</f>
        <v>A+(dcr)</v>
      </c>
      <c r="E24" s="93" t="str">
        <f>VLOOKUP($C$14,ratings,10,FALSE)</f>
        <v>F1</v>
      </c>
      <c r="F24" s="93" t="str">
        <f>VLOOKUP($C$14,ratings,11,FALSE)</f>
        <v>STABLE</v>
      </c>
      <c r="G24" s="93" t="str">
        <f>VLOOKUP($C$14,ratings,2,FALSE)</f>
        <v>A3(cr)</v>
      </c>
      <c r="H24" s="93" t="str">
        <f>VLOOKUP($C$14,ratings,5,FALSE)</f>
        <v>P-1</v>
      </c>
      <c r="I24" s="93" t="str">
        <f>VLOOKUP($C$14,ratings,6,FALSE)</f>
        <v>POS</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275</v>
      </c>
      <c r="C27" s="240"/>
      <c r="D27" s="72"/>
      <c r="E27" s="275" t="s">
        <v>276</v>
      </c>
      <c r="G27" s="287"/>
      <c r="H27" s="288"/>
      <c r="I27" s="275" t="s">
        <v>277</v>
      </c>
      <c r="J27" s="73"/>
      <c r="K27" s="25"/>
      <c r="L27" s="25"/>
      <c r="M27" s="25"/>
      <c r="N27" s="273"/>
    </row>
    <row r="28" spans="1:14">
      <c r="A28" s="285"/>
      <c r="B28" s="25" t="s">
        <v>278</v>
      </c>
      <c r="C28" s="79" t="s">
        <v>279</v>
      </c>
      <c r="E28" s="280" t="s">
        <v>589</v>
      </c>
      <c r="G28" s="287"/>
      <c r="H28" s="288"/>
      <c r="I28" s="79" t="s">
        <v>280</v>
      </c>
      <c r="K28" s="25"/>
      <c r="L28" s="80" t="str">
        <f>C14</f>
        <v>Banco Santander S.A.</v>
      </c>
      <c r="M28" s="25"/>
      <c r="N28" s="273"/>
    </row>
    <row r="29" spans="1:14" ht="13">
      <c r="A29" s="285"/>
      <c r="B29" s="45" t="s">
        <v>281</v>
      </c>
      <c r="C29" s="310">
        <f>VLOOKUP("Swap_Notional_amount",calcdata_22,2,FALSE)</f>
        <v>481625788.23999989</v>
      </c>
      <c r="E29" s="79" t="s">
        <v>597</v>
      </c>
      <c r="G29" s="311"/>
      <c r="H29" s="312"/>
      <c r="I29" s="79" t="s">
        <v>282</v>
      </c>
      <c r="K29" s="25"/>
      <c r="L29" s="80" t="str">
        <f>C14</f>
        <v>Banco Santander S.A.</v>
      </c>
      <c r="M29" s="25"/>
      <c r="N29" s="273"/>
    </row>
    <row r="30" spans="1:14">
      <c r="A30" s="285"/>
      <c r="B30" s="45" t="s">
        <v>283</v>
      </c>
      <c r="C30" s="81">
        <f>VLOOKUP("Fixed_Rate",calcdata_22,2,FALSE)</f>
        <v>2.12E-2</v>
      </c>
      <c r="E30" s="79" t="s">
        <v>591</v>
      </c>
      <c r="G30" s="25"/>
      <c r="H30" s="33"/>
      <c r="I30" s="33"/>
      <c r="J30" s="25"/>
      <c r="K30" s="25"/>
      <c r="L30" s="25"/>
      <c r="M30" s="25"/>
      <c r="N30" s="273"/>
    </row>
    <row r="31" spans="1:14">
      <c r="A31" s="285"/>
      <c r="B31" s="45" t="s">
        <v>284</v>
      </c>
      <c r="C31" s="81">
        <f>VLOOKUP("Floating_Rate",calcdata_22,2,FALSE)</f>
        <v>1.866E-2</v>
      </c>
      <c r="E31" s="79" t="s">
        <v>592</v>
      </c>
      <c r="G31" s="25"/>
      <c r="H31" s="33"/>
      <c r="I31" s="33"/>
      <c r="J31" s="25"/>
      <c r="K31" s="25"/>
      <c r="L31" s="25"/>
      <c r="M31" s="25"/>
      <c r="N31" s="273"/>
    </row>
    <row r="32" spans="1:14">
      <c r="A32" s="285"/>
      <c r="B32" s="45" t="s">
        <v>285</v>
      </c>
      <c r="C32" s="921">
        <f>VLOOKUP("Net_Swap_Payments",calcdata_22,2,FALSE)</f>
        <v>108740.40000000002</v>
      </c>
      <c r="E32" s="79" t="s">
        <v>593</v>
      </c>
      <c r="G32" s="25"/>
      <c r="H32" s="33"/>
      <c r="I32" s="33"/>
      <c r="J32" s="25"/>
      <c r="K32" s="25"/>
      <c r="L32" s="25"/>
      <c r="M32" s="25"/>
      <c r="N32" s="273"/>
    </row>
    <row r="33" spans="1:14">
      <c r="A33" s="285"/>
      <c r="B33" s="45" t="s">
        <v>286</v>
      </c>
      <c r="C33" s="921">
        <f>VLOOKUP("Swap_Notional_amount_next",calcdata_22,2,FALSE)</f>
        <v>466396319.43999994</v>
      </c>
      <c r="D33" s="25"/>
      <c r="E33" s="79" t="s">
        <v>598</v>
      </c>
      <c r="G33" s="25"/>
      <c r="H33" s="25"/>
      <c r="I33" s="25"/>
      <c r="J33" s="25"/>
      <c r="K33" s="25"/>
      <c r="L33" s="25"/>
      <c r="M33" s="25"/>
      <c r="N33" s="273"/>
    </row>
    <row r="34" spans="1:14">
      <c r="A34" s="285"/>
      <c r="B34" s="14"/>
      <c r="E34" s="79" t="s">
        <v>261</v>
      </c>
      <c r="F34" s="25"/>
      <c r="G34" s="25"/>
      <c r="H34" s="25"/>
      <c r="I34" s="25"/>
      <c r="J34" s="25"/>
      <c r="K34" s="25"/>
      <c r="L34" s="25"/>
      <c r="M34" s="25"/>
      <c r="N34" s="273"/>
    </row>
    <row r="35" spans="1:14" ht="18">
      <c r="A35" s="285"/>
      <c r="B35" s="275" t="s">
        <v>287</v>
      </c>
      <c r="C35" s="313"/>
      <c r="E35" s="25" t="s">
        <v>599</v>
      </c>
      <c r="F35" s="25"/>
      <c r="G35" s="25"/>
      <c r="H35" s="25"/>
      <c r="I35" s="25"/>
      <c r="J35" s="25"/>
      <c r="K35" s="25"/>
      <c r="L35" s="25"/>
      <c r="M35" s="25"/>
      <c r="N35" s="273"/>
    </row>
    <row r="36" spans="1:14">
      <c r="A36" s="285"/>
      <c r="B36" s="238" t="s">
        <v>288</v>
      </c>
      <c r="C36" s="310">
        <v>0</v>
      </c>
      <c r="E36" s="25" t="s">
        <v>600</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tr">
        <f>VLOOKUP("RatingDate",ratings,17,0)</f>
        <v>Ratings as of 31.08.2025, data source: Bloomberg</v>
      </c>
      <c r="C41" s="29"/>
      <c r="D41" s="1022" t="s">
        <v>608</v>
      </c>
      <c r="E41" s="1023"/>
      <c r="F41" s="1023"/>
      <c r="G41" s="1023"/>
      <c r="H41" s="1023"/>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tr">
        <f>'Cover Sheet'!B2</f>
        <v>SC Germany Consumer 2022-1</v>
      </c>
      <c r="C2" s="104"/>
      <c r="D2" s="105"/>
      <c r="E2" s="1038" t="str">
        <f>'Cover Sheet'!D2</f>
        <v>Calculation Date</v>
      </c>
      <c r="F2" s="1039"/>
      <c r="G2" s="107"/>
      <c r="H2" s="108">
        <f>'Cover Sheet'!F2</f>
        <v>45911</v>
      </c>
      <c r="I2" s="155"/>
      <c r="J2" s="107"/>
      <c r="K2" s="107"/>
      <c r="L2" s="109"/>
      <c r="M2" s="110"/>
      <c r="N2" s="105"/>
      <c r="O2" s="105"/>
    </row>
    <row r="3" spans="1:15" s="102" customFormat="1" ht="18">
      <c r="A3" s="103"/>
      <c r="B3" s="104" t="str">
        <f>'Cover Sheet'!B3</f>
        <v>Monthly Investor Report</v>
      </c>
      <c r="C3" s="104"/>
      <c r="D3" s="105"/>
      <c r="E3" s="1040" t="str">
        <f>'Cover Sheet'!D3</f>
        <v>Payment Date</v>
      </c>
      <c r="F3" s="1041"/>
      <c r="G3" s="114"/>
      <c r="H3" s="114">
        <f>'Cover Sheet'!F3</f>
        <v>45915</v>
      </c>
      <c r="I3" s="156"/>
      <c r="J3" s="113"/>
      <c r="K3" s="113"/>
      <c r="L3" s="115"/>
      <c r="M3" s="110"/>
      <c r="N3" s="105"/>
      <c r="O3" s="105"/>
    </row>
    <row r="4" spans="1:15" s="102" customFormat="1">
      <c r="A4" s="103"/>
      <c r="B4" s="157"/>
      <c r="C4" s="158"/>
      <c r="D4" s="105"/>
      <c r="E4" s="1040" t="str">
        <f>'Cover Sheet'!D4</f>
        <v>Period  No</v>
      </c>
      <c r="F4" s="1041"/>
      <c r="G4" s="117"/>
      <c r="H4" s="117">
        <f>'Cover Sheet'!F4</f>
        <v>35</v>
      </c>
      <c r="I4" s="159"/>
      <c r="J4" s="118"/>
      <c r="K4" s="113"/>
      <c r="L4" s="119"/>
      <c r="M4" s="110"/>
      <c r="N4" s="105"/>
      <c r="O4" s="105"/>
    </row>
    <row r="5" spans="1:15" s="102" customFormat="1" ht="18">
      <c r="A5" s="103"/>
      <c r="B5" s="160" t="s">
        <v>375</v>
      </c>
      <c r="C5" s="120"/>
      <c r="D5" s="105"/>
      <c r="E5" s="1040" t="str">
        <f>'Cover Sheet'!D5</f>
        <v>Monthly Period</v>
      </c>
      <c r="F5" s="1041"/>
      <c r="G5" s="161"/>
      <c r="H5" s="121">
        <f>'Cover Sheet'!F5</f>
        <v>45915</v>
      </c>
      <c r="I5" s="113"/>
      <c r="J5" s="118"/>
      <c r="K5" s="113"/>
      <c r="L5" s="119"/>
      <c r="M5" s="110"/>
      <c r="N5" s="105"/>
      <c r="O5" s="105"/>
    </row>
    <row r="6" spans="1:15" s="102" customFormat="1" ht="15" customHeight="1">
      <c r="A6" s="103"/>
      <c r="B6" s="122"/>
      <c r="C6" s="111"/>
      <c r="D6" s="105"/>
      <c r="E6" s="1034" t="str">
        <f>'Cover Sheet'!D6</f>
        <v>Interest Period</v>
      </c>
      <c r="F6" s="1035"/>
      <c r="G6" s="114" t="s">
        <v>34</v>
      </c>
      <c r="H6" s="114">
        <f>'Cover Sheet'!F6</f>
        <v>45883</v>
      </c>
      <c r="I6" s="114" t="s">
        <v>4</v>
      </c>
      <c r="J6" s="114">
        <f>'Cover Sheet'!$H$6</f>
        <v>45915</v>
      </c>
      <c r="K6" s="114" t="s">
        <v>15</v>
      </c>
      <c r="L6" s="162" t="str">
        <f>'Cover Sheet'!$J$6</f>
        <v>32 days</v>
      </c>
      <c r="M6" s="163"/>
      <c r="N6" s="105"/>
      <c r="O6" s="105"/>
    </row>
    <row r="7" spans="1:15" s="102" customFormat="1" ht="13">
      <c r="A7" s="103"/>
      <c r="B7" s="105"/>
      <c r="C7" s="105"/>
      <c r="D7" s="164"/>
      <c r="E7" s="1036" t="str">
        <f>'Cover Sheet'!D7</f>
        <v>Collection Period</v>
      </c>
      <c r="F7" s="1037"/>
      <c r="G7" s="129" t="s">
        <v>34</v>
      </c>
      <c r="H7" s="129" t="str">
        <f>'Cover Sheet'!F7</f>
        <v>01.08.2025</v>
      </c>
      <c r="I7" s="129" t="s">
        <v>4</v>
      </c>
      <c r="J7" s="129">
        <f>'Cover Sheet'!H7</f>
        <v>45900</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c r="A13" s="103"/>
      <c r="D13"/>
      <c r="E13" s="212"/>
      <c r="F13" s="171"/>
      <c r="G13" s="171"/>
      <c r="H13" s="171"/>
      <c r="I13" s="171"/>
      <c r="J13" s="172"/>
      <c r="K13" s="172"/>
      <c r="L13" s="173"/>
      <c r="M13" s="174"/>
      <c r="O13" s="175"/>
    </row>
    <row r="14" spans="1:15" s="102" customFormat="1" ht="18">
      <c r="A14" s="103"/>
      <c r="B14" s="940" t="s">
        <v>1015</v>
      </c>
      <c r="C14"/>
      <c r="E14" s="215"/>
      <c r="F14" s="216"/>
      <c r="G14" s="216"/>
      <c r="H14" s="216"/>
      <c r="I14" s="216"/>
      <c r="J14" s="216"/>
      <c r="K14" s="217"/>
      <c r="L14" s="172"/>
      <c r="M14" s="174"/>
      <c r="O14" s="175"/>
    </row>
    <row r="15" spans="1:15" ht="14.5">
      <c r="A15" s="180"/>
      <c r="B15" s="941" t="s">
        <v>1016</v>
      </c>
      <c r="C15" s="942" t="s">
        <v>1017</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B21" s="45"/>
      <c r="C21" s="193"/>
      <c r="D21" s="218"/>
      <c r="E21" s="218"/>
      <c r="F21" s="218"/>
      <c r="G21" s="21"/>
      <c r="H21" s="21"/>
      <c r="I21" s="21"/>
      <c r="J21" s="21"/>
      <c r="K21" s="21"/>
      <c r="L21" s="21"/>
      <c r="M21" s="174"/>
    </row>
    <row r="22" spans="1:15">
      <c r="A22" s="180"/>
      <c r="B22" s="45"/>
      <c r="C22" s="193"/>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26" t="s">
        <v>241</v>
      </c>
      <c r="E25" s="1027"/>
      <c r="F25" s="1028"/>
      <c r="G25" s="1029" t="s">
        <v>242</v>
      </c>
      <c r="H25" s="1030"/>
      <c r="I25" s="1031"/>
      <c r="J25" s="1032"/>
      <c r="K25" s="1032"/>
      <c r="L25" s="1032"/>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1007"/>
      <c r="C27" s="1033"/>
      <c r="D27" s="17"/>
      <c r="E27" s="17"/>
      <c r="F27" s="17"/>
      <c r="G27" s="17"/>
      <c r="H27" s="17"/>
      <c r="I27" s="17"/>
      <c r="J27" s="21"/>
      <c r="K27" s="21"/>
      <c r="L27" s="21"/>
      <c r="M27" s="170"/>
      <c r="N27" s="105"/>
      <c r="O27" s="105"/>
    </row>
    <row r="28" spans="1:15" ht="13">
      <c r="A28" s="180"/>
      <c r="B28" s="1024" t="s">
        <v>103</v>
      </c>
      <c r="C28" s="1025"/>
      <c r="D28" s="1" t="str">
        <f>IF(VLOOKUP(B28,ratings,7,FALSE)="-",VLOOKUP(B28,ratings,8,FALSE),VLOOKUP(B28,ratings,7,FALSE))</f>
        <v>A+</v>
      </c>
      <c r="E28" s="1" t="str">
        <f>IF(VLOOKUP(B28,ratings,9,FALSE)="-",VLOOKUP(B28,ratings,10,FALSE),VLOOKUP(B28,ratings,9,FALSE))</f>
        <v>F1</v>
      </c>
      <c r="F28" s="1" t="str">
        <f>VLOOKUP(B28,ratings,11,FALSE)</f>
        <v>STABLE</v>
      </c>
      <c r="G28" s="1" t="str">
        <f>IF(VLOOKUP(B28,ratings,2,FALSE)="-",VLOOKUP(B28,ratings,3,FALSE),VLOOKUP(B28,ratings,2,FALSE))</f>
        <v>A3(cr)</v>
      </c>
      <c r="H28" s="1" t="str">
        <f>IF(VLOOKUP(B28,ratings,4,FALSE)="-",VLOOKUP(B28,ratings,5,FALSE),VLOOKUP(B28,ratings,4,FALSE))</f>
        <v>P-2(cr)</v>
      </c>
      <c r="I28" s="1" t="str">
        <f>VLOOKUP(B28,ratings,6,FALSE)</f>
        <v>POS</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1024" t="s">
        <v>109</v>
      </c>
      <c r="C30" s="1025"/>
      <c r="D30" s="1" t="str">
        <f>IF(VLOOKUP(B30,ratings,7,FALSE)="-",VLOOKUP(B30,ratings,8,FALSE),VLOOKUP(B30,ratings,7,FALSE))</f>
        <v>A+</v>
      </c>
      <c r="E30" s="1" t="str">
        <f>IF(VLOOKUP(B30,ratings,9,FALSE)="-",VLOOKUP(B30,ratings,10,FALSE),VLOOKUP(B30,ratings,9,FALSE))</f>
        <v>F1</v>
      </c>
      <c r="F30" s="1" t="str">
        <f>VLOOKUP(B30,ratings,11,FALSE)</f>
        <v>STABLE</v>
      </c>
      <c r="G30" s="1" t="str">
        <f>IF(VLOOKUP(B30,ratings,2,FALSE)="-",VLOOKUP(B30,ratings,3,FALSE),VLOOKUP(B30,ratings,2,FALSE))</f>
        <v>A3(cr)</v>
      </c>
      <c r="H30" s="1" t="str">
        <f>IF(VLOOKUP(B30,ratings,4,FALSE)="-",VLOOKUP(B30,ratings,5,FALSE),VLOOKUP(B30,ratings,4,FALSE))</f>
        <v>P-2(cr)</v>
      </c>
      <c r="I30" s="1" t="str">
        <f>VLOOKUP(B30,ratings,6,FALSE)</f>
        <v>POS</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1024" t="s">
        <v>196</v>
      </c>
      <c r="C32" s="1025"/>
      <c r="D32" s="1" t="str">
        <f>IF(VLOOKUP(B32,ratings,7,FALSE)="-",VLOOKUP(B32,ratings,8,FALSE),VLOOKUP(B32,ratings,7,FALSE))</f>
        <v>A</v>
      </c>
      <c r="E32" s="1" t="str">
        <f>IF(VLOOKUP(B32,ratings,9,FALSE)="-",VLOOKUP(B32,ratings,10,FALSE),VLOOKUP(B32,ratings,9,FALSE))</f>
        <v>F1</v>
      </c>
      <c r="F32" s="1" t="str">
        <f>VLOOKUP(B32,ratings,11,FALSE)</f>
        <v>STABLE</v>
      </c>
      <c r="G32" s="1" t="str">
        <f>IF(VLOOKUP(B32,ratings,2,FALSE)="-",VLOOKUP(B32,ratings,3,FALSE),VLOOKUP(B32,ratings,2,FALSE))</f>
        <v>A1(cr)</v>
      </c>
      <c r="H32" s="1" t="str">
        <f>IF(VLOOKUP(B32,ratings,4,FALSE)="-",VLOOKUP(B32,ratings,5,FALSE),VLOOKUP(B32,ratings,4,FALSE))</f>
        <v>P-1(cr)</v>
      </c>
      <c r="I32" s="1" t="str">
        <f>VLOOKUP(B32,ratings,6,FALSE)</f>
        <v>STABLE</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tr">
        <f>'23. Swap Counterparty Data'!B41</f>
        <v>Ratings as of 31.08.2025, data source: Bloomberg</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topLeftCell="A8" zoomScale="80" zoomScaleNormal="100" zoomScaleSheetLayoutView="80" workbookViewId="0">
      <selection activeCell="B3" sqref="B3"/>
    </sheetView>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tr">
        <f>'Cover Sheet'!B2</f>
        <v>SC Germany Consumer 2022-1</v>
      </c>
      <c r="C2" s="104"/>
      <c r="D2" s="105"/>
      <c r="E2" s="1042" t="str">
        <f>'Cover Sheet'!D2</f>
        <v>Calculation Date</v>
      </c>
      <c r="F2" s="1039"/>
      <c r="G2" s="107"/>
      <c r="H2" s="108">
        <f>'Cover Sheet'!F2</f>
        <v>45911</v>
      </c>
      <c r="I2" s="155"/>
      <c r="J2" s="107"/>
      <c r="K2" s="107"/>
      <c r="L2" s="109"/>
      <c r="M2" s="10"/>
      <c r="N2" s="110"/>
      <c r="O2" s="105"/>
      <c r="P2" s="105"/>
    </row>
    <row r="3" spans="1:16" s="102" customFormat="1" ht="18">
      <c r="A3" s="103"/>
      <c r="B3" s="104" t="str">
        <f>'Cover Sheet'!B3</f>
        <v>Monthly Investor Report</v>
      </c>
      <c r="C3" s="104"/>
      <c r="D3" s="105"/>
      <c r="E3" s="1043" t="str">
        <f>'Cover Sheet'!D3</f>
        <v>Payment Date</v>
      </c>
      <c r="F3" s="1044"/>
      <c r="G3" s="114"/>
      <c r="H3" s="114">
        <f>'Cover Sheet'!F3</f>
        <v>45915</v>
      </c>
      <c r="I3" s="156"/>
      <c r="J3" s="113"/>
      <c r="K3" s="113"/>
      <c r="L3" s="115"/>
      <c r="M3" s="10"/>
      <c r="N3" s="110"/>
      <c r="O3" s="105"/>
      <c r="P3" s="105"/>
    </row>
    <row r="4" spans="1:16" s="102" customFormat="1" ht="15.5">
      <c r="A4" s="103"/>
      <c r="B4" s="157"/>
      <c r="C4" s="158"/>
      <c r="D4" s="105"/>
      <c r="E4" s="1043" t="str">
        <f>'Cover Sheet'!D4</f>
        <v>Period  No</v>
      </c>
      <c r="F4" s="1044"/>
      <c r="G4" s="117"/>
      <c r="H4" s="117">
        <f>'Cover Sheet'!F4</f>
        <v>35</v>
      </c>
      <c r="I4" s="159"/>
      <c r="J4" s="118"/>
      <c r="K4" s="113"/>
      <c r="L4" s="119"/>
      <c r="M4" s="10"/>
      <c r="N4" s="110"/>
      <c r="O4" s="105"/>
      <c r="P4" s="105"/>
    </row>
    <row r="5" spans="1:16" s="102" customFormat="1" ht="18">
      <c r="A5" s="103"/>
      <c r="B5" s="160" t="s">
        <v>376</v>
      </c>
      <c r="C5" s="120"/>
      <c r="D5" s="105"/>
      <c r="E5" s="1043" t="str">
        <f>'Cover Sheet'!D5</f>
        <v>Monthly Period</v>
      </c>
      <c r="F5" s="1044"/>
      <c r="G5" s="161"/>
      <c r="H5" s="121">
        <f>'Cover Sheet'!F5</f>
        <v>45915</v>
      </c>
      <c r="I5" s="113"/>
      <c r="J5" s="118"/>
      <c r="K5" s="113"/>
      <c r="L5" s="119"/>
      <c r="M5" s="10"/>
      <c r="N5" s="110"/>
      <c r="O5" s="105"/>
      <c r="P5" s="105"/>
    </row>
    <row r="6" spans="1:16" s="102" customFormat="1" ht="15" customHeight="1">
      <c r="A6" s="103"/>
      <c r="B6" s="122"/>
      <c r="C6" s="111"/>
      <c r="D6" s="105"/>
      <c r="E6" s="1034" t="str">
        <f>'Cover Sheet'!D6</f>
        <v>Interest Period</v>
      </c>
      <c r="F6" s="1035"/>
      <c r="G6" s="114" t="s">
        <v>34</v>
      </c>
      <c r="H6" s="114">
        <f>'Cover Sheet'!F6</f>
        <v>45883</v>
      </c>
      <c r="I6" s="114" t="s">
        <v>4</v>
      </c>
      <c r="J6" s="114">
        <f>'Cover Sheet'!$H$6</f>
        <v>45915</v>
      </c>
      <c r="K6" s="114" t="s">
        <v>15</v>
      </c>
      <c r="L6" s="162" t="str">
        <f>'Cover Sheet'!$J$6</f>
        <v>32 days</v>
      </c>
      <c r="M6" s="10"/>
      <c r="N6" s="163"/>
      <c r="O6" s="105"/>
      <c r="P6" s="105"/>
    </row>
    <row r="7" spans="1:16" s="102" customFormat="1" ht="15.5">
      <c r="A7" s="103"/>
      <c r="B7" s="105"/>
      <c r="C7" s="105"/>
      <c r="D7" s="164"/>
      <c r="E7" s="1036" t="str">
        <f>'Cover Sheet'!D7</f>
        <v>Collection Period</v>
      </c>
      <c r="F7" s="1037"/>
      <c r="G7" s="129" t="s">
        <v>34</v>
      </c>
      <c r="H7" s="129" t="str">
        <f>'Cover Sheet'!F7</f>
        <v>01.08.2025</v>
      </c>
      <c r="I7" s="129" t="s">
        <v>4</v>
      </c>
      <c r="J7" s="129">
        <f>'Cover Sheet'!H7</f>
        <v>45900</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206</v>
      </c>
      <c r="C15" s="25"/>
      <c r="D15" s="64" t="s">
        <v>207</v>
      </c>
      <c r="E15" s="64"/>
      <c r="F15" s="70"/>
      <c r="G15" s="176"/>
      <c r="H15" s="176"/>
      <c r="I15" s="176"/>
      <c r="J15" s="176"/>
      <c r="K15" s="177"/>
      <c r="L15" s="178"/>
      <c r="M15" s="178"/>
      <c r="N15" s="179"/>
      <c r="P15" s="175"/>
    </row>
    <row r="16" spans="1:16">
      <c r="A16" s="180"/>
      <c r="B16" s="25"/>
      <c r="C16" s="25"/>
      <c r="D16" s="64" t="s">
        <v>208</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209</v>
      </c>
      <c r="C18" s="25"/>
      <c r="D18" s="64" t="s">
        <v>210</v>
      </c>
      <c r="E18" s="64"/>
      <c r="F18" s="71"/>
      <c r="G18" s="71"/>
      <c r="H18" s="71"/>
      <c r="I18" s="71"/>
      <c r="J18" s="71"/>
      <c r="K18" s="182"/>
      <c r="L18" s="182"/>
      <c r="M18" s="182"/>
      <c r="N18" s="179"/>
      <c r="P18" s="175"/>
    </row>
    <row r="19" spans="1:16" ht="13">
      <c r="A19" s="180"/>
      <c r="B19" s="24"/>
      <c r="C19" s="25"/>
      <c r="D19" s="64" t="s">
        <v>211</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212</v>
      </c>
      <c r="C21" s="25"/>
      <c r="D21" s="64" t="s">
        <v>213</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214</v>
      </c>
      <c r="C23" s="25"/>
      <c r="D23" s="64" t="s">
        <v>1023</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215</v>
      </c>
      <c r="C25" s="25"/>
      <c r="D25" s="64" t="s">
        <v>216</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217</v>
      </c>
      <c r="C27" s="25"/>
      <c r="D27" s="25" t="s">
        <v>1024</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218</v>
      </c>
      <c r="C29" s="25"/>
      <c r="D29" s="64" t="s">
        <v>219</v>
      </c>
      <c r="E29" s="64"/>
      <c r="F29" s="185"/>
      <c r="G29" s="185"/>
      <c r="H29" s="185"/>
      <c r="I29" s="185"/>
      <c r="J29" s="185"/>
      <c r="K29" s="185"/>
      <c r="L29" s="185"/>
      <c r="M29" s="185"/>
      <c r="N29" s="186"/>
      <c r="O29" s="105"/>
      <c r="P29" s="105"/>
    </row>
    <row r="30" spans="1:16" s="102" customFormat="1" ht="12.75" customHeight="1">
      <c r="A30" s="103"/>
      <c r="B30" s="25"/>
      <c r="C30" s="25"/>
      <c r="D30" s="64" t="s">
        <v>1025</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220</v>
      </c>
      <c r="C32" s="25"/>
      <c r="D32" s="64" t="s">
        <v>1026</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221</v>
      </c>
      <c r="C34" s="192"/>
      <c r="D34" s="64" t="s">
        <v>1027</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9"/>
  <sheetViews>
    <sheetView workbookViewId="0"/>
  </sheetViews>
  <sheetFormatPr baseColWidth="10" defaultColWidth="8.7265625" defaultRowHeight="12.5"/>
  <cols>
    <col min="1" max="1" width="13" customWidth="1"/>
    <col min="2" max="2" width="41" customWidth="1"/>
    <col min="3" max="4" width="13" customWidth="1"/>
  </cols>
  <sheetData>
    <row r="1" spans="1:4">
      <c r="A1" t="s">
        <v>633</v>
      </c>
      <c r="B1" t="s">
        <v>634</v>
      </c>
      <c r="C1" t="s">
        <v>635</v>
      </c>
      <c r="D1" t="s">
        <v>636</v>
      </c>
    </row>
    <row r="2" spans="1:4">
      <c r="A2" t="s">
        <v>1028</v>
      </c>
      <c r="B2" t="s">
        <v>1044</v>
      </c>
      <c r="C2">
        <v>6472</v>
      </c>
      <c r="D2">
        <v>6468494.5600000182</v>
      </c>
    </row>
    <row r="3" spans="1:4">
      <c r="A3" t="s">
        <v>1028</v>
      </c>
      <c r="B3" t="s">
        <v>1045</v>
      </c>
      <c r="C3">
        <v>5454</v>
      </c>
      <c r="D3">
        <v>16186769.379999978</v>
      </c>
    </row>
    <row r="4" spans="1:4">
      <c r="A4" t="s">
        <v>1028</v>
      </c>
      <c r="B4" t="s">
        <v>1046</v>
      </c>
      <c r="C4">
        <v>4406</v>
      </c>
      <c r="D4">
        <v>21998347.33999991</v>
      </c>
    </row>
    <row r="5" spans="1:4">
      <c r="A5" t="s">
        <v>1028</v>
      </c>
      <c r="B5" t="s">
        <v>1047</v>
      </c>
      <c r="C5">
        <v>3596</v>
      </c>
      <c r="D5">
        <v>24887500.310000006</v>
      </c>
    </row>
    <row r="6" spans="1:4">
      <c r="A6" t="s">
        <v>1028</v>
      </c>
      <c r="B6" t="s">
        <v>1048</v>
      </c>
      <c r="C6">
        <v>2778</v>
      </c>
      <c r="D6">
        <v>25007188.809999965</v>
      </c>
    </row>
    <row r="7" spans="1:4">
      <c r="A7" t="s">
        <v>1028</v>
      </c>
      <c r="B7" t="s">
        <v>1049</v>
      </c>
      <c r="C7">
        <v>2314</v>
      </c>
      <c r="D7">
        <v>25402651.519999988</v>
      </c>
    </row>
    <row r="8" spans="1:4">
      <c r="A8" t="s">
        <v>1028</v>
      </c>
      <c r="B8" t="s">
        <v>1050</v>
      </c>
      <c r="C8">
        <v>2138</v>
      </c>
      <c r="D8">
        <v>27741330.919999976</v>
      </c>
    </row>
    <row r="9" spans="1:4">
      <c r="A9" t="s">
        <v>1028</v>
      </c>
      <c r="B9" t="s">
        <v>1051</v>
      </c>
      <c r="C9">
        <v>1857</v>
      </c>
      <c r="D9">
        <v>27881280.890000001</v>
      </c>
    </row>
    <row r="10" spans="1:4">
      <c r="A10" t="s">
        <v>1028</v>
      </c>
      <c r="B10" t="s">
        <v>1052</v>
      </c>
      <c r="C10">
        <v>1530</v>
      </c>
      <c r="D10">
        <v>25896067.970000047</v>
      </c>
    </row>
    <row r="11" spans="1:4">
      <c r="A11" t="s">
        <v>1028</v>
      </c>
      <c r="B11" t="s">
        <v>1053</v>
      </c>
      <c r="C11">
        <v>1484</v>
      </c>
      <c r="D11">
        <v>28158561.989999972</v>
      </c>
    </row>
    <row r="12" spans="1:4">
      <c r="A12" t="s">
        <v>1028</v>
      </c>
      <c r="B12" t="s">
        <v>1054</v>
      </c>
      <c r="C12">
        <v>1180</v>
      </c>
      <c r="D12">
        <v>24718185.280000005</v>
      </c>
    </row>
    <row r="13" spans="1:4">
      <c r="A13" t="s">
        <v>1028</v>
      </c>
      <c r="B13" t="s">
        <v>1055</v>
      </c>
      <c r="C13">
        <v>926</v>
      </c>
      <c r="D13">
        <v>21254418.140000012</v>
      </c>
    </row>
    <row r="14" spans="1:4">
      <c r="A14" t="s">
        <v>1028</v>
      </c>
      <c r="B14" t="s">
        <v>1056</v>
      </c>
      <c r="C14">
        <v>821</v>
      </c>
      <c r="D14">
        <v>20489238.169999987</v>
      </c>
    </row>
    <row r="15" spans="1:4">
      <c r="A15" t="s">
        <v>1028</v>
      </c>
      <c r="B15" t="s">
        <v>1057</v>
      </c>
      <c r="C15">
        <v>715</v>
      </c>
      <c r="D15">
        <v>19286222.660000004</v>
      </c>
    </row>
    <row r="16" spans="1:4">
      <c r="A16" t="s">
        <v>1028</v>
      </c>
      <c r="B16" t="s">
        <v>1058</v>
      </c>
      <c r="C16">
        <v>624</v>
      </c>
      <c r="D16">
        <v>18089312.840000007</v>
      </c>
    </row>
    <row r="17" spans="1:4">
      <c r="A17" t="s">
        <v>1028</v>
      </c>
      <c r="B17" t="s">
        <v>1059</v>
      </c>
      <c r="C17">
        <v>663</v>
      </c>
      <c r="D17">
        <v>20568192.820000004</v>
      </c>
    </row>
    <row r="18" spans="1:4">
      <c r="A18" t="s">
        <v>1028</v>
      </c>
      <c r="B18" t="s">
        <v>1060</v>
      </c>
      <c r="C18">
        <v>514</v>
      </c>
      <c r="D18">
        <v>16960866.999999993</v>
      </c>
    </row>
    <row r="19" spans="1:4">
      <c r="A19" t="s">
        <v>1028</v>
      </c>
      <c r="B19" t="s">
        <v>1061</v>
      </c>
      <c r="C19">
        <v>423</v>
      </c>
      <c r="D19">
        <v>14761150.739999998</v>
      </c>
    </row>
    <row r="20" spans="1:4">
      <c r="A20" t="s">
        <v>1028</v>
      </c>
      <c r="B20" t="s">
        <v>1062</v>
      </c>
      <c r="C20">
        <v>412</v>
      </c>
      <c r="D20">
        <v>15242984.530000011</v>
      </c>
    </row>
    <row r="21" spans="1:4">
      <c r="A21" t="s">
        <v>1028</v>
      </c>
      <c r="B21" t="s">
        <v>1063</v>
      </c>
      <c r="C21">
        <v>294</v>
      </c>
      <c r="D21">
        <v>11448591.539999997</v>
      </c>
    </row>
    <row r="22" spans="1:4">
      <c r="A22" t="s">
        <v>1028</v>
      </c>
      <c r="B22" t="s">
        <v>1064</v>
      </c>
      <c r="C22">
        <v>261</v>
      </c>
      <c r="D22">
        <v>10707173.369999995</v>
      </c>
    </row>
    <row r="23" spans="1:4">
      <c r="A23" t="s">
        <v>1028</v>
      </c>
      <c r="B23" t="s">
        <v>1065</v>
      </c>
      <c r="C23">
        <v>219</v>
      </c>
      <c r="D23">
        <v>9410176.6599999964</v>
      </c>
    </row>
    <row r="24" spans="1:4">
      <c r="A24" t="s">
        <v>1028</v>
      </c>
      <c r="B24" t="s">
        <v>1066</v>
      </c>
      <c r="C24">
        <v>201</v>
      </c>
      <c r="D24">
        <v>9040577.5500000026</v>
      </c>
    </row>
    <row r="25" spans="1:4">
      <c r="A25" t="s">
        <v>1028</v>
      </c>
      <c r="B25" t="s">
        <v>1067</v>
      </c>
      <c r="C25">
        <v>170</v>
      </c>
      <c r="D25">
        <v>7989406.4999999991</v>
      </c>
    </row>
    <row r="26" spans="1:4">
      <c r="A26" t="s">
        <v>1028</v>
      </c>
      <c r="B26" t="s">
        <v>1068</v>
      </c>
      <c r="C26">
        <v>130</v>
      </c>
      <c r="D26">
        <v>6366312.5199999996</v>
      </c>
    </row>
    <row r="27" spans="1:4">
      <c r="A27" t="s">
        <v>1028</v>
      </c>
      <c r="B27" t="s">
        <v>1069</v>
      </c>
      <c r="C27">
        <v>94</v>
      </c>
      <c r="D27">
        <v>4796975.6799999988</v>
      </c>
    </row>
    <row r="28" spans="1:4">
      <c r="A28" t="s">
        <v>1028</v>
      </c>
      <c r="B28" t="s">
        <v>1070</v>
      </c>
      <c r="C28">
        <v>73</v>
      </c>
      <c r="D28">
        <v>3866266.9599999995</v>
      </c>
    </row>
    <row r="29" spans="1:4">
      <c r="A29" t="s">
        <v>1028</v>
      </c>
      <c r="B29" t="s">
        <v>1071</v>
      </c>
      <c r="C29">
        <v>55</v>
      </c>
      <c r="D29">
        <v>3020194.9299999997</v>
      </c>
    </row>
    <row r="30" spans="1:4">
      <c r="A30" t="s">
        <v>1028</v>
      </c>
      <c r="B30" t="s">
        <v>1072</v>
      </c>
      <c r="C30">
        <v>41</v>
      </c>
      <c r="D30">
        <v>2332116.8299999996</v>
      </c>
    </row>
    <row r="31" spans="1:4">
      <c r="A31" t="s">
        <v>1028</v>
      </c>
      <c r="B31" t="s">
        <v>1073</v>
      </c>
      <c r="C31">
        <v>31</v>
      </c>
      <c r="D31">
        <v>1826272.26</v>
      </c>
    </row>
    <row r="32" spans="1:4">
      <c r="A32" t="s">
        <v>1028</v>
      </c>
      <c r="B32" t="s">
        <v>1074</v>
      </c>
      <c r="C32">
        <v>21</v>
      </c>
      <c r="D32">
        <v>1278455.6900000002</v>
      </c>
    </row>
    <row r="33" spans="1:4">
      <c r="A33" t="s">
        <v>1028</v>
      </c>
      <c r="B33" t="s">
        <v>1075</v>
      </c>
      <c r="C33">
        <v>19</v>
      </c>
      <c r="D33">
        <v>1196431.1399999999</v>
      </c>
    </row>
    <row r="34" spans="1:4">
      <c r="A34" t="s">
        <v>1028</v>
      </c>
      <c r="B34" t="s">
        <v>1076</v>
      </c>
      <c r="C34">
        <v>23</v>
      </c>
      <c r="D34">
        <v>1494768.4200000002</v>
      </c>
    </row>
    <row r="35" spans="1:4">
      <c r="A35" t="s">
        <v>1028</v>
      </c>
      <c r="B35" t="s">
        <v>1077</v>
      </c>
      <c r="C35">
        <v>6</v>
      </c>
      <c r="D35">
        <v>401817.73</v>
      </c>
    </row>
    <row r="36" spans="1:4">
      <c r="A36" t="s">
        <v>1028</v>
      </c>
      <c r="B36" t="s">
        <v>1078</v>
      </c>
      <c r="C36">
        <v>5</v>
      </c>
      <c r="D36">
        <v>343495.23</v>
      </c>
    </row>
    <row r="37" spans="1:4">
      <c r="A37" t="s">
        <v>1028</v>
      </c>
      <c r="B37" t="s">
        <v>1079</v>
      </c>
      <c r="C37">
        <v>1</v>
      </c>
      <c r="D37">
        <v>71634.19</v>
      </c>
    </row>
    <row r="38" spans="1:4">
      <c r="A38" t="s">
        <v>1028</v>
      </c>
      <c r="B38" t="s">
        <v>1080</v>
      </c>
      <c r="C38">
        <v>1</v>
      </c>
      <c r="D38">
        <v>72267.429999999993</v>
      </c>
    </row>
    <row r="39" spans="1:4">
      <c r="A39" t="s">
        <v>1028</v>
      </c>
      <c r="B39" t="s">
        <v>1081</v>
      </c>
      <c r="C39">
        <v>1</v>
      </c>
      <c r="D39">
        <v>74083.69</v>
      </c>
    </row>
    <row r="40" spans="1:4">
      <c r="A40" t="s">
        <v>1030</v>
      </c>
      <c r="B40" t="s">
        <v>1082</v>
      </c>
      <c r="C40">
        <v>0</v>
      </c>
      <c r="D40">
        <v>0</v>
      </c>
    </row>
    <row r="41" spans="1:4">
      <c r="A41" t="s">
        <v>1028</v>
      </c>
      <c r="B41" t="s">
        <v>1083</v>
      </c>
      <c r="C41">
        <v>4</v>
      </c>
      <c r="D41">
        <v>315833.09999999998</v>
      </c>
    </row>
    <row r="42" spans="1:4">
      <c r="A42" t="s">
        <v>1028</v>
      </c>
      <c r="B42" t="s">
        <v>1084</v>
      </c>
      <c r="C42">
        <v>5</v>
      </c>
      <c r="D42">
        <v>455533.98000000004</v>
      </c>
    </row>
    <row r="43" spans="1:4">
      <c r="A43" t="s">
        <v>1028</v>
      </c>
      <c r="B43" t="s">
        <v>1085</v>
      </c>
      <c r="D43">
        <v>114</v>
      </c>
    </row>
    <row r="44" spans="1:4">
      <c r="A44" t="s">
        <v>1028</v>
      </c>
      <c r="B44" t="s">
        <v>1086</v>
      </c>
      <c r="C44">
        <v>116</v>
      </c>
      <c r="D44">
        <v>81419.749999999985</v>
      </c>
    </row>
    <row r="45" spans="1:4">
      <c r="A45" t="s">
        <v>1028</v>
      </c>
      <c r="B45" t="s">
        <v>1087</v>
      </c>
      <c r="C45">
        <v>799</v>
      </c>
      <c r="D45">
        <v>4947915.8699999936</v>
      </c>
    </row>
    <row r="46" spans="1:4">
      <c r="A46" t="s">
        <v>1028</v>
      </c>
      <c r="B46" t="s">
        <v>1088</v>
      </c>
      <c r="C46">
        <v>7687</v>
      </c>
      <c r="D46">
        <v>83243662.459999725</v>
      </c>
    </row>
    <row r="47" spans="1:4">
      <c r="A47" t="s">
        <v>1028</v>
      </c>
      <c r="B47" t="s">
        <v>1089</v>
      </c>
      <c r="C47">
        <v>5046</v>
      </c>
      <c r="D47">
        <v>57423263.369999997</v>
      </c>
    </row>
    <row r="48" spans="1:4">
      <c r="A48" t="s">
        <v>1028</v>
      </c>
      <c r="B48" t="s">
        <v>1090</v>
      </c>
      <c r="C48">
        <v>4650</v>
      </c>
      <c r="D48">
        <v>54910440.389999993</v>
      </c>
    </row>
    <row r="49" spans="1:4">
      <c r="A49" t="s">
        <v>1028</v>
      </c>
      <c r="B49" t="s">
        <v>1091</v>
      </c>
      <c r="C49">
        <v>4806</v>
      </c>
      <c r="D49">
        <v>62591144.329999946</v>
      </c>
    </row>
    <row r="50" spans="1:4">
      <c r="A50" t="s">
        <v>1028</v>
      </c>
      <c r="B50" t="s">
        <v>1092</v>
      </c>
      <c r="C50">
        <v>7018</v>
      </c>
      <c r="D50">
        <v>92141831.57999967</v>
      </c>
    </row>
    <row r="51" spans="1:4">
      <c r="A51" t="s">
        <v>1028</v>
      </c>
      <c r="B51" t="s">
        <v>1093</v>
      </c>
      <c r="C51">
        <v>5466</v>
      </c>
      <c r="D51">
        <v>71120139.52000007</v>
      </c>
    </row>
    <row r="52" spans="1:4">
      <c r="A52" t="s">
        <v>1028</v>
      </c>
      <c r="B52" t="s">
        <v>1094</v>
      </c>
      <c r="C52">
        <v>2655</v>
      </c>
      <c r="D52">
        <v>34131652.519999959</v>
      </c>
    </row>
    <row r="53" spans="1:4">
      <c r="A53" t="s">
        <v>1028</v>
      </c>
      <c r="B53" t="s">
        <v>1095</v>
      </c>
      <c r="C53">
        <v>1173</v>
      </c>
      <c r="D53">
        <v>11994252.319999991</v>
      </c>
    </row>
    <row r="54" spans="1:4">
      <c r="A54" t="s">
        <v>1028</v>
      </c>
      <c r="B54" t="s">
        <v>1096</v>
      </c>
      <c r="C54">
        <v>364</v>
      </c>
      <c r="D54">
        <v>3469337.4399999981</v>
      </c>
    </row>
    <row r="55" spans="1:4">
      <c r="A55" t="s">
        <v>1028</v>
      </c>
      <c r="B55" t="s">
        <v>1097</v>
      </c>
      <c r="C55">
        <v>118</v>
      </c>
      <c r="D55">
        <v>1059991.2100000002</v>
      </c>
    </row>
    <row r="56" spans="1:4">
      <c r="A56" t="s">
        <v>1028</v>
      </c>
      <c r="B56" t="s">
        <v>1098</v>
      </c>
      <c r="C56">
        <v>49</v>
      </c>
      <c r="D56">
        <v>328421.22000000003</v>
      </c>
    </row>
    <row r="57" spans="1:4">
      <c r="A57" t="s">
        <v>1028</v>
      </c>
      <c r="B57" t="s">
        <v>1099</v>
      </c>
      <c r="C57">
        <v>15</v>
      </c>
      <c r="D57">
        <v>63679.29</v>
      </c>
    </row>
    <row r="58" spans="1:4">
      <c r="A58" t="s">
        <v>1028</v>
      </c>
      <c r="B58" t="s">
        <v>1100</v>
      </c>
      <c r="D58">
        <v>39962</v>
      </c>
    </row>
    <row r="59" spans="1:4">
      <c r="A59" t="s">
        <v>1028</v>
      </c>
      <c r="B59" t="s">
        <v>1101</v>
      </c>
      <c r="D59">
        <v>40914</v>
      </c>
    </row>
    <row r="60" spans="1:4">
      <c r="A60" t="s">
        <v>1028</v>
      </c>
      <c r="B60" t="s">
        <v>1102</v>
      </c>
      <c r="C60">
        <v>783</v>
      </c>
      <c r="D60">
        <v>1039431.7499999993</v>
      </c>
    </row>
    <row r="61" spans="1:4">
      <c r="A61" t="s">
        <v>1028</v>
      </c>
      <c r="B61" t="s">
        <v>1103</v>
      </c>
      <c r="C61">
        <v>3178</v>
      </c>
      <c r="D61">
        <v>9128966.9299999215</v>
      </c>
    </row>
    <row r="62" spans="1:4">
      <c r="A62" t="s">
        <v>1028</v>
      </c>
      <c r="B62" t="s">
        <v>1104</v>
      </c>
      <c r="C62">
        <v>3926</v>
      </c>
      <c r="D62">
        <v>19223234.390000183</v>
      </c>
    </row>
    <row r="63" spans="1:4">
      <c r="A63" t="s">
        <v>1028</v>
      </c>
      <c r="B63" t="s">
        <v>1105</v>
      </c>
      <c r="C63">
        <v>3423</v>
      </c>
      <c r="D63">
        <v>23584819.649999976</v>
      </c>
    </row>
    <row r="64" spans="1:4">
      <c r="A64" t="s">
        <v>1028</v>
      </c>
      <c r="B64" t="s">
        <v>1106</v>
      </c>
      <c r="C64">
        <v>2546</v>
      </c>
      <c r="D64">
        <v>22441182.679999955</v>
      </c>
    </row>
    <row r="65" spans="1:4">
      <c r="A65" t="s">
        <v>1028</v>
      </c>
      <c r="B65" t="s">
        <v>1107</v>
      </c>
      <c r="C65">
        <v>3302</v>
      </c>
      <c r="D65">
        <v>35056494.789999984</v>
      </c>
    </row>
    <row r="66" spans="1:4">
      <c r="A66" t="s">
        <v>1028</v>
      </c>
      <c r="B66" t="s">
        <v>1108</v>
      </c>
      <c r="C66">
        <v>2040</v>
      </c>
      <c r="D66">
        <v>26126857.280000072</v>
      </c>
    </row>
    <row r="67" spans="1:4">
      <c r="A67" t="s">
        <v>1028</v>
      </c>
      <c r="B67" t="s">
        <v>1109</v>
      </c>
      <c r="C67">
        <v>2195</v>
      </c>
      <c r="D67">
        <v>32906857.190000132</v>
      </c>
    </row>
    <row r="68" spans="1:4">
      <c r="A68" t="s">
        <v>1028</v>
      </c>
      <c r="B68" t="s">
        <v>1110</v>
      </c>
      <c r="C68">
        <v>1433</v>
      </c>
      <c r="D68">
        <v>24207621.460000008</v>
      </c>
    </row>
    <row r="69" spans="1:4">
      <c r="A69" t="s">
        <v>1028</v>
      </c>
      <c r="B69" t="s">
        <v>1111</v>
      </c>
      <c r="C69">
        <v>1289</v>
      </c>
      <c r="D69">
        <v>24289405.420000002</v>
      </c>
    </row>
    <row r="70" spans="1:4">
      <c r="A70" t="s">
        <v>1028</v>
      </c>
      <c r="B70" t="s">
        <v>1112</v>
      </c>
      <c r="C70">
        <v>2010</v>
      </c>
      <c r="D70">
        <v>41426215.07999979</v>
      </c>
    </row>
    <row r="71" spans="1:4">
      <c r="A71" t="s">
        <v>1028</v>
      </c>
      <c r="B71" t="s">
        <v>1113</v>
      </c>
      <c r="C71">
        <v>1154</v>
      </c>
      <c r="D71">
        <v>26391146.190000035</v>
      </c>
    </row>
    <row r="72" spans="1:4">
      <c r="A72" t="s">
        <v>1028</v>
      </c>
      <c r="B72" t="s">
        <v>1114</v>
      </c>
      <c r="C72">
        <v>1513</v>
      </c>
      <c r="D72">
        <v>37710427.910000019</v>
      </c>
    </row>
    <row r="73" spans="1:4">
      <c r="A73" t="s">
        <v>1028</v>
      </c>
      <c r="B73" t="s">
        <v>1115</v>
      </c>
      <c r="C73">
        <v>998</v>
      </c>
      <c r="D73">
        <v>26776090.650000066</v>
      </c>
    </row>
    <row r="74" spans="1:4">
      <c r="A74" t="s">
        <v>1028</v>
      </c>
      <c r="B74" t="s">
        <v>1116</v>
      </c>
      <c r="C74">
        <v>882</v>
      </c>
      <c r="D74">
        <v>25506896.189999975</v>
      </c>
    </row>
    <row r="75" spans="1:4">
      <c r="A75" t="s">
        <v>1028</v>
      </c>
      <c r="B75" t="s">
        <v>1117</v>
      </c>
      <c r="C75">
        <v>1324</v>
      </c>
      <c r="D75">
        <v>40538709.400000036</v>
      </c>
    </row>
    <row r="76" spans="1:4">
      <c r="A76" t="s">
        <v>1028</v>
      </c>
      <c r="B76" t="s">
        <v>1118</v>
      </c>
      <c r="C76">
        <v>667</v>
      </c>
      <c r="D76">
        <v>21885041.65000001</v>
      </c>
    </row>
    <row r="77" spans="1:4">
      <c r="A77" t="s">
        <v>1028</v>
      </c>
      <c r="B77" t="s">
        <v>1119</v>
      </c>
      <c r="C77">
        <v>763</v>
      </c>
      <c r="D77">
        <v>26638344.069999978</v>
      </c>
    </row>
    <row r="78" spans="1:4">
      <c r="A78" t="s">
        <v>1028</v>
      </c>
      <c r="B78" t="s">
        <v>1120</v>
      </c>
      <c r="C78">
        <v>591</v>
      </c>
      <c r="D78">
        <v>21806589.139999967</v>
      </c>
    </row>
    <row r="79" spans="1:4">
      <c r="A79" t="s">
        <v>1028</v>
      </c>
      <c r="B79" t="s">
        <v>1121</v>
      </c>
      <c r="C79">
        <v>452</v>
      </c>
      <c r="D79">
        <v>17601766.760000005</v>
      </c>
    </row>
    <row r="80" spans="1:4">
      <c r="A80" t="s">
        <v>1028</v>
      </c>
      <c r="B80" t="s">
        <v>1122</v>
      </c>
      <c r="C80">
        <v>700</v>
      </c>
      <c r="D80">
        <v>28446424.099999882</v>
      </c>
    </row>
    <row r="81" spans="1:4">
      <c r="A81" t="s">
        <v>1028</v>
      </c>
      <c r="B81" t="s">
        <v>1123</v>
      </c>
      <c r="C81">
        <v>399</v>
      </c>
      <c r="D81">
        <v>17103571.649999987</v>
      </c>
    </row>
    <row r="82" spans="1:4">
      <c r="A82" t="s">
        <v>1028</v>
      </c>
      <c r="B82" t="s">
        <v>1124</v>
      </c>
      <c r="C82">
        <v>485</v>
      </c>
      <c r="D82">
        <v>21798907.199999981</v>
      </c>
    </row>
    <row r="83" spans="1:4">
      <c r="A83" t="s">
        <v>1028</v>
      </c>
      <c r="B83" t="s">
        <v>1125</v>
      </c>
      <c r="C83">
        <v>353</v>
      </c>
      <c r="D83">
        <v>16585218.989999991</v>
      </c>
    </row>
    <row r="84" spans="1:4">
      <c r="A84" t="s">
        <v>1028</v>
      </c>
      <c r="B84" t="s">
        <v>1126</v>
      </c>
      <c r="C84">
        <v>327</v>
      </c>
      <c r="D84">
        <v>15977848.609999994</v>
      </c>
    </row>
    <row r="85" spans="1:4">
      <c r="A85" t="s">
        <v>1028</v>
      </c>
      <c r="B85" t="s">
        <v>1127</v>
      </c>
      <c r="C85">
        <v>578</v>
      </c>
      <c r="D85">
        <v>29095240.239999991</v>
      </c>
    </row>
    <row r="86" spans="1:4">
      <c r="A86" t="s">
        <v>1028</v>
      </c>
      <c r="B86" t="s">
        <v>1128</v>
      </c>
      <c r="C86">
        <v>294</v>
      </c>
      <c r="D86">
        <v>15549712.050000014</v>
      </c>
    </row>
    <row r="87" spans="1:4">
      <c r="A87" t="s">
        <v>1028</v>
      </c>
      <c r="B87" t="s">
        <v>1129</v>
      </c>
      <c r="C87">
        <v>279</v>
      </c>
      <c r="D87">
        <v>15330874.130000008</v>
      </c>
    </row>
    <row r="88" spans="1:4">
      <c r="A88" t="s">
        <v>1028</v>
      </c>
      <c r="B88" t="s">
        <v>1130</v>
      </c>
      <c r="C88">
        <v>189</v>
      </c>
      <c r="D88">
        <v>10772162.759999998</v>
      </c>
    </row>
    <row r="89" spans="1:4">
      <c r="A89" t="s">
        <v>1028</v>
      </c>
      <c r="B89" t="s">
        <v>1131</v>
      </c>
      <c r="C89">
        <v>187</v>
      </c>
      <c r="D89">
        <v>11013950.290000007</v>
      </c>
    </row>
    <row r="90" spans="1:4">
      <c r="A90" t="s">
        <v>1028</v>
      </c>
      <c r="B90" t="s">
        <v>1132</v>
      </c>
      <c r="C90">
        <v>341</v>
      </c>
      <c r="D90">
        <v>20594455.68999999</v>
      </c>
    </row>
    <row r="91" spans="1:4">
      <c r="A91" t="s">
        <v>1028</v>
      </c>
      <c r="B91" t="s">
        <v>1133</v>
      </c>
      <c r="C91">
        <v>168</v>
      </c>
      <c r="D91">
        <v>10577633.140000002</v>
      </c>
    </row>
    <row r="92" spans="1:4">
      <c r="A92" t="s">
        <v>1028</v>
      </c>
      <c r="B92" t="s">
        <v>1134</v>
      </c>
      <c r="C92">
        <v>176</v>
      </c>
      <c r="D92">
        <v>11424926.799999997</v>
      </c>
    </row>
    <row r="93" spans="1:4">
      <c r="A93" t="s">
        <v>1028</v>
      </c>
      <c r="B93" t="s">
        <v>1135</v>
      </c>
      <c r="C93">
        <v>112</v>
      </c>
      <c r="D93">
        <v>7497812.5400000047</v>
      </c>
    </row>
    <row r="94" spans="1:4">
      <c r="A94" t="s">
        <v>1028</v>
      </c>
      <c r="B94" t="s">
        <v>1136</v>
      </c>
      <c r="C94">
        <v>106</v>
      </c>
      <c r="D94">
        <v>7299374.8900000025</v>
      </c>
    </row>
    <row r="95" spans="1:4">
      <c r="A95" t="s">
        <v>1028</v>
      </c>
      <c r="B95" t="s">
        <v>1137</v>
      </c>
      <c r="C95">
        <v>154</v>
      </c>
      <c r="D95">
        <v>10850824.029999999</v>
      </c>
    </row>
    <row r="96" spans="1:4">
      <c r="A96" t="s">
        <v>1028</v>
      </c>
      <c r="B96" t="s">
        <v>1138</v>
      </c>
      <c r="C96">
        <v>89</v>
      </c>
      <c r="D96">
        <v>6485874.8399999971</v>
      </c>
    </row>
    <row r="97" spans="1:4">
      <c r="A97" t="s">
        <v>1028</v>
      </c>
      <c r="B97" t="s">
        <v>1139</v>
      </c>
      <c r="C97">
        <v>223</v>
      </c>
      <c r="D97">
        <v>16711421.899999999</v>
      </c>
    </row>
    <row r="98" spans="1:4">
      <c r="A98" t="s">
        <v>1028</v>
      </c>
      <c r="B98" t="s">
        <v>1140</v>
      </c>
      <c r="C98">
        <v>50</v>
      </c>
      <c r="D98">
        <v>3851853.9300000006</v>
      </c>
    </row>
    <row r="99" spans="1:4">
      <c r="A99" t="s">
        <v>1028</v>
      </c>
      <c r="B99" t="s">
        <v>1141</v>
      </c>
      <c r="C99">
        <v>72</v>
      </c>
      <c r="D99">
        <v>5680628.7899999954</v>
      </c>
    </row>
    <row r="100" spans="1:4">
      <c r="A100" t="s">
        <v>1028</v>
      </c>
      <c r="B100" t="s">
        <v>1142</v>
      </c>
      <c r="C100">
        <v>46</v>
      </c>
      <c r="D100">
        <v>3714611.7000000007</v>
      </c>
    </row>
    <row r="101" spans="1:4">
      <c r="A101" t="s">
        <v>1028</v>
      </c>
      <c r="B101" t="s">
        <v>1143</v>
      </c>
      <c r="C101">
        <v>29</v>
      </c>
      <c r="D101">
        <v>2405833.5000000005</v>
      </c>
    </row>
    <row r="102" spans="1:4">
      <c r="A102" t="s">
        <v>1028</v>
      </c>
      <c r="B102" t="s">
        <v>1144</v>
      </c>
      <c r="C102">
        <v>47</v>
      </c>
      <c r="D102">
        <v>3991420.8699999996</v>
      </c>
    </row>
    <row r="103" spans="1:4">
      <c r="A103" t="s">
        <v>1028</v>
      </c>
      <c r="B103" t="s">
        <v>1145</v>
      </c>
      <c r="C103">
        <v>27</v>
      </c>
      <c r="D103">
        <v>2348393.1900000004</v>
      </c>
    </row>
    <row r="104" spans="1:4">
      <c r="A104" t="s">
        <v>1028</v>
      </c>
      <c r="B104" t="s">
        <v>1146</v>
      </c>
      <c r="C104">
        <v>20</v>
      </c>
      <c r="D104">
        <v>1780097.41</v>
      </c>
    </row>
    <row r="105" spans="1:4">
      <c r="A105" t="s">
        <v>1028</v>
      </c>
      <c r="B105" t="s">
        <v>1147</v>
      </c>
      <c r="C105">
        <v>9</v>
      </c>
      <c r="D105">
        <v>815162.87</v>
      </c>
    </row>
    <row r="106" spans="1:4">
      <c r="A106" t="s">
        <v>1028</v>
      </c>
      <c r="B106" t="s">
        <v>1148</v>
      </c>
      <c r="C106">
        <v>7</v>
      </c>
      <c r="D106">
        <v>650577.41999999993</v>
      </c>
    </row>
    <row r="107" spans="1:4">
      <c r="A107" t="s">
        <v>1028</v>
      </c>
      <c r="B107" t="s">
        <v>1149</v>
      </c>
      <c r="C107">
        <v>4</v>
      </c>
      <c r="D107">
        <v>378120.56999999995</v>
      </c>
    </row>
    <row r="108" spans="1:4">
      <c r="A108" t="s">
        <v>1028</v>
      </c>
      <c r="B108" t="s">
        <v>1150</v>
      </c>
      <c r="C108">
        <v>4</v>
      </c>
      <c r="D108">
        <v>387124.75999999995</v>
      </c>
    </row>
    <row r="109" spans="1:4">
      <c r="A109" t="s">
        <v>1028</v>
      </c>
      <c r="B109" t="s">
        <v>1151</v>
      </c>
      <c r="C109">
        <v>3</v>
      </c>
      <c r="D109">
        <v>295906.86</v>
      </c>
    </row>
    <row r="110" spans="1:4">
      <c r="A110" t="s">
        <v>1028</v>
      </c>
      <c r="B110" t="s">
        <v>1152</v>
      </c>
      <c r="C110">
        <v>15</v>
      </c>
      <c r="D110">
        <v>1840523.4200000002</v>
      </c>
    </row>
    <row r="111" spans="1:4">
      <c r="A111" t="s">
        <v>1029</v>
      </c>
      <c r="B111" t="s">
        <v>1153</v>
      </c>
      <c r="D111">
        <v>23297865.30999995</v>
      </c>
    </row>
    <row r="112" spans="1:4">
      <c r="A112" t="s">
        <v>1028</v>
      </c>
      <c r="B112" t="s">
        <v>1154</v>
      </c>
      <c r="C112">
        <v>1</v>
      </c>
      <c r="D112">
        <v>97773.46</v>
      </c>
    </row>
    <row r="113" spans="1:4">
      <c r="A113" t="s">
        <v>1028</v>
      </c>
      <c r="B113" t="s">
        <v>1155</v>
      </c>
      <c r="C113">
        <v>1</v>
      </c>
      <c r="D113">
        <v>74083.69</v>
      </c>
    </row>
    <row r="114" spans="1:4">
      <c r="A114" t="s">
        <v>1028</v>
      </c>
      <c r="B114" t="s">
        <v>1156</v>
      </c>
      <c r="C114">
        <v>1</v>
      </c>
      <c r="D114">
        <v>72267.429999999993</v>
      </c>
    </row>
    <row r="115" spans="1:4">
      <c r="A115" t="s">
        <v>1028</v>
      </c>
      <c r="B115" t="s">
        <v>1157</v>
      </c>
      <c r="C115">
        <v>1</v>
      </c>
      <c r="D115">
        <v>71634.19</v>
      </c>
    </row>
    <row r="116" spans="1:4">
      <c r="A116" t="s">
        <v>1028</v>
      </c>
      <c r="B116" t="s">
        <v>1158</v>
      </c>
      <c r="C116">
        <v>1</v>
      </c>
      <c r="D116">
        <v>69151.48</v>
      </c>
    </row>
    <row r="117" spans="1:4">
      <c r="A117" t="s">
        <v>1028</v>
      </c>
      <c r="B117" t="s">
        <v>1159</v>
      </c>
      <c r="C117">
        <v>1</v>
      </c>
      <c r="D117">
        <v>68803.48</v>
      </c>
    </row>
    <row r="118" spans="1:4">
      <c r="A118" t="s">
        <v>1028</v>
      </c>
      <c r="B118" t="s">
        <v>1160</v>
      </c>
      <c r="C118">
        <v>1</v>
      </c>
      <c r="D118">
        <v>68666.89</v>
      </c>
    </row>
    <row r="119" spans="1:4">
      <c r="A119" t="s">
        <v>1028</v>
      </c>
      <c r="B119" t="s">
        <v>1161</v>
      </c>
      <c r="C119">
        <v>1</v>
      </c>
      <c r="D119">
        <v>68607.08</v>
      </c>
    </row>
    <row r="120" spans="1:4">
      <c r="A120" t="s">
        <v>1028</v>
      </c>
      <c r="B120" t="s">
        <v>1162</v>
      </c>
      <c r="C120">
        <v>1</v>
      </c>
      <c r="D120">
        <v>68266.3</v>
      </c>
    </row>
    <row r="121" spans="1:4">
      <c r="A121" t="s">
        <v>1028</v>
      </c>
      <c r="B121" t="s">
        <v>1163</v>
      </c>
      <c r="C121">
        <v>1</v>
      </c>
      <c r="D121">
        <v>67951.53</v>
      </c>
    </row>
    <row r="122" spans="1:4">
      <c r="A122" t="s">
        <v>1028</v>
      </c>
      <c r="B122" t="s">
        <v>1164</v>
      </c>
      <c r="C122">
        <v>1</v>
      </c>
      <c r="D122">
        <v>67431.77</v>
      </c>
    </row>
    <row r="123" spans="1:4">
      <c r="A123" t="s">
        <v>1028</v>
      </c>
      <c r="B123" t="s">
        <v>1165</v>
      </c>
      <c r="C123">
        <v>1</v>
      </c>
      <c r="D123">
        <v>91670.69</v>
      </c>
    </row>
    <row r="124" spans="1:4">
      <c r="A124" t="s">
        <v>1028</v>
      </c>
      <c r="B124" t="s">
        <v>1166</v>
      </c>
      <c r="C124">
        <v>1</v>
      </c>
      <c r="D124">
        <v>67166.429999999993</v>
      </c>
    </row>
    <row r="125" spans="1:4">
      <c r="A125" t="s">
        <v>1028</v>
      </c>
      <c r="B125" t="s">
        <v>1167</v>
      </c>
      <c r="C125">
        <v>1</v>
      </c>
      <c r="D125">
        <v>66770.429999999993</v>
      </c>
    </row>
    <row r="126" spans="1:4">
      <c r="A126" t="s">
        <v>1028</v>
      </c>
      <c r="B126" t="s">
        <v>1168</v>
      </c>
      <c r="C126">
        <v>1</v>
      </c>
      <c r="D126">
        <v>66255.94</v>
      </c>
    </row>
    <row r="127" spans="1:4">
      <c r="A127" t="s">
        <v>1028</v>
      </c>
      <c r="B127" t="s">
        <v>1169</v>
      </c>
      <c r="C127">
        <v>1</v>
      </c>
      <c r="D127">
        <v>66241.63</v>
      </c>
    </row>
    <row r="128" spans="1:4">
      <c r="A128" t="s">
        <v>1028</v>
      </c>
      <c r="B128" t="s">
        <v>1170</v>
      </c>
      <c r="C128">
        <v>1</v>
      </c>
      <c r="D128">
        <v>65966.69</v>
      </c>
    </row>
    <row r="129" spans="1:4">
      <c r="A129" t="s">
        <v>1028</v>
      </c>
      <c r="B129" t="s">
        <v>1171</v>
      </c>
      <c r="C129">
        <v>1</v>
      </c>
      <c r="D129">
        <v>65952.800000000003</v>
      </c>
    </row>
    <row r="130" spans="1:4">
      <c r="A130" t="s">
        <v>1028</v>
      </c>
      <c r="B130" t="s">
        <v>1172</v>
      </c>
      <c r="C130">
        <v>1</v>
      </c>
      <c r="D130">
        <v>90905.08</v>
      </c>
    </row>
    <row r="131" spans="1:4">
      <c r="A131" t="s">
        <v>1028</v>
      </c>
      <c r="B131" t="s">
        <v>1173</v>
      </c>
      <c r="C131">
        <v>1</v>
      </c>
      <c r="D131">
        <v>89951.31</v>
      </c>
    </row>
    <row r="132" spans="1:4">
      <c r="A132" t="s">
        <v>1028</v>
      </c>
      <c r="B132" t="s">
        <v>1174</v>
      </c>
      <c r="C132">
        <v>1</v>
      </c>
      <c r="D132">
        <v>85233.44</v>
      </c>
    </row>
    <row r="133" spans="1:4">
      <c r="A133" t="s">
        <v>1028</v>
      </c>
      <c r="B133" t="s">
        <v>1175</v>
      </c>
      <c r="C133">
        <v>1</v>
      </c>
      <c r="D133">
        <v>79474.740000000005</v>
      </c>
    </row>
    <row r="134" spans="1:4">
      <c r="A134" t="s">
        <v>1028</v>
      </c>
      <c r="B134" t="s">
        <v>1176</v>
      </c>
      <c r="C134">
        <v>1</v>
      </c>
      <c r="D134">
        <v>79068.75</v>
      </c>
    </row>
    <row r="135" spans="1:4">
      <c r="A135" t="s">
        <v>1028</v>
      </c>
      <c r="B135" t="s">
        <v>1177</v>
      </c>
      <c r="C135">
        <v>1</v>
      </c>
      <c r="D135">
        <v>78816.850000000006</v>
      </c>
    </row>
    <row r="136" spans="1:4">
      <c r="A136" t="s">
        <v>1028</v>
      </c>
      <c r="B136" t="s">
        <v>1178</v>
      </c>
      <c r="C136">
        <v>1</v>
      </c>
      <c r="D136">
        <v>78472.759999999995</v>
      </c>
    </row>
    <row r="137" spans="1:4">
      <c r="A137" t="s">
        <v>1028</v>
      </c>
      <c r="B137" t="s">
        <v>1179</v>
      </c>
      <c r="C137">
        <v>457</v>
      </c>
      <c r="D137">
        <v>10824766.610000009</v>
      </c>
    </row>
    <row r="138" spans="1:4">
      <c r="A138" t="s">
        <v>1028</v>
      </c>
      <c r="B138" t="s">
        <v>1180</v>
      </c>
      <c r="C138">
        <v>39505</v>
      </c>
      <c r="D138">
        <v>466682384.65999836</v>
      </c>
    </row>
    <row r="139" spans="1:4">
      <c r="A139" t="s">
        <v>1028</v>
      </c>
      <c r="B139" t="s">
        <v>1181</v>
      </c>
      <c r="C139">
        <v>4987</v>
      </c>
      <c r="D139">
        <v>64183194.219999969</v>
      </c>
    </row>
    <row r="140" spans="1:4">
      <c r="A140" t="s">
        <v>1028</v>
      </c>
      <c r="B140" t="s">
        <v>1182</v>
      </c>
      <c r="C140">
        <v>5466</v>
      </c>
      <c r="D140">
        <v>66685004.04999996</v>
      </c>
    </row>
    <row r="141" spans="1:4">
      <c r="A141" t="s">
        <v>1028</v>
      </c>
      <c r="B141" t="s">
        <v>1183</v>
      </c>
      <c r="C141">
        <v>1567</v>
      </c>
      <c r="D141">
        <v>19003107.209999956</v>
      </c>
    </row>
    <row r="142" spans="1:4">
      <c r="A142" t="s">
        <v>1028</v>
      </c>
      <c r="B142" t="s">
        <v>1184</v>
      </c>
      <c r="C142">
        <v>1575</v>
      </c>
      <c r="D142">
        <v>18030905.300000001</v>
      </c>
    </row>
    <row r="143" spans="1:4">
      <c r="A143" t="s">
        <v>1028</v>
      </c>
      <c r="B143" t="s">
        <v>1185</v>
      </c>
      <c r="C143">
        <v>325</v>
      </c>
      <c r="D143">
        <v>4011556.4800000032</v>
      </c>
    </row>
    <row r="144" spans="1:4">
      <c r="A144" t="s">
        <v>1028</v>
      </c>
      <c r="B144" t="s">
        <v>1186</v>
      </c>
      <c r="C144">
        <v>777</v>
      </c>
      <c r="D144">
        <v>9356832.1000000015</v>
      </c>
    </row>
    <row r="145" spans="1:4">
      <c r="A145" t="s">
        <v>1028</v>
      </c>
      <c r="B145" t="s">
        <v>1187</v>
      </c>
      <c r="C145">
        <v>2902</v>
      </c>
      <c r="D145">
        <v>35979530.249999993</v>
      </c>
    </row>
    <row r="146" spans="1:4">
      <c r="A146" t="s">
        <v>1028</v>
      </c>
      <c r="B146" t="s">
        <v>1188</v>
      </c>
      <c r="C146">
        <v>3994</v>
      </c>
      <c r="D146">
        <v>47051987.279999927</v>
      </c>
    </row>
    <row r="147" spans="1:4">
      <c r="A147" t="s">
        <v>1028</v>
      </c>
      <c r="B147" t="s">
        <v>1189</v>
      </c>
      <c r="C147">
        <v>1226</v>
      </c>
      <c r="D147">
        <v>14338326.370000014</v>
      </c>
    </row>
    <row r="148" spans="1:4">
      <c r="A148" t="s">
        <v>1028</v>
      </c>
      <c r="B148" t="s">
        <v>1190</v>
      </c>
      <c r="C148">
        <v>8594</v>
      </c>
      <c r="D148">
        <v>102852492.72999999</v>
      </c>
    </row>
    <row r="149" spans="1:4">
      <c r="A149" t="s">
        <v>1028</v>
      </c>
      <c r="B149" t="s">
        <v>1191</v>
      </c>
      <c r="C149">
        <v>2000</v>
      </c>
      <c r="D149">
        <v>23718529.709999975</v>
      </c>
    </row>
    <row r="150" spans="1:4">
      <c r="A150" t="s">
        <v>1028</v>
      </c>
      <c r="B150" t="s">
        <v>1192</v>
      </c>
      <c r="C150">
        <v>636</v>
      </c>
      <c r="D150">
        <v>8129371.6400000062</v>
      </c>
    </row>
    <row r="151" spans="1:4">
      <c r="A151" t="s">
        <v>1030</v>
      </c>
      <c r="B151" t="s">
        <v>1193</v>
      </c>
      <c r="C151">
        <v>0</v>
      </c>
      <c r="D151">
        <v>0</v>
      </c>
    </row>
    <row r="152" spans="1:4">
      <c r="A152" t="s">
        <v>1028</v>
      </c>
      <c r="B152" t="s">
        <v>1194</v>
      </c>
      <c r="C152">
        <v>1762</v>
      </c>
      <c r="D152">
        <v>18369069.710000008</v>
      </c>
    </row>
    <row r="153" spans="1:4">
      <c r="A153" t="s">
        <v>1028</v>
      </c>
      <c r="B153" t="s">
        <v>1195</v>
      </c>
      <c r="C153">
        <v>1422</v>
      </c>
      <c r="D153">
        <v>15754613.630000005</v>
      </c>
    </row>
    <row r="154" spans="1:4">
      <c r="A154" t="s">
        <v>1028</v>
      </c>
      <c r="B154" t="s">
        <v>1196</v>
      </c>
      <c r="C154">
        <v>1422</v>
      </c>
      <c r="D154">
        <v>15798278.78999999</v>
      </c>
    </row>
    <row r="155" spans="1:4">
      <c r="A155" t="s">
        <v>1028</v>
      </c>
      <c r="B155" t="s">
        <v>1197</v>
      </c>
      <c r="C155">
        <v>1199</v>
      </c>
      <c r="D155">
        <v>12665299.480000006</v>
      </c>
    </row>
    <row r="156" spans="1:4">
      <c r="A156" t="s">
        <v>1028</v>
      </c>
      <c r="B156" t="s">
        <v>1198</v>
      </c>
      <c r="C156">
        <v>108</v>
      </c>
      <c r="D156">
        <v>1579052.3199999996</v>
      </c>
    </row>
    <row r="157" spans="1:4">
      <c r="A157" t="s">
        <v>1028</v>
      </c>
      <c r="B157" t="s">
        <v>1199</v>
      </c>
      <c r="C157">
        <v>19114</v>
      </c>
      <c r="D157">
        <v>208397637.32000154</v>
      </c>
    </row>
    <row r="158" spans="1:4">
      <c r="A158" t="s">
        <v>1028</v>
      </c>
      <c r="B158" t="s">
        <v>1200</v>
      </c>
      <c r="C158">
        <v>20848</v>
      </c>
      <c r="D158">
        <v>269109513.94999975</v>
      </c>
    </row>
    <row r="159" spans="1:4">
      <c r="A159" t="s">
        <v>1028</v>
      </c>
      <c r="B159" t="s">
        <v>1201</v>
      </c>
      <c r="C159">
        <v>39962</v>
      </c>
      <c r="D159">
        <v>5.7270936189924536E-2</v>
      </c>
    </row>
    <row r="160" spans="1:4">
      <c r="A160" t="s">
        <v>1028</v>
      </c>
      <c r="B160" t="s">
        <v>1202</v>
      </c>
      <c r="C160">
        <v>38775</v>
      </c>
      <c r="D160">
        <v>469856244.76999915</v>
      </c>
    </row>
    <row r="161" spans="1:4">
      <c r="A161" t="s">
        <v>1028</v>
      </c>
      <c r="B161" t="s">
        <v>1203</v>
      </c>
      <c r="C161">
        <v>552</v>
      </c>
      <c r="D161">
        <v>7483468.5700000059</v>
      </c>
    </row>
    <row r="162" spans="1:4">
      <c r="A162" t="s">
        <v>1028</v>
      </c>
      <c r="B162" t="s">
        <v>1204</v>
      </c>
      <c r="C162">
        <v>21</v>
      </c>
      <c r="D162">
        <v>140785.46000000002</v>
      </c>
    </row>
    <row r="163" spans="1:4">
      <c r="A163" t="s">
        <v>1028</v>
      </c>
      <c r="B163" t="s">
        <v>1205</v>
      </c>
      <c r="C163">
        <v>5</v>
      </c>
      <c r="D163">
        <v>26652.469999999998</v>
      </c>
    </row>
    <row r="164" spans="1:4">
      <c r="A164" t="s">
        <v>1030</v>
      </c>
      <c r="B164" t="s">
        <v>1206</v>
      </c>
      <c r="C164">
        <v>0</v>
      </c>
      <c r="D164">
        <v>0</v>
      </c>
    </row>
    <row r="165" spans="1:4">
      <c r="A165" t="s">
        <v>1030</v>
      </c>
      <c r="B165" t="s">
        <v>1207</v>
      </c>
      <c r="C165">
        <v>0</v>
      </c>
      <c r="D165">
        <v>0</v>
      </c>
    </row>
    <row r="166" spans="1:4">
      <c r="A166" t="s">
        <v>1030</v>
      </c>
      <c r="B166" t="s">
        <v>1208</v>
      </c>
      <c r="C166">
        <v>0</v>
      </c>
      <c r="D166">
        <v>0</v>
      </c>
    </row>
    <row r="167" spans="1:4">
      <c r="A167" t="s">
        <v>1028</v>
      </c>
      <c r="B167" t="s">
        <v>1209</v>
      </c>
      <c r="C167">
        <v>13</v>
      </c>
      <c r="D167">
        <v>-8303.2400000000016</v>
      </c>
    </row>
    <row r="168" spans="1:4">
      <c r="A168" t="s">
        <v>1028</v>
      </c>
      <c r="B168" t="s">
        <v>1210</v>
      </c>
      <c r="C168">
        <v>22</v>
      </c>
      <c r="D168">
        <v>-13382.45</v>
      </c>
    </row>
    <row r="169" spans="1:4">
      <c r="A169" t="s">
        <v>1028</v>
      </c>
      <c r="B169" t="s">
        <v>1211</v>
      </c>
      <c r="C169">
        <v>61</v>
      </c>
      <c r="D169">
        <v>16128.55</v>
      </c>
    </row>
    <row r="170" spans="1:4">
      <c r="A170" t="s">
        <v>1028</v>
      </c>
      <c r="B170" t="s">
        <v>1212</v>
      </c>
      <c r="C170">
        <v>651</v>
      </c>
      <c r="D170">
        <v>579886.28000000061</v>
      </c>
    </row>
    <row r="171" spans="1:4">
      <c r="A171" t="s">
        <v>1028</v>
      </c>
      <c r="B171" t="s">
        <v>1213</v>
      </c>
      <c r="C171">
        <v>495</v>
      </c>
      <c r="D171">
        <v>817022.57999999949</v>
      </c>
    </row>
    <row r="172" spans="1:4">
      <c r="A172" t="s">
        <v>1028</v>
      </c>
      <c r="B172" t="s">
        <v>1214</v>
      </c>
      <c r="C172">
        <v>3468</v>
      </c>
      <c r="D172">
        <v>6093814.6900000088</v>
      </c>
    </row>
    <row r="173" spans="1:4">
      <c r="A173" t="s">
        <v>1028</v>
      </c>
      <c r="B173" t="s">
        <v>1215</v>
      </c>
      <c r="C173">
        <v>3600</v>
      </c>
      <c r="D173">
        <v>14583397.509999983</v>
      </c>
    </row>
    <row r="174" spans="1:4">
      <c r="A174" t="s">
        <v>1028</v>
      </c>
      <c r="B174" t="s">
        <v>1216</v>
      </c>
      <c r="C174">
        <v>724</v>
      </c>
      <c r="D174">
        <v>5023522.5200000051</v>
      </c>
    </row>
    <row r="175" spans="1:4">
      <c r="A175" t="s">
        <v>1028</v>
      </c>
      <c r="B175" t="s">
        <v>1217</v>
      </c>
      <c r="C175">
        <v>2864</v>
      </c>
      <c r="D175">
        <v>21094067.100000016</v>
      </c>
    </row>
    <row r="176" spans="1:4">
      <c r="A176" t="s">
        <v>1028</v>
      </c>
      <c r="B176" t="s">
        <v>1218</v>
      </c>
      <c r="C176">
        <v>778</v>
      </c>
      <c r="D176">
        <v>9331845.9899999946</v>
      </c>
    </row>
    <row r="177" spans="1:4">
      <c r="A177" t="s">
        <v>1028</v>
      </c>
      <c r="B177" t="s">
        <v>1219</v>
      </c>
      <c r="C177">
        <v>7219</v>
      </c>
      <c r="D177">
        <v>70815339.319999948</v>
      </c>
    </row>
    <row r="178" spans="1:4">
      <c r="A178" t="s">
        <v>1028</v>
      </c>
      <c r="B178" t="s">
        <v>1220</v>
      </c>
      <c r="C178">
        <v>13049</v>
      </c>
      <c r="D178">
        <v>208879541.44000095</v>
      </c>
    </row>
    <row r="179" spans="1:4">
      <c r="A179" t="s">
        <v>1028</v>
      </c>
      <c r="B179" t="s">
        <v>1221</v>
      </c>
      <c r="C179">
        <v>6184</v>
      </c>
      <c r="D179">
        <v>117063736.15999982</v>
      </c>
    </row>
    <row r="180" spans="1:4">
      <c r="A180" t="s">
        <v>1028</v>
      </c>
      <c r="B180" t="s">
        <v>1222</v>
      </c>
      <c r="C180">
        <v>5</v>
      </c>
      <c r="D180">
        <v>-3168.3199999999997</v>
      </c>
    </row>
    <row r="181" spans="1:4">
      <c r="A181" t="s">
        <v>1028</v>
      </c>
      <c r="B181" t="s">
        <v>1223</v>
      </c>
      <c r="C181">
        <v>695</v>
      </c>
      <c r="D181">
        <v>19312448.640000008</v>
      </c>
    </row>
    <row r="182" spans="1:4">
      <c r="A182" t="s">
        <v>1028</v>
      </c>
      <c r="B182" t="s">
        <v>1224</v>
      </c>
      <c r="C182">
        <v>134</v>
      </c>
      <c r="D182">
        <v>3921254.5</v>
      </c>
    </row>
    <row r="183" spans="1:4">
      <c r="A183" t="s">
        <v>1028</v>
      </c>
      <c r="B183" t="s">
        <v>1225</v>
      </c>
      <c r="C183">
        <v>39962</v>
      </c>
      <c r="D183">
        <v>92.842789338755253</v>
      </c>
    </row>
    <row r="184" spans="1:4">
      <c r="A184" t="s">
        <v>1028</v>
      </c>
      <c r="B184" t="s">
        <v>1226</v>
      </c>
      <c r="C184">
        <v>10231</v>
      </c>
      <c r="D184">
        <v>123554562.63999996</v>
      </c>
    </row>
    <row r="185" spans="1:4">
      <c r="A185" t="s">
        <v>1028</v>
      </c>
      <c r="B185" t="s">
        <v>1227</v>
      </c>
      <c r="C185">
        <v>29731</v>
      </c>
      <c r="D185">
        <v>353952588.63000017</v>
      </c>
    </row>
    <row r="186" spans="1:4">
      <c r="A186" t="s">
        <v>1028</v>
      </c>
      <c r="B186" t="s">
        <v>1228</v>
      </c>
      <c r="C186">
        <v>38132</v>
      </c>
      <c r="D186">
        <v>453098788.29999822</v>
      </c>
    </row>
    <row r="187" spans="1:4">
      <c r="A187" t="s">
        <v>1028</v>
      </c>
      <c r="B187" t="s">
        <v>1229</v>
      </c>
      <c r="C187">
        <v>1830</v>
      </c>
      <c r="D187">
        <v>24408362.969999976</v>
      </c>
    </row>
    <row r="188" spans="1:4">
      <c r="A188" t="s">
        <v>1028</v>
      </c>
      <c r="B188" t="s">
        <v>1230</v>
      </c>
      <c r="C188">
        <v>39962</v>
      </c>
      <c r="D188">
        <v>477507151.26999903</v>
      </c>
    </row>
    <row r="189" spans="1:4">
      <c r="A189" t="s">
        <v>1028</v>
      </c>
      <c r="B189" t="s">
        <v>1231</v>
      </c>
      <c r="C189">
        <v>37112</v>
      </c>
      <c r="D189">
        <v>396115507.80000001</v>
      </c>
    </row>
    <row r="190" spans="1:4">
      <c r="A190" t="s">
        <v>1028</v>
      </c>
      <c r="B190" t="s">
        <v>1232</v>
      </c>
      <c r="C190">
        <v>7</v>
      </c>
      <c r="D190">
        <v>26432.77</v>
      </c>
    </row>
    <row r="191" spans="1:4">
      <c r="A191" t="s">
        <v>1028</v>
      </c>
      <c r="B191" t="s">
        <v>1233</v>
      </c>
      <c r="C191">
        <v>7</v>
      </c>
      <c r="D191">
        <v>23072.11</v>
      </c>
    </row>
    <row r="192" spans="1:4">
      <c r="A192" t="s">
        <v>1028</v>
      </c>
      <c r="B192" t="s">
        <v>1234</v>
      </c>
      <c r="C192">
        <v>6</v>
      </c>
      <c r="D192">
        <v>19692.46</v>
      </c>
    </row>
    <row r="193" spans="1:4">
      <c r="A193" t="s">
        <v>1028</v>
      </c>
      <c r="B193" t="s">
        <v>1235</v>
      </c>
      <c r="C193">
        <v>6</v>
      </c>
      <c r="D193">
        <v>16721.759999999998</v>
      </c>
    </row>
    <row r="194" spans="1:4">
      <c r="A194" t="s">
        <v>1028</v>
      </c>
      <c r="B194" t="s">
        <v>1236</v>
      </c>
      <c r="C194">
        <v>5</v>
      </c>
      <c r="D194">
        <v>13733.27</v>
      </c>
    </row>
    <row r="195" spans="1:4">
      <c r="A195" t="s">
        <v>1028</v>
      </c>
      <c r="B195" t="s">
        <v>1237</v>
      </c>
      <c r="C195">
        <v>4</v>
      </c>
      <c r="D195">
        <v>11419.91</v>
      </c>
    </row>
    <row r="196" spans="1:4">
      <c r="A196" t="s">
        <v>1028</v>
      </c>
      <c r="B196" t="s">
        <v>1238</v>
      </c>
      <c r="C196">
        <v>3</v>
      </c>
      <c r="D196">
        <v>9444.1299999999992</v>
      </c>
    </row>
    <row r="197" spans="1:4">
      <c r="A197" t="s">
        <v>1028</v>
      </c>
      <c r="B197" t="s">
        <v>1239</v>
      </c>
      <c r="C197">
        <v>3</v>
      </c>
      <c r="D197">
        <v>7948.2</v>
      </c>
    </row>
    <row r="198" spans="1:4">
      <c r="A198" t="s">
        <v>1028</v>
      </c>
      <c r="B198" t="s">
        <v>1240</v>
      </c>
      <c r="C198">
        <v>3</v>
      </c>
      <c r="D198">
        <v>6441.6</v>
      </c>
    </row>
    <row r="199" spans="1:4">
      <c r="A199" t="s">
        <v>1028</v>
      </c>
      <c r="B199" t="s">
        <v>1241</v>
      </c>
      <c r="C199">
        <v>3</v>
      </c>
      <c r="D199">
        <v>4924.25</v>
      </c>
    </row>
    <row r="200" spans="1:4">
      <c r="A200" t="s">
        <v>1028</v>
      </c>
      <c r="B200" t="s">
        <v>1242</v>
      </c>
      <c r="C200">
        <v>36679</v>
      </c>
      <c r="D200">
        <v>387158676.45999998</v>
      </c>
    </row>
    <row r="201" spans="1:4">
      <c r="A201" t="s">
        <v>1028</v>
      </c>
      <c r="B201" t="s">
        <v>1243</v>
      </c>
      <c r="C201">
        <v>3</v>
      </c>
      <c r="D201">
        <v>3396.06</v>
      </c>
    </row>
    <row r="202" spans="1:4">
      <c r="A202" t="s">
        <v>1028</v>
      </c>
      <c r="B202" t="s">
        <v>1244</v>
      </c>
      <c r="C202">
        <v>2</v>
      </c>
      <c r="D202">
        <v>1856.96</v>
      </c>
    </row>
    <row r="203" spans="1:4">
      <c r="A203" t="s">
        <v>1028</v>
      </c>
      <c r="B203" t="s">
        <v>1245</v>
      </c>
      <c r="C203">
        <v>2</v>
      </c>
      <c r="D203">
        <v>1201.45</v>
      </c>
    </row>
    <row r="204" spans="1:4">
      <c r="A204" t="s">
        <v>1028</v>
      </c>
      <c r="B204" t="s">
        <v>1246</v>
      </c>
      <c r="C204">
        <v>1</v>
      </c>
      <c r="D204">
        <v>542.29999999999995</v>
      </c>
    </row>
    <row r="205" spans="1:4">
      <c r="A205" t="s">
        <v>1028</v>
      </c>
      <c r="B205" t="s">
        <v>1247</v>
      </c>
      <c r="C205">
        <v>1</v>
      </c>
      <c r="D205">
        <v>362.58</v>
      </c>
    </row>
    <row r="206" spans="1:4">
      <c r="A206" t="s">
        <v>1028</v>
      </c>
      <c r="B206" t="s">
        <v>1248</v>
      </c>
      <c r="C206">
        <v>1</v>
      </c>
      <c r="D206">
        <v>181.82</v>
      </c>
    </row>
    <row r="207" spans="1:4">
      <c r="A207" t="s">
        <v>1028</v>
      </c>
      <c r="B207" t="s">
        <v>1249</v>
      </c>
      <c r="C207">
        <v>0</v>
      </c>
      <c r="D207">
        <v>0</v>
      </c>
    </row>
    <row r="208" spans="1:4">
      <c r="A208" t="s">
        <v>1028</v>
      </c>
      <c r="B208" t="s">
        <v>1250</v>
      </c>
      <c r="C208">
        <v>0</v>
      </c>
      <c r="D208">
        <v>0</v>
      </c>
    </row>
    <row r="209" spans="1:4">
      <c r="A209" t="s">
        <v>1028</v>
      </c>
      <c r="B209" t="s">
        <v>1251</v>
      </c>
      <c r="C209">
        <v>36261</v>
      </c>
      <c r="D209">
        <v>378231689.80000001</v>
      </c>
    </row>
    <row r="210" spans="1:4">
      <c r="A210" t="s">
        <v>1028</v>
      </c>
      <c r="B210" t="s">
        <v>1252</v>
      </c>
      <c r="C210">
        <v>35834</v>
      </c>
      <c r="D210">
        <v>369336231.25999999</v>
      </c>
    </row>
    <row r="211" spans="1:4">
      <c r="A211" t="s">
        <v>1028</v>
      </c>
      <c r="B211" t="s">
        <v>1253</v>
      </c>
      <c r="C211">
        <v>35605</v>
      </c>
      <c r="D211">
        <v>360474772.25999999</v>
      </c>
    </row>
    <row r="212" spans="1:4">
      <c r="A212" t="s">
        <v>1028</v>
      </c>
      <c r="B212" t="s">
        <v>1254</v>
      </c>
      <c r="C212">
        <v>35371</v>
      </c>
      <c r="D212">
        <v>351623603.57999998</v>
      </c>
    </row>
    <row r="213" spans="1:4">
      <c r="A213" t="s">
        <v>1028</v>
      </c>
      <c r="B213" t="s">
        <v>1255</v>
      </c>
      <c r="C213">
        <v>35019</v>
      </c>
      <c r="D213">
        <v>342781867.70999998</v>
      </c>
    </row>
    <row r="214" spans="1:4">
      <c r="A214" t="s">
        <v>1028</v>
      </c>
      <c r="B214" t="s">
        <v>1256</v>
      </c>
      <c r="C214">
        <v>34678</v>
      </c>
      <c r="D214">
        <v>333970071.47000003</v>
      </c>
    </row>
    <row r="215" spans="1:4">
      <c r="A215" t="s">
        <v>1028</v>
      </c>
      <c r="B215" t="s">
        <v>1257</v>
      </c>
      <c r="C215">
        <v>34424</v>
      </c>
      <c r="D215">
        <v>325194528.44</v>
      </c>
    </row>
    <row r="216" spans="1:4">
      <c r="A216" t="s">
        <v>1028</v>
      </c>
      <c r="B216" t="s">
        <v>1258</v>
      </c>
      <c r="C216">
        <v>34068</v>
      </c>
      <c r="D216">
        <v>316430101.95999998</v>
      </c>
    </row>
    <row r="217" spans="1:4">
      <c r="A217" t="s">
        <v>1028</v>
      </c>
      <c r="B217" t="s">
        <v>1259</v>
      </c>
      <c r="C217">
        <v>39591</v>
      </c>
      <c r="D217">
        <v>468466287.01999998</v>
      </c>
    </row>
    <row r="218" spans="1:4">
      <c r="A218" t="s">
        <v>1028</v>
      </c>
      <c r="B218" t="s">
        <v>1260</v>
      </c>
      <c r="C218">
        <v>33675</v>
      </c>
      <c r="D218">
        <v>307707297.41000003</v>
      </c>
    </row>
    <row r="219" spans="1:4">
      <c r="A219" t="s">
        <v>1028</v>
      </c>
      <c r="B219" t="s">
        <v>1261</v>
      </c>
      <c r="C219">
        <v>33341</v>
      </c>
      <c r="D219">
        <v>299032465.26999998</v>
      </c>
    </row>
    <row r="220" spans="1:4">
      <c r="A220" t="s">
        <v>1028</v>
      </c>
      <c r="B220" t="s">
        <v>1262</v>
      </c>
      <c r="C220">
        <v>33020</v>
      </c>
      <c r="D220">
        <v>290385794.99000001</v>
      </c>
    </row>
    <row r="221" spans="1:4">
      <c r="A221" t="s">
        <v>1028</v>
      </c>
      <c r="B221" t="s">
        <v>1263</v>
      </c>
      <c r="C221">
        <v>32632</v>
      </c>
      <c r="D221">
        <v>281773854.60000002</v>
      </c>
    </row>
    <row r="222" spans="1:4">
      <c r="A222" t="s">
        <v>1028</v>
      </c>
      <c r="B222" t="s">
        <v>1264</v>
      </c>
      <c r="C222">
        <v>32191</v>
      </c>
      <c r="D222">
        <v>273207635.81999999</v>
      </c>
    </row>
    <row r="223" spans="1:4">
      <c r="A223" t="s">
        <v>1028</v>
      </c>
      <c r="B223" t="s">
        <v>1265</v>
      </c>
      <c r="C223">
        <v>31717</v>
      </c>
      <c r="D223">
        <v>264700697.03999999</v>
      </c>
    </row>
    <row r="224" spans="1:4">
      <c r="A224" t="s">
        <v>1028</v>
      </c>
      <c r="B224" t="s">
        <v>1266</v>
      </c>
      <c r="C224">
        <v>31509</v>
      </c>
      <c r="D224">
        <v>256260427.30000001</v>
      </c>
    </row>
    <row r="225" spans="1:4">
      <c r="A225" t="s">
        <v>1028</v>
      </c>
      <c r="B225" t="s">
        <v>1267</v>
      </c>
      <c r="C225">
        <v>31297</v>
      </c>
      <c r="D225">
        <v>247832317.71000001</v>
      </c>
    </row>
    <row r="226" spans="1:4">
      <c r="A226" t="s">
        <v>1028</v>
      </c>
      <c r="B226" t="s">
        <v>1268</v>
      </c>
      <c r="C226">
        <v>31019</v>
      </c>
      <c r="D226">
        <v>239417381.65000001</v>
      </c>
    </row>
    <row r="227" spans="1:4">
      <c r="A227" t="s">
        <v>1028</v>
      </c>
      <c r="B227" t="s">
        <v>1269</v>
      </c>
      <c r="C227">
        <v>30727</v>
      </c>
      <c r="D227">
        <v>231033817.46000001</v>
      </c>
    </row>
    <row r="228" spans="1:4">
      <c r="A228" t="s">
        <v>1028</v>
      </c>
      <c r="B228" t="s">
        <v>1270</v>
      </c>
      <c r="C228">
        <v>39369</v>
      </c>
      <c r="D228">
        <v>459383074.76999998</v>
      </c>
    </row>
    <row r="229" spans="1:4">
      <c r="A229" t="s">
        <v>1028</v>
      </c>
      <c r="B229" t="s">
        <v>1271</v>
      </c>
      <c r="C229">
        <v>30460</v>
      </c>
      <c r="D229">
        <v>222675885.84999999</v>
      </c>
    </row>
    <row r="230" spans="1:4">
      <c r="A230" t="s">
        <v>1028</v>
      </c>
      <c r="B230" t="s">
        <v>1272</v>
      </c>
      <c r="C230">
        <v>30193</v>
      </c>
      <c r="D230">
        <v>214347532.72</v>
      </c>
    </row>
    <row r="231" spans="1:4">
      <c r="A231" t="s">
        <v>1028</v>
      </c>
      <c r="B231" t="s">
        <v>1273</v>
      </c>
      <c r="C231">
        <v>29861</v>
      </c>
      <c r="D231">
        <v>206054337.53999999</v>
      </c>
    </row>
    <row r="232" spans="1:4">
      <c r="A232" t="s">
        <v>1028</v>
      </c>
      <c r="B232" t="s">
        <v>1274</v>
      </c>
      <c r="C232">
        <v>29531</v>
      </c>
      <c r="D232">
        <v>197809379.90000001</v>
      </c>
    </row>
    <row r="233" spans="1:4">
      <c r="A233" t="s">
        <v>1028</v>
      </c>
      <c r="B233" t="s">
        <v>1275</v>
      </c>
      <c r="C233">
        <v>29177</v>
      </c>
      <c r="D233">
        <v>189604104.06999999</v>
      </c>
    </row>
    <row r="234" spans="1:4">
      <c r="A234" t="s">
        <v>1028</v>
      </c>
      <c r="B234" t="s">
        <v>1276</v>
      </c>
      <c r="C234">
        <v>28818</v>
      </c>
      <c r="D234">
        <v>181448919.31999999</v>
      </c>
    </row>
    <row r="235" spans="1:4">
      <c r="A235" t="s">
        <v>1028</v>
      </c>
      <c r="B235" t="s">
        <v>1277</v>
      </c>
      <c r="C235">
        <v>28416</v>
      </c>
      <c r="D235">
        <v>173341372.12</v>
      </c>
    </row>
    <row r="236" spans="1:4">
      <c r="A236" t="s">
        <v>1028</v>
      </c>
      <c r="B236" t="s">
        <v>1278</v>
      </c>
      <c r="C236">
        <v>28036</v>
      </c>
      <c r="D236">
        <v>165296902.16</v>
      </c>
    </row>
    <row r="237" spans="1:4">
      <c r="A237" t="s">
        <v>1028</v>
      </c>
      <c r="B237" t="s">
        <v>1279</v>
      </c>
      <c r="C237">
        <v>27813</v>
      </c>
      <c r="D237">
        <v>157305351.30000001</v>
      </c>
    </row>
    <row r="238" spans="1:4">
      <c r="A238" t="s">
        <v>1028</v>
      </c>
      <c r="B238" t="s">
        <v>1280</v>
      </c>
      <c r="C238">
        <v>27556</v>
      </c>
      <c r="D238">
        <v>149335000.52000001</v>
      </c>
    </row>
    <row r="239" spans="1:4">
      <c r="A239" t="s">
        <v>1028</v>
      </c>
      <c r="B239" t="s">
        <v>1281</v>
      </c>
      <c r="C239">
        <v>39038</v>
      </c>
      <c r="D239">
        <v>450302551.81</v>
      </c>
    </row>
    <row r="240" spans="1:4">
      <c r="A240" t="s">
        <v>1028</v>
      </c>
      <c r="B240" t="s">
        <v>1282</v>
      </c>
      <c r="C240">
        <v>27126</v>
      </c>
      <c r="D240">
        <v>141400582.16999999</v>
      </c>
    </row>
    <row r="241" spans="1:4">
      <c r="A241" t="s">
        <v>1028</v>
      </c>
      <c r="B241" t="s">
        <v>1283</v>
      </c>
      <c r="C241">
        <v>26710</v>
      </c>
      <c r="D241">
        <v>133537359.55</v>
      </c>
    </row>
    <row r="242" spans="1:4">
      <c r="A242" t="s">
        <v>1028</v>
      </c>
      <c r="B242" t="s">
        <v>1284</v>
      </c>
      <c r="C242">
        <v>26311</v>
      </c>
      <c r="D242">
        <v>125737578.66</v>
      </c>
    </row>
    <row r="243" spans="1:4">
      <c r="A243" t="s">
        <v>1028</v>
      </c>
      <c r="B243" t="s">
        <v>1285</v>
      </c>
      <c r="C243">
        <v>25786</v>
      </c>
      <c r="D243">
        <v>117998977.36</v>
      </c>
    </row>
    <row r="244" spans="1:4">
      <c r="A244" t="s">
        <v>1028</v>
      </c>
      <c r="B244" t="s">
        <v>1286</v>
      </c>
      <c r="C244">
        <v>25135</v>
      </c>
      <c r="D244">
        <v>110363353.95</v>
      </c>
    </row>
    <row r="245" spans="1:4">
      <c r="A245" t="s">
        <v>1028</v>
      </c>
      <c r="B245" t="s">
        <v>1287</v>
      </c>
      <c r="C245">
        <v>24392</v>
      </c>
      <c r="D245">
        <v>102866834.98999999</v>
      </c>
    </row>
    <row r="246" spans="1:4">
      <c r="A246" t="s">
        <v>1028</v>
      </c>
      <c r="B246" t="s">
        <v>1288</v>
      </c>
      <c r="C246">
        <v>23619</v>
      </c>
      <c r="D246">
        <v>95527393.599999994</v>
      </c>
    </row>
    <row r="247" spans="1:4">
      <c r="A247" t="s">
        <v>1028</v>
      </c>
      <c r="B247" t="s">
        <v>1289</v>
      </c>
      <c r="C247">
        <v>22652</v>
      </c>
      <c r="D247">
        <v>88344346.590000004</v>
      </c>
    </row>
    <row r="248" spans="1:4">
      <c r="A248" t="s">
        <v>1028</v>
      </c>
      <c r="B248" t="s">
        <v>1290</v>
      </c>
      <c r="C248">
        <v>21753</v>
      </c>
      <c r="D248">
        <v>81361671.540000007</v>
      </c>
    </row>
    <row r="249" spans="1:4">
      <c r="A249" t="s">
        <v>1028</v>
      </c>
      <c r="B249" t="s">
        <v>1291</v>
      </c>
      <c r="C249">
        <v>20742</v>
      </c>
      <c r="D249">
        <v>74565956.939999998</v>
      </c>
    </row>
    <row r="250" spans="1:4">
      <c r="A250" t="s">
        <v>1028</v>
      </c>
      <c r="B250" t="s">
        <v>1292</v>
      </c>
      <c r="C250">
        <v>38743</v>
      </c>
      <c r="D250">
        <v>441236894.31999999</v>
      </c>
    </row>
    <row r="251" spans="1:4">
      <c r="A251" t="s">
        <v>1028</v>
      </c>
      <c r="B251" t="s">
        <v>1293</v>
      </c>
      <c r="C251">
        <v>20289</v>
      </c>
      <c r="D251">
        <v>67982296.260000005</v>
      </c>
    </row>
    <row r="252" spans="1:4">
      <c r="A252" t="s">
        <v>1028</v>
      </c>
      <c r="B252" t="s">
        <v>1294</v>
      </c>
      <c r="C252">
        <v>19820</v>
      </c>
      <c r="D252">
        <v>61496585.18</v>
      </c>
    </row>
    <row r="253" spans="1:4">
      <c r="A253" t="s">
        <v>1028</v>
      </c>
      <c r="B253" t="s">
        <v>1295</v>
      </c>
      <c r="C253">
        <v>18973</v>
      </c>
      <c r="D253">
        <v>55122530.640000001</v>
      </c>
    </row>
    <row r="254" spans="1:4">
      <c r="A254" t="s">
        <v>1028</v>
      </c>
      <c r="B254" t="s">
        <v>1296</v>
      </c>
      <c r="C254">
        <v>18092</v>
      </c>
      <c r="D254">
        <v>48973325.140000001</v>
      </c>
    </row>
    <row r="255" spans="1:4">
      <c r="A255" t="s">
        <v>1028</v>
      </c>
      <c r="B255" t="s">
        <v>1297</v>
      </c>
      <c r="C255">
        <v>17419</v>
      </c>
      <c r="D255">
        <v>43074976.350000001</v>
      </c>
    </row>
    <row r="256" spans="1:4">
      <c r="A256" t="s">
        <v>1028</v>
      </c>
      <c r="B256" t="s">
        <v>1298</v>
      </c>
      <c r="C256">
        <v>16431</v>
      </c>
      <c r="D256">
        <v>37376299.009999998</v>
      </c>
    </row>
    <row r="257" spans="1:4">
      <c r="A257" t="s">
        <v>1028</v>
      </c>
      <c r="B257" t="s">
        <v>1299</v>
      </c>
      <c r="C257">
        <v>15173</v>
      </c>
      <c r="D257">
        <v>31975084.969999999</v>
      </c>
    </row>
    <row r="258" spans="1:4">
      <c r="A258" t="s">
        <v>1028</v>
      </c>
      <c r="B258" t="s">
        <v>1300</v>
      </c>
      <c r="C258">
        <v>13756</v>
      </c>
      <c r="D258">
        <v>26957970.68</v>
      </c>
    </row>
    <row r="259" spans="1:4">
      <c r="A259" t="s">
        <v>1028</v>
      </c>
      <c r="B259" t="s">
        <v>1301</v>
      </c>
      <c r="C259">
        <v>12121</v>
      </c>
      <c r="D259">
        <v>22397234.77</v>
      </c>
    </row>
    <row r="260" spans="1:4">
      <c r="A260" t="s">
        <v>1028</v>
      </c>
      <c r="B260" t="s">
        <v>1302</v>
      </c>
      <c r="C260">
        <v>10070</v>
      </c>
      <c r="D260">
        <v>18360812.489999998</v>
      </c>
    </row>
    <row r="261" spans="1:4">
      <c r="A261" t="s">
        <v>1028</v>
      </c>
      <c r="B261" t="s">
        <v>1303</v>
      </c>
      <c r="C261">
        <v>38468</v>
      </c>
      <c r="D261">
        <v>432179604.62</v>
      </c>
    </row>
    <row r="262" spans="1:4">
      <c r="A262" t="s">
        <v>1028</v>
      </c>
      <c r="B262" t="s">
        <v>1304</v>
      </c>
      <c r="C262">
        <v>8059</v>
      </c>
      <c r="D262">
        <v>15015528.98</v>
      </c>
    </row>
    <row r="263" spans="1:4">
      <c r="A263" t="s">
        <v>1028</v>
      </c>
      <c r="B263" t="s">
        <v>1305</v>
      </c>
      <c r="C263">
        <v>5888</v>
      </c>
      <c r="D263">
        <v>12317867.119999999</v>
      </c>
    </row>
    <row r="264" spans="1:4">
      <c r="A264" t="s">
        <v>1028</v>
      </c>
      <c r="B264" t="s">
        <v>1306</v>
      </c>
      <c r="C264">
        <v>5087</v>
      </c>
      <c r="D264">
        <v>10320870.76</v>
      </c>
    </row>
    <row r="265" spans="1:4">
      <c r="A265" t="s">
        <v>1028</v>
      </c>
      <c r="B265" t="s">
        <v>1307</v>
      </c>
      <c r="C265">
        <v>4397</v>
      </c>
      <c r="D265">
        <v>8586922.3599999994</v>
      </c>
    </row>
    <row r="266" spans="1:4">
      <c r="A266" t="s">
        <v>1028</v>
      </c>
      <c r="B266" t="s">
        <v>1308</v>
      </c>
      <c r="C266">
        <v>3778</v>
      </c>
      <c r="D266">
        <v>7082501.7300000004</v>
      </c>
    </row>
    <row r="267" spans="1:4">
      <c r="A267" t="s">
        <v>1028</v>
      </c>
      <c r="B267" t="s">
        <v>1309</v>
      </c>
      <c r="C267">
        <v>3207</v>
      </c>
      <c r="D267">
        <v>5782302.0499999998</v>
      </c>
    </row>
    <row r="268" spans="1:4">
      <c r="A268" t="s">
        <v>1028</v>
      </c>
      <c r="B268" t="s">
        <v>1310</v>
      </c>
      <c r="C268">
        <v>2803</v>
      </c>
      <c r="D268">
        <v>4670294.91</v>
      </c>
    </row>
    <row r="269" spans="1:4">
      <c r="A269" t="s">
        <v>1028</v>
      </c>
      <c r="B269" t="s">
        <v>1311</v>
      </c>
      <c r="C269">
        <v>2337</v>
      </c>
      <c r="D269">
        <v>3699097.35</v>
      </c>
    </row>
    <row r="270" spans="1:4">
      <c r="A270" t="s">
        <v>1028</v>
      </c>
      <c r="B270" t="s">
        <v>1312</v>
      </c>
      <c r="C270">
        <v>1852</v>
      </c>
      <c r="D270">
        <v>2879645.84</v>
      </c>
    </row>
    <row r="271" spans="1:4">
      <c r="A271" t="s">
        <v>1028</v>
      </c>
      <c r="B271" t="s">
        <v>1313</v>
      </c>
      <c r="C271">
        <v>1453</v>
      </c>
      <c r="D271">
        <v>2224771.0299999998</v>
      </c>
    </row>
    <row r="272" spans="1:4">
      <c r="A272" t="s">
        <v>1028</v>
      </c>
      <c r="B272" t="s">
        <v>1314</v>
      </c>
      <c r="C272">
        <v>38126</v>
      </c>
      <c r="D272">
        <v>423128047.56</v>
      </c>
    </row>
    <row r="273" spans="1:4">
      <c r="A273" t="s">
        <v>1028</v>
      </c>
      <c r="B273" t="s">
        <v>1315</v>
      </c>
      <c r="C273">
        <v>1127</v>
      </c>
      <c r="D273">
        <v>1696242.48</v>
      </c>
    </row>
    <row r="274" spans="1:4">
      <c r="A274" t="s">
        <v>1028</v>
      </c>
      <c r="B274" t="s">
        <v>1316</v>
      </c>
      <c r="C274">
        <v>832</v>
      </c>
      <c r="D274">
        <v>1278438.68</v>
      </c>
    </row>
    <row r="275" spans="1:4">
      <c r="A275" t="s">
        <v>1028</v>
      </c>
      <c r="B275" t="s">
        <v>1317</v>
      </c>
      <c r="C275">
        <v>523</v>
      </c>
      <c r="D275">
        <v>962173.69</v>
      </c>
    </row>
    <row r="276" spans="1:4">
      <c r="A276" t="s">
        <v>1028</v>
      </c>
      <c r="B276" t="s">
        <v>1318</v>
      </c>
      <c r="C276">
        <v>338</v>
      </c>
      <c r="D276">
        <v>754506.74</v>
      </c>
    </row>
    <row r="277" spans="1:4">
      <c r="A277" t="s">
        <v>1028</v>
      </c>
      <c r="B277" t="s">
        <v>1319</v>
      </c>
      <c r="C277">
        <v>286</v>
      </c>
      <c r="D277">
        <v>606749.96</v>
      </c>
    </row>
    <row r="278" spans="1:4">
      <c r="A278" t="s">
        <v>1028</v>
      </c>
      <c r="B278" t="s">
        <v>1320</v>
      </c>
      <c r="C278">
        <v>221</v>
      </c>
      <c r="D278">
        <v>479532.99</v>
      </c>
    </row>
    <row r="279" spans="1:4">
      <c r="A279" t="s">
        <v>1028</v>
      </c>
      <c r="B279" t="s">
        <v>1321</v>
      </c>
      <c r="C279">
        <v>166</v>
      </c>
      <c r="D279">
        <v>382722.15</v>
      </c>
    </row>
    <row r="280" spans="1:4">
      <c r="A280" t="s">
        <v>1028</v>
      </c>
      <c r="B280" t="s">
        <v>1322</v>
      </c>
      <c r="C280">
        <v>130</v>
      </c>
      <c r="D280">
        <v>313378.99</v>
      </c>
    </row>
    <row r="281" spans="1:4">
      <c r="A281" t="s">
        <v>1028</v>
      </c>
      <c r="B281" t="s">
        <v>1323</v>
      </c>
      <c r="C281">
        <v>97</v>
      </c>
      <c r="D281">
        <v>258639.1</v>
      </c>
    </row>
    <row r="282" spans="1:4">
      <c r="A282" t="s">
        <v>1028</v>
      </c>
      <c r="B282" t="s">
        <v>1324</v>
      </c>
      <c r="C282">
        <v>72</v>
      </c>
      <c r="D282">
        <v>218050.63</v>
      </c>
    </row>
    <row r="283" spans="1:4">
      <c r="A283" t="s">
        <v>1028</v>
      </c>
      <c r="B283" t="s">
        <v>1325</v>
      </c>
      <c r="C283">
        <v>37775</v>
      </c>
      <c r="D283">
        <v>414098093.43000001</v>
      </c>
    </row>
    <row r="284" spans="1:4">
      <c r="A284" t="s">
        <v>1028</v>
      </c>
      <c r="B284" t="s">
        <v>1326</v>
      </c>
      <c r="C284">
        <v>57</v>
      </c>
      <c r="D284">
        <v>187230.79</v>
      </c>
    </row>
    <row r="285" spans="1:4">
      <c r="A285" t="s">
        <v>1028</v>
      </c>
      <c r="B285" t="s">
        <v>1327</v>
      </c>
      <c r="C285">
        <v>50</v>
      </c>
      <c r="D285">
        <v>162541.91</v>
      </c>
    </row>
    <row r="286" spans="1:4">
      <c r="A286" t="s">
        <v>1028</v>
      </c>
      <c r="B286" t="s">
        <v>1328</v>
      </c>
      <c r="C286">
        <v>39</v>
      </c>
      <c r="D286">
        <v>140985.31</v>
      </c>
    </row>
    <row r="287" spans="1:4">
      <c r="A287" t="s">
        <v>1028</v>
      </c>
      <c r="B287" t="s">
        <v>1329</v>
      </c>
      <c r="C287">
        <v>29</v>
      </c>
      <c r="D287">
        <v>124145.54</v>
      </c>
    </row>
    <row r="288" spans="1:4">
      <c r="A288" t="s">
        <v>1028</v>
      </c>
      <c r="B288" t="s">
        <v>1330</v>
      </c>
      <c r="C288">
        <v>25</v>
      </c>
      <c r="D288">
        <v>112231.1</v>
      </c>
    </row>
    <row r="289" spans="1:4">
      <c r="A289" t="s">
        <v>1028</v>
      </c>
      <c r="B289" t="s">
        <v>1331</v>
      </c>
      <c r="C289">
        <v>24</v>
      </c>
      <c r="D289">
        <v>102189.36</v>
      </c>
    </row>
    <row r="290" spans="1:4">
      <c r="A290" t="s">
        <v>1028</v>
      </c>
      <c r="B290" t="s">
        <v>1332</v>
      </c>
      <c r="C290">
        <v>20</v>
      </c>
      <c r="D290">
        <v>93015.12</v>
      </c>
    </row>
    <row r="291" spans="1:4">
      <c r="A291" t="s">
        <v>1028</v>
      </c>
      <c r="B291" t="s">
        <v>1333</v>
      </c>
      <c r="C291">
        <v>17</v>
      </c>
      <c r="D291">
        <v>86107.6</v>
      </c>
    </row>
    <row r="292" spans="1:4">
      <c r="A292" t="s">
        <v>1028</v>
      </c>
      <c r="B292" t="s">
        <v>1334</v>
      </c>
      <c r="C292">
        <v>16</v>
      </c>
      <c r="D292">
        <v>80237.61</v>
      </c>
    </row>
    <row r="293" spans="1:4">
      <c r="A293" t="s">
        <v>1028</v>
      </c>
      <c r="B293" t="s">
        <v>1335</v>
      </c>
      <c r="C293">
        <v>14</v>
      </c>
      <c r="D293">
        <v>74702.740000000005</v>
      </c>
    </row>
    <row r="294" spans="1:4">
      <c r="A294" t="s">
        <v>1028</v>
      </c>
      <c r="B294" t="s">
        <v>1336</v>
      </c>
      <c r="C294">
        <v>37445</v>
      </c>
      <c r="D294">
        <v>405095374.70999998</v>
      </c>
    </row>
    <row r="295" spans="1:4">
      <c r="A295" t="s">
        <v>1028</v>
      </c>
      <c r="B295" t="s">
        <v>1337</v>
      </c>
      <c r="C295">
        <v>14</v>
      </c>
      <c r="D295">
        <v>69915.87</v>
      </c>
    </row>
    <row r="296" spans="1:4">
      <c r="A296" t="s">
        <v>1028</v>
      </c>
      <c r="B296" t="s">
        <v>1338</v>
      </c>
      <c r="C296">
        <v>14</v>
      </c>
      <c r="D296">
        <v>65102.44</v>
      </c>
    </row>
    <row r="297" spans="1:4">
      <c r="A297" t="s">
        <v>1028</v>
      </c>
      <c r="B297" t="s">
        <v>1339</v>
      </c>
      <c r="C297">
        <v>14</v>
      </c>
      <c r="D297">
        <v>60262.28</v>
      </c>
    </row>
    <row r="298" spans="1:4">
      <c r="A298" t="s">
        <v>1028</v>
      </c>
      <c r="B298" t="s">
        <v>1340</v>
      </c>
      <c r="C298">
        <v>12</v>
      </c>
      <c r="D298">
        <v>55395.25</v>
      </c>
    </row>
    <row r="299" spans="1:4">
      <c r="A299" t="s">
        <v>1028</v>
      </c>
      <c r="B299" t="s">
        <v>1341</v>
      </c>
      <c r="C299">
        <v>12</v>
      </c>
      <c r="D299">
        <v>50932.23</v>
      </c>
    </row>
    <row r="300" spans="1:4">
      <c r="A300" t="s">
        <v>1028</v>
      </c>
      <c r="B300" t="s">
        <v>1342</v>
      </c>
      <c r="C300">
        <v>11</v>
      </c>
      <c r="D300">
        <v>46444.68</v>
      </c>
    </row>
    <row r="301" spans="1:4">
      <c r="A301" t="s">
        <v>1028</v>
      </c>
      <c r="B301" t="s">
        <v>1343</v>
      </c>
      <c r="C301">
        <v>10</v>
      </c>
      <c r="D301">
        <v>42083.43</v>
      </c>
    </row>
    <row r="302" spans="1:4">
      <c r="A302" t="s">
        <v>1028</v>
      </c>
      <c r="B302" t="s">
        <v>1344</v>
      </c>
      <c r="C302">
        <v>10</v>
      </c>
      <c r="D302">
        <v>38053.82</v>
      </c>
    </row>
    <row r="303" spans="1:4">
      <c r="A303" t="s">
        <v>1028</v>
      </c>
      <c r="B303" t="s">
        <v>1345</v>
      </c>
      <c r="C303">
        <v>9</v>
      </c>
      <c r="D303">
        <v>34001.230000000003</v>
      </c>
    </row>
    <row r="304" spans="1:4">
      <c r="A304" t="s">
        <v>1028</v>
      </c>
      <c r="B304" t="s">
        <v>1346</v>
      </c>
      <c r="C304">
        <v>9</v>
      </c>
      <c r="D304">
        <v>30227.75</v>
      </c>
    </row>
    <row r="305" spans="1:4">
      <c r="A305" t="s">
        <v>1028</v>
      </c>
      <c r="B305" t="s">
        <v>1347</v>
      </c>
      <c r="C305">
        <v>1814</v>
      </c>
      <c r="D305">
        <v>1072892.1600000008</v>
      </c>
    </row>
    <row r="306" spans="1:4">
      <c r="A306" t="s">
        <v>1028</v>
      </c>
      <c r="B306" t="s">
        <v>1348</v>
      </c>
      <c r="C306">
        <v>2523</v>
      </c>
      <c r="D306">
        <v>4551156.9800000051</v>
      </c>
    </row>
    <row r="307" spans="1:4">
      <c r="A307" t="s">
        <v>1028</v>
      </c>
      <c r="B307" t="s">
        <v>1349</v>
      </c>
      <c r="C307">
        <v>2264</v>
      </c>
      <c r="D307">
        <v>8101017.7100000149</v>
      </c>
    </row>
    <row r="308" spans="1:4">
      <c r="A308" t="s">
        <v>1028</v>
      </c>
      <c r="B308" t="s">
        <v>1350</v>
      </c>
      <c r="C308">
        <v>2323</v>
      </c>
      <c r="D308">
        <v>12138081.069999993</v>
      </c>
    </row>
    <row r="309" spans="1:4">
      <c r="A309" t="s">
        <v>1028</v>
      </c>
      <c r="B309" t="s">
        <v>1351</v>
      </c>
      <c r="C309">
        <v>2202</v>
      </c>
      <c r="D309">
        <v>15854572.199999999</v>
      </c>
    </row>
    <row r="310" spans="1:4">
      <c r="A310" t="s">
        <v>1028</v>
      </c>
      <c r="B310" t="s">
        <v>1352</v>
      </c>
      <c r="C310">
        <v>2509</v>
      </c>
      <c r="D310">
        <v>22014361.830000043</v>
      </c>
    </row>
    <row r="311" spans="1:4">
      <c r="A311" t="s">
        <v>1028</v>
      </c>
      <c r="B311" t="s">
        <v>1353</v>
      </c>
      <c r="C311">
        <v>5572</v>
      </c>
      <c r="D311">
        <v>58015239.93</v>
      </c>
    </row>
    <row r="312" spans="1:4">
      <c r="A312" t="s">
        <v>1028</v>
      </c>
      <c r="B312" t="s">
        <v>1354</v>
      </c>
      <c r="C312">
        <v>5573</v>
      </c>
      <c r="D312">
        <v>82816786.880000293</v>
      </c>
    </row>
    <row r="313" spans="1:4">
      <c r="A313" t="s">
        <v>1028</v>
      </c>
      <c r="B313" t="s">
        <v>1355</v>
      </c>
      <c r="C313">
        <v>10783</v>
      </c>
      <c r="D313">
        <v>186838448.78999981</v>
      </c>
    </row>
    <row r="314" spans="1:4">
      <c r="A314" t="s">
        <v>1028</v>
      </c>
      <c r="B314" t="s">
        <v>1356</v>
      </c>
      <c r="C314">
        <v>3272</v>
      </c>
      <c r="D314">
        <v>61324792.879999802</v>
      </c>
    </row>
    <row r="315" spans="1:4">
      <c r="A315" t="s">
        <v>1028</v>
      </c>
      <c r="B315" t="s">
        <v>1357</v>
      </c>
      <c r="C315">
        <v>997</v>
      </c>
      <c r="D315">
        <v>21237630.350000005</v>
      </c>
    </row>
    <row r="316" spans="1:4">
      <c r="A316" t="s">
        <v>1028</v>
      </c>
      <c r="B316" t="s">
        <v>1358</v>
      </c>
      <c r="C316">
        <v>105</v>
      </c>
      <c r="D316">
        <v>2776011.1799999983</v>
      </c>
    </row>
    <row r="317" spans="1:4">
      <c r="A317" t="s">
        <v>1028</v>
      </c>
      <c r="B317" t="s">
        <v>1359</v>
      </c>
      <c r="C317">
        <v>11</v>
      </c>
      <c r="D317">
        <v>357739.67</v>
      </c>
    </row>
    <row r="318" spans="1:4">
      <c r="A318" t="s">
        <v>1028</v>
      </c>
      <c r="B318" t="s">
        <v>1360</v>
      </c>
      <c r="C318">
        <v>5</v>
      </c>
      <c r="D318">
        <v>92781.13</v>
      </c>
    </row>
    <row r="319" spans="1:4">
      <c r="A319" t="s">
        <v>1028</v>
      </c>
      <c r="B319" t="s">
        <v>1361</v>
      </c>
      <c r="C319">
        <v>9</v>
      </c>
      <c r="D319">
        <v>315638.51</v>
      </c>
    </row>
    <row r="320" spans="1:4">
      <c r="A320" t="s">
        <v>1028</v>
      </c>
      <c r="B320" t="s">
        <v>1362</v>
      </c>
      <c r="C320">
        <v>39962</v>
      </c>
      <c r="D320">
        <v>53.671357066396325</v>
      </c>
    </row>
    <row r="321" spans="1:4">
      <c r="A321" t="s">
        <v>1030</v>
      </c>
      <c r="B321" t="s">
        <v>1363</v>
      </c>
      <c r="C321">
        <v>0</v>
      </c>
      <c r="D321">
        <v>0</v>
      </c>
    </row>
    <row r="322" spans="1:4">
      <c r="A322" t="s">
        <v>1030</v>
      </c>
      <c r="B322" t="s">
        <v>1364</v>
      </c>
      <c r="C322">
        <v>0</v>
      </c>
      <c r="D322">
        <v>0</v>
      </c>
    </row>
    <row r="323" spans="1:4">
      <c r="A323" t="s">
        <v>1030</v>
      </c>
      <c r="B323" t="s">
        <v>1365</v>
      </c>
      <c r="C323">
        <v>0</v>
      </c>
      <c r="D323">
        <v>0</v>
      </c>
    </row>
    <row r="324" spans="1:4">
      <c r="A324" t="s">
        <v>1030</v>
      </c>
      <c r="B324" t="s">
        <v>1366</v>
      </c>
      <c r="C324">
        <v>0</v>
      </c>
      <c r="D324">
        <v>0</v>
      </c>
    </row>
    <row r="325" spans="1:4">
      <c r="A325" t="s">
        <v>1030</v>
      </c>
      <c r="B325" t="s">
        <v>1367</v>
      </c>
      <c r="C325">
        <v>0</v>
      </c>
      <c r="D325">
        <v>0</v>
      </c>
    </row>
    <row r="326" spans="1:4">
      <c r="A326" t="s">
        <v>1030</v>
      </c>
      <c r="B326" t="s">
        <v>1368</v>
      </c>
      <c r="C326">
        <v>0</v>
      </c>
      <c r="D326">
        <v>0</v>
      </c>
    </row>
    <row r="327" spans="1:4">
      <c r="A327" t="s">
        <v>1030</v>
      </c>
      <c r="B327" t="s">
        <v>1369</v>
      </c>
      <c r="C327">
        <v>0</v>
      </c>
      <c r="D327">
        <v>0</v>
      </c>
    </row>
    <row r="328" spans="1:4">
      <c r="A328" t="s">
        <v>1030</v>
      </c>
      <c r="B328" t="s">
        <v>1370</v>
      </c>
      <c r="C328">
        <v>0</v>
      </c>
      <c r="D328">
        <v>0</v>
      </c>
    </row>
    <row r="329" spans="1:4">
      <c r="A329" t="s">
        <v>1028</v>
      </c>
      <c r="B329" t="s">
        <v>1371</v>
      </c>
      <c r="C329">
        <v>760</v>
      </c>
      <c r="D329">
        <v>9669663.1699999962</v>
      </c>
    </row>
    <row r="330" spans="1:4">
      <c r="A330" t="s">
        <v>1028</v>
      </c>
      <c r="B330" t="s">
        <v>1372</v>
      </c>
      <c r="C330">
        <v>1386</v>
      </c>
      <c r="D330">
        <v>17457674.370000005</v>
      </c>
    </row>
    <row r="331" spans="1:4">
      <c r="A331" t="s">
        <v>1028</v>
      </c>
      <c r="B331" t="s">
        <v>1373</v>
      </c>
      <c r="C331">
        <v>1813</v>
      </c>
      <c r="D331">
        <v>22378062.380000003</v>
      </c>
    </row>
    <row r="332" spans="1:4">
      <c r="A332" t="s">
        <v>1028</v>
      </c>
      <c r="B332" t="s">
        <v>1374</v>
      </c>
      <c r="C332">
        <v>2415</v>
      </c>
      <c r="D332">
        <v>28323073.930000003</v>
      </c>
    </row>
    <row r="333" spans="1:4">
      <c r="A333" t="s">
        <v>1028</v>
      </c>
      <c r="B333" t="s">
        <v>1375</v>
      </c>
      <c r="C333">
        <v>9901</v>
      </c>
      <c r="D333">
        <v>122596523.58999982</v>
      </c>
    </row>
    <row r="334" spans="1:4">
      <c r="A334" t="s">
        <v>1028</v>
      </c>
      <c r="B334" t="s">
        <v>1376</v>
      </c>
      <c r="C334">
        <v>10910</v>
      </c>
      <c r="D334">
        <v>141370932.48000035</v>
      </c>
    </row>
    <row r="335" spans="1:4">
      <c r="A335" t="s">
        <v>1028</v>
      </c>
      <c r="B335" t="s">
        <v>1377</v>
      </c>
      <c r="C335">
        <v>6640</v>
      </c>
      <c r="D335">
        <v>75940417.000000164</v>
      </c>
    </row>
    <row r="336" spans="1:4">
      <c r="A336" t="s">
        <v>1028</v>
      </c>
      <c r="B336" t="s">
        <v>1378</v>
      </c>
      <c r="C336">
        <v>4216</v>
      </c>
      <c r="D336">
        <v>42019288.210000031</v>
      </c>
    </row>
    <row r="337" spans="1:4">
      <c r="A337" t="s">
        <v>1028</v>
      </c>
      <c r="B337" t="s">
        <v>1379</v>
      </c>
      <c r="C337">
        <v>793</v>
      </c>
      <c r="D337">
        <v>7820878.4200000092</v>
      </c>
    </row>
    <row r="338" spans="1:4">
      <c r="A338" t="s">
        <v>1028</v>
      </c>
      <c r="B338" t="s">
        <v>1380</v>
      </c>
      <c r="C338">
        <v>501</v>
      </c>
      <c r="D338">
        <v>5030994.8599999975</v>
      </c>
    </row>
    <row r="339" spans="1:4">
      <c r="A339" t="s">
        <v>1028</v>
      </c>
      <c r="B339" t="s">
        <v>1381</v>
      </c>
      <c r="C339">
        <v>292</v>
      </c>
      <c r="D339">
        <v>2583562.290000001</v>
      </c>
    </row>
    <row r="340" spans="1:4">
      <c r="A340" t="s">
        <v>1028</v>
      </c>
      <c r="B340" t="s">
        <v>1382</v>
      </c>
      <c r="C340">
        <v>228</v>
      </c>
      <c r="D340">
        <v>1705836.6699999995</v>
      </c>
    </row>
    <row r="341" spans="1:4">
      <c r="A341" t="s">
        <v>1028</v>
      </c>
      <c r="B341" t="s">
        <v>1383</v>
      </c>
      <c r="C341">
        <v>38</v>
      </c>
      <c r="D341">
        <v>276416.35000000003</v>
      </c>
    </row>
    <row r="342" spans="1:4">
      <c r="A342" t="s">
        <v>1028</v>
      </c>
      <c r="B342" t="s">
        <v>1384</v>
      </c>
      <c r="C342">
        <v>18</v>
      </c>
      <c r="D342">
        <v>112150.16999999998</v>
      </c>
    </row>
    <row r="343" spans="1:4">
      <c r="A343" t="s">
        <v>1028</v>
      </c>
      <c r="B343" t="s">
        <v>1385</v>
      </c>
      <c r="C343">
        <v>18</v>
      </c>
      <c r="D343">
        <v>99145.47</v>
      </c>
    </row>
    <row r="344" spans="1:4">
      <c r="A344" t="s">
        <v>1028</v>
      </c>
      <c r="B344" t="s">
        <v>1386</v>
      </c>
      <c r="C344">
        <v>15</v>
      </c>
      <c r="D344">
        <v>48181.959999999985</v>
      </c>
    </row>
    <row r="345" spans="1:4">
      <c r="A345" t="s">
        <v>1028</v>
      </c>
      <c r="B345" t="s">
        <v>1387</v>
      </c>
      <c r="C345">
        <v>3</v>
      </c>
      <c r="D345">
        <v>28910.29</v>
      </c>
    </row>
    <row r="346" spans="1:4">
      <c r="A346" t="s">
        <v>1028</v>
      </c>
      <c r="B346" t="s">
        <v>1388</v>
      </c>
      <c r="C346">
        <v>4</v>
      </c>
      <c r="D346">
        <v>17507.54</v>
      </c>
    </row>
    <row r="347" spans="1:4">
      <c r="A347" t="s">
        <v>1028</v>
      </c>
      <c r="B347" t="s">
        <v>1389</v>
      </c>
      <c r="C347">
        <v>7</v>
      </c>
      <c r="D347">
        <v>21075.87</v>
      </c>
    </row>
    <row r="348" spans="1:4">
      <c r="A348" t="s">
        <v>1028</v>
      </c>
      <c r="B348" t="s">
        <v>1390</v>
      </c>
      <c r="C348">
        <v>4</v>
      </c>
      <c r="D348">
        <v>6856.25</v>
      </c>
    </row>
    <row r="349" spans="1:4">
      <c r="A349" t="s">
        <v>1028</v>
      </c>
      <c r="B349" t="s">
        <v>1391</v>
      </c>
      <c r="C349">
        <v>39962</v>
      </c>
      <c r="D349">
        <v>39.171432272358885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3"/>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637</v>
      </c>
      <c r="B1" t="s">
        <v>638</v>
      </c>
      <c r="C1" t="s">
        <v>639</v>
      </c>
      <c r="D1" t="s">
        <v>640</v>
      </c>
      <c r="E1" t="s">
        <v>641</v>
      </c>
    </row>
    <row r="2" spans="1:5">
      <c r="A2">
        <v>38</v>
      </c>
      <c r="B2" t="s">
        <v>1392</v>
      </c>
      <c r="D2" s="965">
        <v>45908</v>
      </c>
      <c r="E2" t="s">
        <v>1393</v>
      </c>
    </row>
    <row r="3" spans="1:5">
      <c r="A3">
        <v>38</v>
      </c>
      <c r="B3" t="s">
        <v>1394</v>
      </c>
      <c r="D3" s="965">
        <v>45911</v>
      </c>
      <c r="E3" t="s">
        <v>1393</v>
      </c>
    </row>
    <row r="4" spans="1:5">
      <c r="A4">
        <v>38</v>
      </c>
      <c r="B4" t="s">
        <v>1395</v>
      </c>
      <c r="D4" s="965">
        <v>45915</v>
      </c>
      <c r="E4" t="s">
        <v>1393</v>
      </c>
    </row>
    <row r="5" spans="1:5">
      <c r="A5">
        <v>38</v>
      </c>
      <c r="B5" t="s">
        <v>1396</v>
      </c>
      <c r="C5">
        <v>35</v>
      </c>
      <c r="E5" t="s">
        <v>1393</v>
      </c>
    </row>
    <row r="6" spans="1:5">
      <c r="A6">
        <v>38</v>
      </c>
      <c r="B6" t="s">
        <v>1397</v>
      </c>
      <c r="D6" s="965">
        <v>45915</v>
      </c>
      <c r="E6" t="s">
        <v>1393</v>
      </c>
    </row>
    <row r="7" spans="1:5">
      <c r="A7">
        <v>38</v>
      </c>
      <c r="B7" t="s">
        <v>1398</v>
      </c>
      <c r="D7" s="965">
        <v>45883</v>
      </c>
      <c r="E7" t="s">
        <v>1393</v>
      </c>
    </row>
    <row r="8" spans="1:5">
      <c r="A8">
        <v>38</v>
      </c>
      <c r="B8" t="s">
        <v>1399</v>
      </c>
      <c r="C8">
        <v>493866831.41000003</v>
      </c>
      <c r="E8" t="s">
        <v>1393</v>
      </c>
    </row>
    <row r="9" spans="1:5">
      <c r="A9">
        <v>38</v>
      </c>
      <c r="B9" t="s">
        <v>1400</v>
      </c>
      <c r="C9">
        <v>512919477.87</v>
      </c>
      <c r="E9" t="s">
        <v>1393</v>
      </c>
    </row>
    <row r="10" spans="1:5">
      <c r="A10">
        <v>38</v>
      </c>
      <c r="B10" t="s">
        <v>1401</v>
      </c>
      <c r="C10">
        <v>14728161.709999999</v>
      </c>
      <c r="E10" t="s">
        <v>1393</v>
      </c>
    </row>
    <row r="11" spans="1:5">
      <c r="A11">
        <v>38</v>
      </c>
      <c r="B11" t="s">
        <v>1402</v>
      </c>
      <c r="C11">
        <v>16658184.25</v>
      </c>
      <c r="E11" t="s">
        <v>1393</v>
      </c>
    </row>
    <row r="12" spans="1:5">
      <c r="A12">
        <v>38</v>
      </c>
      <c r="B12" t="s">
        <v>1403</v>
      </c>
      <c r="C12">
        <v>2236343.63</v>
      </c>
      <c r="E12" t="s">
        <v>1393</v>
      </c>
    </row>
    <row r="13" spans="1:5">
      <c r="A13">
        <v>38</v>
      </c>
      <c r="B13" t="s">
        <v>1404</v>
      </c>
      <c r="C13">
        <v>2320819.58</v>
      </c>
      <c r="E13" t="s">
        <v>1393</v>
      </c>
    </row>
    <row r="14" spans="1:5">
      <c r="A14">
        <v>38</v>
      </c>
      <c r="B14" t="s">
        <v>1405</v>
      </c>
      <c r="C14">
        <v>1631518.43</v>
      </c>
      <c r="E14" t="s">
        <v>1393</v>
      </c>
    </row>
    <row r="15" spans="1:5">
      <c r="A15">
        <v>38</v>
      </c>
      <c r="B15" t="s">
        <v>1406</v>
      </c>
      <c r="C15">
        <v>2394462.21</v>
      </c>
      <c r="E15" t="s">
        <v>1393</v>
      </c>
    </row>
    <row r="16" spans="1:5">
      <c r="A16">
        <v>38</v>
      </c>
      <c r="B16" t="s">
        <v>1407</v>
      </c>
      <c r="C16">
        <v>0</v>
      </c>
      <c r="E16" t="s">
        <v>1393</v>
      </c>
    </row>
    <row r="17" spans="1:5">
      <c r="A17">
        <v>38</v>
      </c>
      <c r="B17" t="s">
        <v>1408</v>
      </c>
      <c r="C17">
        <v>0</v>
      </c>
      <c r="E17" t="s">
        <v>1393</v>
      </c>
    </row>
    <row r="18" spans="1:5">
      <c r="A18">
        <v>38</v>
      </c>
      <c r="B18" t="s">
        <v>1409</v>
      </c>
      <c r="C18">
        <v>477507151.26999998</v>
      </c>
      <c r="E18" t="s">
        <v>1393</v>
      </c>
    </row>
    <row r="19" spans="1:5">
      <c r="A19">
        <v>38</v>
      </c>
      <c r="B19" t="s">
        <v>1410</v>
      </c>
      <c r="C19">
        <v>493866831.41000003</v>
      </c>
      <c r="E19" t="s">
        <v>1393</v>
      </c>
    </row>
    <row r="20" spans="1:5">
      <c r="A20">
        <v>38</v>
      </c>
      <c r="B20" t="s">
        <v>1411</v>
      </c>
      <c r="C20">
        <v>1.1399997211992741</v>
      </c>
      <c r="E20" t="s">
        <v>1393</v>
      </c>
    </row>
    <row r="21" spans="1:5">
      <c r="A21">
        <v>38</v>
      </c>
      <c r="B21" t="s">
        <v>1412</v>
      </c>
      <c r="C21">
        <v>37.419999722391367</v>
      </c>
      <c r="E21" t="s">
        <v>1393</v>
      </c>
    </row>
    <row r="22" spans="1:5">
      <c r="A22">
        <v>38</v>
      </c>
      <c r="B22" t="s">
        <v>1413</v>
      </c>
      <c r="C22">
        <v>477507152.40999973</v>
      </c>
      <c r="E22" t="s">
        <v>1393</v>
      </c>
    </row>
    <row r="23" spans="1:5">
      <c r="A23">
        <v>38</v>
      </c>
      <c r="B23" t="s">
        <v>1414</v>
      </c>
      <c r="C23">
        <v>493866868.82999974</v>
      </c>
      <c r="E23" t="s">
        <v>1393</v>
      </c>
    </row>
    <row r="24" spans="1:5">
      <c r="A24">
        <v>38</v>
      </c>
      <c r="B24" t="s">
        <v>1415</v>
      </c>
      <c r="C24">
        <v>12655445.01</v>
      </c>
      <c r="E24" t="s">
        <v>1393</v>
      </c>
    </row>
    <row r="25" spans="1:5">
      <c r="A25">
        <v>38</v>
      </c>
      <c r="B25" t="s">
        <v>1416</v>
      </c>
      <c r="C25">
        <v>12655445.01</v>
      </c>
      <c r="E25" t="s">
        <v>1393</v>
      </c>
    </row>
    <row r="26" spans="1:5">
      <c r="A26">
        <v>38</v>
      </c>
      <c r="B26" t="s">
        <v>1417</v>
      </c>
      <c r="C26">
        <v>0</v>
      </c>
      <c r="E26" t="s">
        <v>1393</v>
      </c>
    </row>
    <row r="27" spans="1:5">
      <c r="A27">
        <v>38</v>
      </c>
      <c r="B27" t="s">
        <v>1418</v>
      </c>
      <c r="C27">
        <v>0</v>
      </c>
      <c r="E27" t="s">
        <v>1393</v>
      </c>
    </row>
    <row r="28" spans="1:5">
      <c r="A28">
        <v>38</v>
      </c>
      <c r="B28" t="s">
        <v>1419</v>
      </c>
      <c r="C28">
        <v>12636000</v>
      </c>
      <c r="E28" t="s">
        <v>1393</v>
      </c>
    </row>
    <row r="29" spans="1:5">
      <c r="A29">
        <v>38</v>
      </c>
      <c r="B29" t="s">
        <v>1420</v>
      </c>
      <c r="C29">
        <v>12636000</v>
      </c>
      <c r="E29" t="s">
        <v>1393</v>
      </c>
    </row>
    <row r="30" spans="1:5">
      <c r="A30">
        <v>38</v>
      </c>
      <c r="B30" t="s">
        <v>1421</v>
      </c>
      <c r="C30">
        <v>12636000</v>
      </c>
      <c r="E30" t="s">
        <v>1393</v>
      </c>
    </row>
    <row r="31" spans="1:5">
      <c r="A31">
        <v>38</v>
      </c>
      <c r="B31" t="s">
        <v>1422</v>
      </c>
      <c r="E31" t="s">
        <v>231</v>
      </c>
    </row>
    <row r="32" spans="1:5">
      <c r="A32">
        <v>38</v>
      </c>
      <c r="B32" t="s">
        <v>1423</v>
      </c>
      <c r="E32" t="s">
        <v>231</v>
      </c>
    </row>
    <row r="33" spans="1:5">
      <c r="A33">
        <v>38</v>
      </c>
      <c r="B33" t="s">
        <v>1424</v>
      </c>
      <c r="E33" t="s">
        <v>1393</v>
      </c>
    </row>
    <row r="34" spans="1:5">
      <c r="A34">
        <v>38</v>
      </c>
      <c r="B34" t="s">
        <v>1425</v>
      </c>
      <c r="E34" t="s">
        <v>1393</v>
      </c>
    </row>
    <row r="35" spans="1:5">
      <c r="A35">
        <v>38</v>
      </c>
      <c r="B35" t="s">
        <v>1426</v>
      </c>
      <c r="E35" t="s">
        <v>231</v>
      </c>
    </row>
    <row r="36" spans="1:5">
      <c r="A36">
        <v>38</v>
      </c>
      <c r="B36" t="s">
        <v>1427</v>
      </c>
      <c r="C36">
        <v>0</v>
      </c>
      <c r="E36" t="s">
        <v>231</v>
      </c>
    </row>
    <row r="37" spans="1:5">
      <c r="A37">
        <v>38</v>
      </c>
      <c r="B37" t="s">
        <v>1428</v>
      </c>
      <c r="C37">
        <v>0</v>
      </c>
      <c r="E37" t="s">
        <v>1393</v>
      </c>
    </row>
    <row r="38" spans="1:5">
      <c r="A38">
        <v>38</v>
      </c>
      <c r="B38" t="s">
        <v>1429</v>
      </c>
      <c r="E38" t="s">
        <v>43</v>
      </c>
    </row>
    <row r="39" spans="1:5">
      <c r="A39">
        <v>38</v>
      </c>
      <c r="B39" t="s">
        <v>1430</v>
      </c>
      <c r="E39" t="s">
        <v>231</v>
      </c>
    </row>
    <row r="40" spans="1:5">
      <c r="A40">
        <v>38</v>
      </c>
      <c r="B40" t="s">
        <v>1431</v>
      </c>
      <c r="E40" t="s">
        <v>231</v>
      </c>
    </row>
    <row r="41" spans="1:5">
      <c r="A41">
        <v>38</v>
      </c>
      <c r="B41" t="s">
        <v>1432</v>
      </c>
      <c r="E41" t="s">
        <v>1393</v>
      </c>
    </row>
    <row r="42" spans="1:5">
      <c r="A42">
        <v>38</v>
      </c>
      <c r="B42" t="s">
        <v>1433</v>
      </c>
      <c r="E42" t="s">
        <v>1393</v>
      </c>
    </row>
    <row r="43" spans="1:5">
      <c r="A43">
        <v>38</v>
      </c>
      <c r="B43" t="s">
        <v>1434</v>
      </c>
      <c r="E43" t="s">
        <v>231</v>
      </c>
    </row>
    <row r="44" spans="1:5">
      <c r="A44">
        <v>38</v>
      </c>
      <c r="B44" t="s">
        <v>1435</v>
      </c>
      <c r="C44">
        <v>0</v>
      </c>
      <c r="E44" t="s">
        <v>231</v>
      </c>
    </row>
    <row r="45" spans="1:5">
      <c r="A45">
        <v>38</v>
      </c>
      <c r="B45" t="s">
        <v>1436</v>
      </c>
      <c r="C45">
        <v>0</v>
      </c>
      <c r="E45" t="s">
        <v>1393</v>
      </c>
    </row>
    <row r="46" spans="1:5">
      <c r="A46">
        <v>38</v>
      </c>
      <c r="B46" t="s">
        <v>1437</v>
      </c>
      <c r="E46" t="s">
        <v>43</v>
      </c>
    </row>
    <row r="47" spans="1:5">
      <c r="A47">
        <v>38</v>
      </c>
      <c r="B47" t="s">
        <v>1438</v>
      </c>
      <c r="C47">
        <v>0</v>
      </c>
      <c r="E47" t="s">
        <v>1393</v>
      </c>
    </row>
    <row r="48" spans="1:5">
      <c r="A48">
        <v>38</v>
      </c>
      <c r="B48" t="s">
        <v>1439</v>
      </c>
      <c r="C48">
        <v>1631518.43</v>
      </c>
      <c r="E48" t="s">
        <v>1393</v>
      </c>
    </row>
    <row r="49" spans="1:5">
      <c r="A49">
        <v>38</v>
      </c>
      <c r="B49" t="s">
        <v>1440</v>
      </c>
      <c r="C49">
        <v>184720.33</v>
      </c>
      <c r="E49" t="s">
        <v>1393</v>
      </c>
    </row>
    <row r="50" spans="1:5">
      <c r="A50">
        <v>38</v>
      </c>
      <c r="B50" t="s">
        <v>1441</v>
      </c>
      <c r="C50">
        <v>24</v>
      </c>
      <c r="E50" t="s">
        <v>1393</v>
      </c>
    </row>
    <row r="51" spans="1:5">
      <c r="A51">
        <v>38</v>
      </c>
      <c r="B51" t="s">
        <v>1442</v>
      </c>
      <c r="C51">
        <v>67871559.180000022</v>
      </c>
      <c r="E51" t="s">
        <v>1393</v>
      </c>
    </row>
    <row r="52" spans="1:5">
      <c r="A52">
        <v>38</v>
      </c>
      <c r="B52" t="s">
        <v>1443</v>
      </c>
      <c r="C52">
        <v>3240931.7200000007</v>
      </c>
      <c r="E52" t="s">
        <v>1393</v>
      </c>
    </row>
    <row r="53" spans="1:5">
      <c r="A53">
        <v>38</v>
      </c>
      <c r="B53" t="s">
        <v>1444</v>
      </c>
      <c r="C53">
        <v>3562</v>
      </c>
      <c r="E53" t="s">
        <v>1393</v>
      </c>
    </row>
    <row r="54" spans="1:5">
      <c r="A54">
        <v>38</v>
      </c>
      <c r="B54" t="s">
        <v>1445</v>
      </c>
      <c r="C54">
        <v>4.4932845930851888E-2</v>
      </c>
      <c r="E54" t="s">
        <v>1393</v>
      </c>
    </row>
    <row r="55" spans="1:5">
      <c r="A55">
        <v>38</v>
      </c>
      <c r="B55" t="s">
        <v>1446</v>
      </c>
      <c r="C55">
        <v>4.6583833079946166E-2</v>
      </c>
      <c r="E55" t="s">
        <v>1393</v>
      </c>
    </row>
    <row r="56" spans="1:5">
      <c r="A56">
        <v>38</v>
      </c>
      <c r="B56" t="s">
        <v>1447</v>
      </c>
      <c r="C56">
        <v>4.7650520583275159E-2</v>
      </c>
      <c r="E56" t="s">
        <v>1393</v>
      </c>
    </row>
    <row r="57" spans="1:5">
      <c r="A57">
        <v>38</v>
      </c>
      <c r="B57" t="s">
        <v>1448</v>
      </c>
      <c r="C57">
        <v>0</v>
      </c>
      <c r="E57" t="s">
        <v>1393</v>
      </c>
    </row>
    <row r="58" spans="1:5">
      <c r="A58">
        <v>38</v>
      </c>
      <c r="B58" t="s">
        <v>1449</v>
      </c>
      <c r="C58">
        <v>0</v>
      </c>
      <c r="E58" t="s">
        <v>1393</v>
      </c>
    </row>
    <row r="59" spans="1:5">
      <c r="A59">
        <v>38</v>
      </c>
      <c r="B59" t="s">
        <v>1450</v>
      </c>
      <c r="C59">
        <v>0</v>
      </c>
      <c r="E59" t="s">
        <v>1393</v>
      </c>
    </row>
    <row r="60" spans="1:5">
      <c r="A60">
        <v>38</v>
      </c>
      <c r="B60" t="s">
        <v>1451</v>
      </c>
      <c r="C60">
        <v>0</v>
      </c>
      <c r="E60" t="s">
        <v>1393</v>
      </c>
    </row>
    <row r="61" spans="1:5">
      <c r="A61">
        <v>38</v>
      </c>
      <c r="B61" t="s">
        <v>1452</v>
      </c>
      <c r="C61">
        <v>0</v>
      </c>
      <c r="E61" t="s">
        <v>1393</v>
      </c>
    </row>
    <row r="62" spans="1:5">
      <c r="A62">
        <v>38</v>
      </c>
      <c r="B62" t="s">
        <v>1453</v>
      </c>
      <c r="C62">
        <v>0</v>
      </c>
      <c r="E62" t="s">
        <v>1393</v>
      </c>
    </row>
    <row r="63" spans="1:5">
      <c r="A63">
        <v>38</v>
      </c>
      <c r="B63" t="s">
        <v>1454</v>
      </c>
      <c r="C63">
        <v>0</v>
      </c>
      <c r="E63" t="s">
        <v>1393</v>
      </c>
    </row>
    <row r="64" spans="1:5">
      <c r="A64">
        <v>38</v>
      </c>
      <c r="B64" t="s">
        <v>1455</v>
      </c>
      <c r="C64">
        <v>0</v>
      </c>
      <c r="E64" t="s">
        <v>1393</v>
      </c>
    </row>
    <row r="65" spans="1:5">
      <c r="A65">
        <v>38</v>
      </c>
      <c r="B65" t="s">
        <v>1456</v>
      </c>
      <c r="C65">
        <v>0</v>
      </c>
      <c r="E65" t="s">
        <v>1393</v>
      </c>
    </row>
    <row r="66" spans="1:5">
      <c r="A66">
        <v>38</v>
      </c>
      <c r="B66" t="s">
        <v>1457</v>
      </c>
      <c r="C66">
        <v>0</v>
      </c>
      <c r="E66" t="s">
        <v>1393</v>
      </c>
    </row>
    <row r="67" spans="1:5">
      <c r="A67">
        <v>38</v>
      </c>
      <c r="B67" t="s">
        <v>1458</v>
      </c>
      <c r="C67">
        <v>0</v>
      </c>
      <c r="E67" t="s">
        <v>1393</v>
      </c>
    </row>
    <row r="68" spans="1:5">
      <c r="A68">
        <v>38</v>
      </c>
      <c r="B68" t="s">
        <v>1459</v>
      </c>
      <c r="C68">
        <v>0</v>
      </c>
      <c r="E68" t="s">
        <v>1393</v>
      </c>
    </row>
    <row r="69" spans="1:5">
      <c r="A69">
        <v>38</v>
      </c>
      <c r="B69" t="s">
        <v>1460</v>
      </c>
      <c r="C69">
        <v>0</v>
      </c>
      <c r="E69" t="s">
        <v>1393</v>
      </c>
    </row>
    <row r="70" spans="1:5">
      <c r="A70">
        <v>38</v>
      </c>
      <c r="B70" t="s">
        <v>1461</v>
      </c>
      <c r="C70">
        <v>0</v>
      </c>
      <c r="E70" t="s">
        <v>1393</v>
      </c>
    </row>
    <row r="71" spans="1:5">
      <c r="A71">
        <v>38</v>
      </c>
      <c r="B71" t="s">
        <v>1462</v>
      </c>
      <c r="C71">
        <v>0</v>
      </c>
      <c r="E71" t="s">
        <v>1393</v>
      </c>
    </row>
    <row r="72" spans="1:5">
      <c r="A72">
        <v>38</v>
      </c>
      <c r="B72" t="s">
        <v>1463</v>
      </c>
      <c r="C72">
        <v>0</v>
      </c>
      <c r="E72" t="s">
        <v>1393</v>
      </c>
    </row>
    <row r="73" spans="1:5">
      <c r="A73">
        <v>38</v>
      </c>
      <c r="B73" t="s">
        <v>1464</v>
      </c>
      <c r="C73">
        <v>0</v>
      </c>
      <c r="E73" t="s">
        <v>1393</v>
      </c>
    </row>
    <row r="74" spans="1:5">
      <c r="A74">
        <v>38</v>
      </c>
      <c r="B74" t="s">
        <v>1465</v>
      </c>
      <c r="C74">
        <v>0</v>
      </c>
      <c r="E74" t="s">
        <v>1393</v>
      </c>
    </row>
    <row r="75" spans="1:5">
      <c r="A75">
        <v>38</v>
      </c>
      <c r="B75" t="s">
        <v>1466</v>
      </c>
      <c r="C75">
        <v>0</v>
      </c>
      <c r="E75" t="s">
        <v>1393</v>
      </c>
    </row>
    <row r="76" spans="1:5">
      <c r="A76">
        <v>38</v>
      </c>
      <c r="B76" t="s">
        <v>1467</v>
      </c>
      <c r="C76">
        <v>0</v>
      </c>
      <c r="E76" t="s">
        <v>1393</v>
      </c>
    </row>
    <row r="77" spans="1:5">
      <c r="A77">
        <v>38</v>
      </c>
      <c r="B77" t="s">
        <v>1468</v>
      </c>
      <c r="C77">
        <v>0</v>
      </c>
      <c r="E77" t="s">
        <v>1393</v>
      </c>
    </row>
    <row r="78" spans="1:5">
      <c r="A78">
        <v>38</v>
      </c>
      <c r="B78" t="s">
        <v>1469</v>
      </c>
      <c r="C78">
        <v>0</v>
      </c>
      <c r="E78" t="s">
        <v>1393</v>
      </c>
    </row>
    <row r="79" spans="1:5">
      <c r="A79">
        <v>38</v>
      </c>
      <c r="B79" t="s">
        <v>1470</v>
      </c>
      <c r="C79">
        <v>0</v>
      </c>
      <c r="E79" t="s">
        <v>1393</v>
      </c>
    </row>
    <row r="80" spans="1:5">
      <c r="A80">
        <v>38</v>
      </c>
      <c r="B80" t="s">
        <v>1471</v>
      </c>
      <c r="C80">
        <v>0</v>
      </c>
      <c r="E80" t="s">
        <v>1393</v>
      </c>
    </row>
    <row r="81" spans="1:5">
      <c r="A81">
        <v>38</v>
      </c>
      <c r="B81" t="s">
        <v>1472</v>
      </c>
      <c r="C81">
        <v>21500088.569999997</v>
      </c>
      <c r="E81" t="s">
        <v>1393</v>
      </c>
    </row>
    <row r="82" spans="1:5">
      <c r="A82">
        <v>38</v>
      </c>
      <c r="B82" t="s">
        <v>1473</v>
      </c>
      <c r="C82">
        <v>1631518.43</v>
      </c>
      <c r="E82" t="s">
        <v>1393</v>
      </c>
    </row>
    <row r="83" spans="1:5">
      <c r="A83">
        <v>38</v>
      </c>
      <c r="B83" t="s">
        <v>1474</v>
      </c>
      <c r="C83">
        <v>501270.80999999866</v>
      </c>
      <c r="E83" t="s">
        <v>1393</v>
      </c>
    </row>
    <row r="84" spans="1:5">
      <c r="A84">
        <v>38</v>
      </c>
      <c r="B84" t="s">
        <v>1475</v>
      </c>
      <c r="C84">
        <v>22630336.189999998</v>
      </c>
      <c r="E84" t="s">
        <v>1393</v>
      </c>
    </row>
    <row r="85" spans="1:5">
      <c r="A85">
        <v>38</v>
      </c>
      <c r="B85" t="s">
        <v>1476</v>
      </c>
      <c r="C85">
        <v>4.7650520583275159E-2</v>
      </c>
      <c r="E85" t="s">
        <v>1393</v>
      </c>
    </row>
    <row r="86" spans="1:5">
      <c r="A86">
        <v>38</v>
      </c>
      <c r="B86" t="s">
        <v>1477</v>
      </c>
      <c r="C86">
        <v>49.769999725744128</v>
      </c>
      <c r="E86" t="s">
        <v>1393</v>
      </c>
    </row>
    <row r="87" spans="1:5">
      <c r="A87">
        <v>38</v>
      </c>
      <c r="B87" t="s">
        <v>1412</v>
      </c>
      <c r="C87">
        <v>37.419999722391367</v>
      </c>
      <c r="E87" t="s">
        <v>1393</v>
      </c>
    </row>
    <row r="88" spans="1:5">
      <c r="A88">
        <v>38</v>
      </c>
      <c r="B88" t="s">
        <v>1411</v>
      </c>
      <c r="C88">
        <v>1.1399997211992741</v>
      </c>
      <c r="E88" t="s">
        <v>1393</v>
      </c>
    </row>
    <row r="89" spans="1:5">
      <c r="A89">
        <v>38</v>
      </c>
      <c r="B89" t="s">
        <v>1478</v>
      </c>
      <c r="C89">
        <v>1.9162312283619327E-2</v>
      </c>
      <c r="E89" t="s">
        <v>1393</v>
      </c>
    </row>
    <row r="90" spans="1:5">
      <c r="A90">
        <v>38</v>
      </c>
      <c r="B90" t="s">
        <v>1479</v>
      </c>
      <c r="C90">
        <v>2.1500088569999996E-2</v>
      </c>
      <c r="E90" t="s">
        <v>1393</v>
      </c>
    </row>
    <row r="91" spans="1:5">
      <c r="A91">
        <v>38</v>
      </c>
      <c r="B91" t="s">
        <v>1480</v>
      </c>
      <c r="C91">
        <v>2.2630336189999999E-2</v>
      </c>
      <c r="E91" t="s">
        <v>1393</v>
      </c>
    </row>
    <row r="92" spans="1:5">
      <c r="A92">
        <v>38</v>
      </c>
      <c r="B92" t="s">
        <v>1481</v>
      </c>
      <c r="C92">
        <v>509625788.23999989</v>
      </c>
      <c r="E92" t="s">
        <v>1393</v>
      </c>
    </row>
    <row r="93" spans="1:5">
      <c r="A93">
        <v>38</v>
      </c>
      <c r="B93" t="s">
        <v>1482</v>
      </c>
      <c r="C93">
        <v>328115264.39999992</v>
      </c>
      <c r="E93" t="s">
        <v>1393</v>
      </c>
    </row>
    <row r="94" spans="1:5">
      <c r="A94">
        <v>38</v>
      </c>
      <c r="B94" t="s">
        <v>1483</v>
      </c>
      <c r="C94">
        <v>30858286.800000001</v>
      </c>
      <c r="E94" t="s">
        <v>1393</v>
      </c>
    </row>
    <row r="95" spans="1:5">
      <c r="A95">
        <v>38</v>
      </c>
      <c r="B95" t="s">
        <v>1484</v>
      </c>
      <c r="C95">
        <v>38572858.5</v>
      </c>
      <c r="E95" t="s">
        <v>1393</v>
      </c>
    </row>
    <row r="96" spans="1:5">
      <c r="A96">
        <v>38</v>
      </c>
      <c r="B96" t="s">
        <v>1485</v>
      </c>
      <c r="C96">
        <v>28052988</v>
      </c>
      <c r="E96" t="s">
        <v>1393</v>
      </c>
    </row>
    <row r="97" spans="1:5">
      <c r="A97">
        <v>38</v>
      </c>
      <c r="B97" t="s">
        <v>1486</v>
      </c>
      <c r="C97">
        <v>35767559.699999988</v>
      </c>
      <c r="E97" t="s">
        <v>1393</v>
      </c>
    </row>
    <row r="98" spans="1:5">
      <c r="A98">
        <v>38</v>
      </c>
      <c r="B98" t="s">
        <v>1487</v>
      </c>
      <c r="C98">
        <v>20258830.840000004</v>
      </c>
      <c r="E98" t="s">
        <v>1393</v>
      </c>
    </row>
    <row r="99" spans="1:5">
      <c r="A99">
        <v>38</v>
      </c>
      <c r="B99" t="s">
        <v>1488</v>
      </c>
      <c r="C99">
        <v>28000000</v>
      </c>
      <c r="E99" t="s">
        <v>1393</v>
      </c>
    </row>
    <row r="100" spans="1:5">
      <c r="A100">
        <v>38</v>
      </c>
      <c r="B100" t="s">
        <v>228</v>
      </c>
      <c r="C100">
        <v>0</v>
      </c>
      <c r="E100" t="s">
        <v>1393</v>
      </c>
    </row>
    <row r="101" spans="1:5">
      <c r="A101">
        <v>38</v>
      </c>
      <c r="B101" t="s">
        <v>1489</v>
      </c>
      <c r="C101">
        <v>15229468.800000001</v>
      </c>
      <c r="E101" t="s">
        <v>1393</v>
      </c>
    </row>
    <row r="102" spans="1:5">
      <c r="A102">
        <v>38</v>
      </c>
      <c r="B102" t="s">
        <v>1490</v>
      </c>
      <c r="C102">
        <v>15229468.800000001</v>
      </c>
      <c r="E102" t="s">
        <v>1393</v>
      </c>
    </row>
    <row r="103" spans="1:5">
      <c r="A103">
        <v>38</v>
      </c>
      <c r="B103" t="s">
        <v>1491</v>
      </c>
      <c r="C103">
        <v>15229468.800000001</v>
      </c>
      <c r="E103" t="s">
        <v>1393</v>
      </c>
    </row>
    <row r="104" spans="1:5">
      <c r="A104">
        <v>38</v>
      </c>
      <c r="B104" t="s">
        <v>1492</v>
      </c>
      <c r="C104">
        <v>0</v>
      </c>
      <c r="E104" t="s">
        <v>1393</v>
      </c>
    </row>
    <row r="105" spans="1:5">
      <c r="A105">
        <v>38</v>
      </c>
      <c r="B105" t="s">
        <v>1493</v>
      </c>
      <c r="C105">
        <v>0</v>
      </c>
      <c r="E105" t="s">
        <v>1393</v>
      </c>
    </row>
    <row r="106" spans="1:5">
      <c r="A106">
        <v>38</v>
      </c>
      <c r="B106" t="s">
        <v>1494</v>
      </c>
      <c r="C106">
        <v>0</v>
      </c>
      <c r="E106" t="s">
        <v>1393</v>
      </c>
    </row>
    <row r="107" spans="1:5">
      <c r="A107">
        <v>38</v>
      </c>
      <c r="B107" t="s">
        <v>1495</v>
      </c>
      <c r="C107">
        <v>0</v>
      </c>
      <c r="E107" t="s">
        <v>1393</v>
      </c>
    </row>
    <row r="108" spans="1:5">
      <c r="A108">
        <v>38</v>
      </c>
      <c r="B108" t="s">
        <v>1496</v>
      </c>
      <c r="C108">
        <v>0</v>
      </c>
      <c r="E108" t="s">
        <v>1393</v>
      </c>
    </row>
    <row r="109" spans="1:5">
      <c r="A109">
        <v>38</v>
      </c>
      <c r="B109" t="s">
        <v>1497</v>
      </c>
      <c r="C109">
        <v>0</v>
      </c>
      <c r="E109" t="s">
        <v>1393</v>
      </c>
    </row>
    <row r="110" spans="1:5">
      <c r="A110">
        <v>38</v>
      </c>
      <c r="B110" t="s">
        <v>1498</v>
      </c>
      <c r="C110">
        <v>31</v>
      </c>
      <c r="E110" t="s">
        <v>1393</v>
      </c>
    </row>
    <row r="111" spans="1:5">
      <c r="A111">
        <v>38</v>
      </c>
      <c r="B111" t="s">
        <v>1499</v>
      </c>
      <c r="C111">
        <v>748364.39999999991</v>
      </c>
      <c r="E111" t="s">
        <v>1393</v>
      </c>
    </row>
    <row r="112" spans="1:5">
      <c r="A112">
        <v>38</v>
      </c>
      <c r="B112" t="s">
        <v>1500</v>
      </c>
      <c r="C112">
        <v>126614.39999999999</v>
      </c>
      <c r="E112" t="s">
        <v>1393</v>
      </c>
    </row>
    <row r="113" spans="1:5">
      <c r="A113">
        <v>38</v>
      </c>
      <c r="B113" t="s">
        <v>1501</v>
      </c>
      <c r="C113">
        <v>192555</v>
      </c>
      <c r="E113" t="s">
        <v>1393</v>
      </c>
    </row>
    <row r="114" spans="1:5">
      <c r="A114">
        <v>38</v>
      </c>
      <c r="B114" t="s">
        <v>1502</v>
      </c>
      <c r="C114">
        <v>183680</v>
      </c>
      <c r="E114" t="s">
        <v>1393</v>
      </c>
    </row>
    <row r="115" spans="1:5">
      <c r="A115">
        <v>38</v>
      </c>
      <c r="B115" t="s">
        <v>1503</v>
      </c>
      <c r="C115">
        <v>329572.2</v>
      </c>
      <c r="E115" t="s">
        <v>1393</v>
      </c>
    </row>
    <row r="116" spans="1:5">
      <c r="A116">
        <v>38</v>
      </c>
      <c r="B116" t="s">
        <v>1504</v>
      </c>
      <c r="C116">
        <v>249696.2</v>
      </c>
      <c r="E116" t="s">
        <v>1393</v>
      </c>
    </row>
    <row r="117" spans="1:5">
      <c r="A117">
        <v>38</v>
      </c>
      <c r="B117" t="s">
        <v>1505</v>
      </c>
      <c r="C117">
        <v>0</v>
      </c>
      <c r="E117" t="s">
        <v>1393</v>
      </c>
    </row>
    <row r="118" spans="1:5">
      <c r="A118">
        <v>38</v>
      </c>
      <c r="B118" t="s">
        <v>1506</v>
      </c>
      <c r="C118">
        <v>1.866E-2</v>
      </c>
      <c r="E118" t="s">
        <v>1393</v>
      </c>
    </row>
    <row r="119" spans="1:5">
      <c r="A119">
        <v>38</v>
      </c>
      <c r="B119" t="s">
        <v>1507</v>
      </c>
      <c r="C119">
        <v>2236343.63</v>
      </c>
      <c r="E119" t="s">
        <v>1393</v>
      </c>
    </row>
    <row r="120" spans="1:5">
      <c r="A120">
        <v>38</v>
      </c>
      <c r="B120" t="s">
        <v>1508</v>
      </c>
      <c r="C120">
        <v>0</v>
      </c>
      <c r="E120" t="s">
        <v>1393</v>
      </c>
    </row>
    <row r="121" spans="1:5">
      <c r="A121">
        <v>38</v>
      </c>
      <c r="B121" t="s">
        <v>1509</v>
      </c>
      <c r="C121">
        <v>184720.33</v>
      </c>
      <c r="E121" t="s">
        <v>1393</v>
      </c>
    </row>
    <row r="122" spans="1:5">
      <c r="A122">
        <v>38</v>
      </c>
      <c r="B122" t="s">
        <v>1510</v>
      </c>
      <c r="C122">
        <v>0</v>
      </c>
      <c r="E122" t="s">
        <v>1393</v>
      </c>
    </row>
    <row r="123" spans="1:5">
      <c r="A123">
        <v>38</v>
      </c>
      <c r="B123" t="s">
        <v>1511</v>
      </c>
      <c r="C123">
        <v>0</v>
      </c>
      <c r="E123" t="s">
        <v>1393</v>
      </c>
    </row>
    <row r="124" spans="1:5">
      <c r="A124">
        <v>38</v>
      </c>
      <c r="B124" t="s">
        <v>1512</v>
      </c>
      <c r="C124">
        <v>12655445.01</v>
      </c>
      <c r="E124" t="s">
        <v>1393</v>
      </c>
    </row>
    <row r="125" spans="1:5">
      <c r="A125">
        <v>38</v>
      </c>
      <c r="B125" t="s">
        <v>1513</v>
      </c>
      <c r="C125">
        <v>0</v>
      </c>
      <c r="E125" t="s">
        <v>1393</v>
      </c>
    </row>
    <row r="126" spans="1:5">
      <c r="A126">
        <v>38</v>
      </c>
      <c r="B126" t="s">
        <v>1514</v>
      </c>
      <c r="C126">
        <v>0</v>
      </c>
      <c r="E126" t="s">
        <v>1393</v>
      </c>
    </row>
    <row r="127" spans="1:5">
      <c r="A127">
        <v>38</v>
      </c>
      <c r="B127" t="s">
        <v>1515</v>
      </c>
      <c r="C127">
        <v>0</v>
      </c>
      <c r="E127" t="s">
        <v>1393</v>
      </c>
    </row>
    <row r="128" spans="1:5">
      <c r="A128">
        <v>38</v>
      </c>
      <c r="B128" t="s">
        <v>1516</v>
      </c>
      <c r="C128">
        <v>15076508.969999999</v>
      </c>
      <c r="E128" t="s">
        <v>1393</v>
      </c>
    </row>
    <row r="129" spans="1:5">
      <c r="A129">
        <v>38</v>
      </c>
      <c r="B129" t="s">
        <v>1516</v>
      </c>
      <c r="C129">
        <v>15076508.969999999</v>
      </c>
      <c r="E129" t="s">
        <v>1393</v>
      </c>
    </row>
    <row r="130" spans="1:5">
      <c r="A130">
        <v>38</v>
      </c>
      <c r="B130" t="s">
        <v>1517</v>
      </c>
      <c r="C130">
        <v>15.56</v>
      </c>
      <c r="E130" t="s">
        <v>1393</v>
      </c>
    </row>
    <row r="131" spans="1:5">
      <c r="A131">
        <v>38</v>
      </c>
      <c r="B131" t="s">
        <v>1518</v>
      </c>
      <c r="C131">
        <v>108740.40000000002</v>
      </c>
      <c r="E131" t="s">
        <v>1393</v>
      </c>
    </row>
    <row r="132" spans="1:5">
      <c r="A132">
        <v>38</v>
      </c>
      <c r="B132" t="s">
        <v>1519</v>
      </c>
      <c r="C132">
        <v>748364.39999999991</v>
      </c>
      <c r="E132" t="s">
        <v>1393</v>
      </c>
    </row>
    <row r="133" spans="1:5">
      <c r="A133">
        <v>38</v>
      </c>
      <c r="B133" t="s">
        <v>1520</v>
      </c>
      <c r="C133">
        <v>126614.39999999999</v>
      </c>
      <c r="E133" t="s">
        <v>1393</v>
      </c>
    </row>
    <row r="134" spans="1:5">
      <c r="A134">
        <v>38</v>
      </c>
      <c r="B134" t="s">
        <v>1521</v>
      </c>
      <c r="C134">
        <v>192555</v>
      </c>
      <c r="E134" t="s">
        <v>1393</v>
      </c>
    </row>
    <row r="135" spans="1:5">
      <c r="A135">
        <v>38</v>
      </c>
      <c r="B135" t="s">
        <v>1522</v>
      </c>
      <c r="C135">
        <v>183680</v>
      </c>
      <c r="E135" t="s">
        <v>1393</v>
      </c>
    </row>
    <row r="136" spans="1:5">
      <c r="A136">
        <v>38</v>
      </c>
      <c r="B136" t="s">
        <v>1523</v>
      </c>
      <c r="C136">
        <v>329572.2</v>
      </c>
      <c r="E136" t="s">
        <v>1393</v>
      </c>
    </row>
    <row r="137" spans="1:5">
      <c r="A137">
        <v>38</v>
      </c>
      <c r="B137" t="s">
        <v>1524</v>
      </c>
      <c r="C137">
        <v>249696.2</v>
      </c>
      <c r="E137" t="s">
        <v>1393</v>
      </c>
    </row>
    <row r="138" spans="1:5">
      <c r="A138">
        <v>38</v>
      </c>
      <c r="B138" t="s">
        <v>1525</v>
      </c>
      <c r="C138">
        <v>12636000</v>
      </c>
      <c r="E138" t="s">
        <v>1393</v>
      </c>
    </row>
    <row r="139" spans="1:5">
      <c r="A139">
        <v>38</v>
      </c>
      <c r="B139" t="s">
        <v>1526</v>
      </c>
      <c r="C139">
        <v>501270.80999999866</v>
      </c>
      <c r="E139" t="s">
        <v>1393</v>
      </c>
    </row>
    <row r="140" spans="1:5">
      <c r="A140">
        <v>38</v>
      </c>
      <c r="B140" t="s">
        <v>1527</v>
      </c>
      <c r="C140">
        <v>0</v>
      </c>
      <c r="E140" t="s">
        <v>1393</v>
      </c>
    </row>
    <row r="141" spans="1:5">
      <c r="A141">
        <v>38</v>
      </c>
      <c r="B141" t="s">
        <v>1528</v>
      </c>
      <c r="C141">
        <v>0</v>
      </c>
      <c r="E141" t="s">
        <v>1393</v>
      </c>
    </row>
    <row r="142" spans="1:5">
      <c r="A142">
        <v>38</v>
      </c>
      <c r="B142" t="s">
        <v>1529</v>
      </c>
      <c r="C142">
        <v>0</v>
      </c>
      <c r="E142" t="s">
        <v>1393</v>
      </c>
    </row>
    <row r="143" spans="1:5">
      <c r="A143">
        <v>38</v>
      </c>
      <c r="B143" t="s">
        <v>1530</v>
      </c>
      <c r="C143">
        <v>0</v>
      </c>
      <c r="E143" t="s">
        <v>1393</v>
      </c>
    </row>
    <row r="144" spans="1:5">
      <c r="A144">
        <v>38</v>
      </c>
      <c r="B144" t="s">
        <v>1531</v>
      </c>
      <c r="C144">
        <v>0</v>
      </c>
      <c r="E144" t="s">
        <v>1393</v>
      </c>
    </row>
    <row r="145" spans="1:5">
      <c r="A145">
        <v>38</v>
      </c>
      <c r="B145" t="s">
        <v>1532</v>
      </c>
      <c r="C145">
        <v>0</v>
      </c>
      <c r="E145" t="s">
        <v>1393</v>
      </c>
    </row>
    <row r="146" spans="1:5">
      <c r="A146">
        <v>38</v>
      </c>
      <c r="B146" t="s">
        <v>1533</v>
      </c>
      <c r="C146">
        <v>0</v>
      </c>
      <c r="E146" t="s">
        <v>1393</v>
      </c>
    </row>
    <row r="147" spans="1:5">
      <c r="A147">
        <v>38</v>
      </c>
      <c r="B147" t="s">
        <v>1534</v>
      </c>
      <c r="C147">
        <v>0</v>
      </c>
      <c r="E147" t="s">
        <v>1393</v>
      </c>
    </row>
    <row r="148" spans="1:5">
      <c r="A148">
        <v>38</v>
      </c>
      <c r="B148" t="s">
        <v>1535</v>
      </c>
      <c r="C148">
        <v>0</v>
      </c>
      <c r="E148" t="s">
        <v>1393</v>
      </c>
    </row>
    <row r="149" spans="1:5">
      <c r="A149">
        <v>38</v>
      </c>
      <c r="B149" t="s">
        <v>1536</v>
      </c>
      <c r="C149">
        <v>0</v>
      </c>
      <c r="E149" t="s">
        <v>1393</v>
      </c>
    </row>
    <row r="150" spans="1:5">
      <c r="A150">
        <v>38</v>
      </c>
      <c r="B150" t="s">
        <v>1537</v>
      </c>
      <c r="C150">
        <v>0</v>
      </c>
      <c r="E150" t="s">
        <v>1393</v>
      </c>
    </row>
    <row r="151" spans="1:5">
      <c r="A151">
        <v>38</v>
      </c>
      <c r="B151" t="s">
        <v>1538</v>
      </c>
      <c r="C151">
        <v>0</v>
      </c>
      <c r="E151" t="s">
        <v>1393</v>
      </c>
    </row>
    <row r="152" spans="1:5">
      <c r="A152">
        <v>38</v>
      </c>
      <c r="B152" t="s">
        <v>1539</v>
      </c>
      <c r="C152">
        <v>0</v>
      </c>
      <c r="E152" t="s">
        <v>1393</v>
      </c>
    </row>
    <row r="153" spans="1:5">
      <c r="A153">
        <v>38</v>
      </c>
      <c r="B153" t="s">
        <v>1540</v>
      </c>
      <c r="C153">
        <v>14728161.710000001</v>
      </c>
      <c r="E153" t="s">
        <v>1393</v>
      </c>
    </row>
    <row r="154" spans="1:5">
      <c r="A154">
        <v>38</v>
      </c>
      <c r="B154" t="s">
        <v>1541</v>
      </c>
      <c r="C154">
        <v>0</v>
      </c>
      <c r="E154" t="s">
        <v>1393</v>
      </c>
    </row>
    <row r="155" spans="1:5">
      <c r="A155">
        <v>38</v>
      </c>
      <c r="B155" t="s">
        <v>1542</v>
      </c>
      <c r="C155">
        <v>0</v>
      </c>
      <c r="E155" t="s">
        <v>1393</v>
      </c>
    </row>
    <row r="156" spans="1:5">
      <c r="A156">
        <v>38</v>
      </c>
      <c r="B156" t="s">
        <v>1543</v>
      </c>
      <c r="C156">
        <v>0</v>
      </c>
      <c r="E156" t="s">
        <v>1393</v>
      </c>
    </row>
    <row r="157" spans="1:5">
      <c r="A157">
        <v>38</v>
      </c>
      <c r="B157" t="s">
        <v>1544</v>
      </c>
      <c r="C157">
        <v>0</v>
      </c>
      <c r="E157" t="s">
        <v>1393</v>
      </c>
    </row>
    <row r="158" spans="1:5">
      <c r="A158">
        <v>38</v>
      </c>
      <c r="B158" t="s">
        <v>1545</v>
      </c>
      <c r="C158">
        <v>37.419999722391367</v>
      </c>
      <c r="E158" t="s">
        <v>1393</v>
      </c>
    </row>
    <row r="159" spans="1:5">
      <c r="A159">
        <v>38</v>
      </c>
      <c r="B159" t="s">
        <v>1546</v>
      </c>
      <c r="C159">
        <v>0</v>
      </c>
      <c r="E159" t="s">
        <v>1393</v>
      </c>
    </row>
    <row r="160" spans="1:5">
      <c r="A160">
        <v>38</v>
      </c>
      <c r="B160" t="s">
        <v>1547</v>
      </c>
      <c r="C160">
        <v>501270.80999999866</v>
      </c>
      <c r="E160" t="s">
        <v>1393</v>
      </c>
    </row>
    <row r="161" spans="1:5">
      <c r="A161">
        <v>38</v>
      </c>
      <c r="B161" t="s">
        <v>1548</v>
      </c>
      <c r="C161">
        <v>0</v>
      </c>
      <c r="E161" t="s">
        <v>1393</v>
      </c>
    </row>
    <row r="162" spans="1:5">
      <c r="A162">
        <v>38</v>
      </c>
      <c r="B162" t="s">
        <v>1549</v>
      </c>
      <c r="C162">
        <v>15229469.939999722</v>
      </c>
      <c r="E162" t="s">
        <v>1393</v>
      </c>
    </row>
    <row r="163" spans="1:5">
      <c r="A163">
        <v>38</v>
      </c>
      <c r="B163" t="s">
        <v>1549</v>
      </c>
      <c r="C163">
        <v>15229469.939999722</v>
      </c>
      <c r="E163" t="s">
        <v>1393</v>
      </c>
    </row>
    <row r="164" spans="1:5">
      <c r="A164">
        <v>38</v>
      </c>
      <c r="B164" t="s">
        <v>1550</v>
      </c>
      <c r="C164">
        <v>0</v>
      </c>
      <c r="E164" t="s">
        <v>1393</v>
      </c>
    </row>
    <row r="165" spans="1:5">
      <c r="A165">
        <v>38</v>
      </c>
      <c r="B165" t="s">
        <v>1551</v>
      </c>
      <c r="C165">
        <v>15229469.939999722</v>
      </c>
      <c r="E165" t="s">
        <v>1393</v>
      </c>
    </row>
    <row r="166" spans="1:5">
      <c r="A166">
        <v>38</v>
      </c>
      <c r="B166" t="s">
        <v>228</v>
      </c>
      <c r="C166">
        <v>0</v>
      </c>
      <c r="E166" t="s">
        <v>1393</v>
      </c>
    </row>
    <row r="167" spans="1:5">
      <c r="A167">
        <v>38</v>
      </c>
      <c r="B167" t="s">
        <v>1552</v>
      </c>
      <c r="C167">
        <v>0</v>
      </c>
      <c r="E167" t="s">
        <v>1393</v>
      </c>
    </row>
    <row r="168" spans="1:5">
      <c r="A168">
        <v>38</v>
      </c>
      <c r="B168" t="s">
        <v>1553</v>
      </c>
      <c r="C168">
        <v>0</v>
      </c>
      <c r="E168" t="s">
        <v>1393</v>
      </c>
    </row>
    <row r="169" spans="1:5">
      <c r="A169">
        <v>38</v>
      </c>
      <c r="B169" t="s">
        <v>1554</v>
      </c>
      <c r="C169">
        <v>0</v>
      </c>
      <c r="E169" t="s">
        <v>1393</v>
      </c>
    </row>
    <row r="170" spans="1:5">
      <c r="A170">
        <v>38</v>
      </c>
      <c r="B170" t="s">
        <v>1555</v>
      </c>
      <c r="C170">
        <v>0</v>
      </c>
      <c r="E170" t="s">
        <v>1393</v>
      </c>
    </row>
    <row r="171" spans="1:5">
      <c r="A171">
        <v>38</v>
      </c>
      <c r="B171" t="s">
        <v>1556</v>
      </c>
      <c r="C171">
        <v>0</v>
      </c>
      <c r="E171" t="s">
        <v>1393</v>
      </c>
    </row>
    <row r="172" spans="1:5">
      <c r="A172">
        <v>38</v>
      </c>
      <c r="B172" t="s">
        <v>1557</v>
      </c>
      <c r="C172">
        <v>0</v>
      </c>
      <c r="E172" t="s">
        <v>1393</v>
      </c>
    </row>
    <row r="173" spans="1:5">
      <c r="A173">
        <v>38</v>
      </c>
      <c r="B173" t="s">
        <v>1558</v>
      </c>
      <c r="C173">
        <v>15229468.800000001</v>
      </c>
      <c r="E173" t="s">
        <v>1393</v>
      </c>
    </row>
    <row r="174" spans="1:5">
      <c r="A174">
        <v>38</v>
      </c>
      <c r="B174" t="s">
        <v>1559</v>
      </c>
      <c r="C174">
        <v>0</v>
      </c>
      <c r="E174" t="s">
        <v>1393</v>
      </c>
    </row>
    <row r="175" spans="1:5">
      <c r="A175">
        <v>38</v>
      </c>
      <c r="B175" t="s">
        <v>1560</v>
      </c>
      <c r="C175">
        <v>0</v>
      </c>
      <c r="E175" t="s">
        <v>1393</v>
      </c>
    </row>
    <row r="176" spans="1:5">
      <c r="A176">
        <v>38</v>
      </c>
      <c r="B176" t="s">
        <v>1561</v>
      </c>
      <c r="C176">
        <v>0</v>
      </c>
      <c r="E176" t="s">
        <v>1393</v>
      </c>
    </row>
    <row r="177" spans="1:5">
      <c r="A177">
        <v>38</v>
      </c>
      <c r="B177" t="s">
        <v>1562</v>
      </c>
      <c r="C177">
        <v>0</v>
      </c>
      <c r="E177" t="s">
        <v>1393</v>
      </c>
    </row>
    <row r="178" spans="1:5">
      <c r="A178">
        <v>38</v>
      </c>
      <c r="B178" t="s">
        <v>1563</v>
      </c>
      <c r="C178">
        <v>0</v>
      </c>
      <c r="E178" t="s">
        <v>1393</v>
      </c>
    </row>
    <row r="179" spans="1:5">
      <c r="A179">
        <v>38</v>
      </c>
      <c r="B179" t="s">
        <v>1564</v>
      </c>
      <c r="C179">
        <v>0</v>
      </c>
      <c r="E179" t="s">
        <v>1393</v>
      </c>
    </row>
    <row r="180" spans="1:5">
      <c r="A180">
        <v>38</v>
      </c>
      <c r="B180" t="s">
        <v>1565</v>
      </c>
      <c r="C180">
        <v>0</v>
      </c>
      <c r="E180" t="s">
        <v>1393</v>
      </c>
    </row>
    <row r="181" spans="1:5">
      <c r="A181">
        <v>38</v>
      </c>
      <c r="B181" t="s">
        <v>1566</v>
      </c>
      <c r="C181">
        <v>0</v>
      </c>
      <c r="E181" t="s">
        <v>1393</v>
      </c>
    </row>
    <row r="182" spans="1:5">
      <c r="A182">
        <v>38</v>
      </c>
      <c r="B182" t="s">
        <v>1567</v>
      </c>
      <c r="C182">
        <v>0</v>
      </c>
      <c r="E182" t="s">
        <v>1393</v>
      </c>
    </row>
    <row r="183" spans="1:5">
      <c r="A183">
        <v>38</v>
      </c>
      <c r="B183" t="s">
        <v>1517</v>
      </c>
      <c r="C183">
        <v>15.56</v>
      </c>
      <c r="E183" t="s">
        <v>1393</v>
      </c>
    </row>
    <row r="184" spans="1:5">
      <c r="A184">
        <v>38</v>
      </c>
      <c r="B184" t="s">
        <v>1568</v>
      </c>
      <c r="C184">
        <v>15410183.869999999</v>
      </c>
      <c r="E184" t="s">
        <v>1393</v>
      </c>
    </row>
    <row r="185" spans="1:5">
      <c r="A185">
        <v>38</v>
      </c>
      <c r="B185" t="s">
        <v>1569</v>
      </c>
      <c r="C185">
        <v>748364.39999999991</v>
      </c>
      <c r="E185" t="s">
        <v>1393</v>
      </c>
    </row>
    <row r="186" spans="1:5">
      <c r="A186">
        <v>38</v>
      </c>
      <c r="B186" t="s">
        <v>1570</v>
      </c>
      <c r="C186">
        <v>126614.39999999999</v>
      </c>
      <c r="E186" t="s">
        <v>1393</v>
      </c>
    </row>
    <row r="187" spans="1:5">
      <c r="A187">
        <v>38</v>
      </c>
      <c r="B187" t="s">
        <v>1571</v>
      </c>
      <c r="C187">
        <v>192555</v>
      </c>
      <c r="E187" t="s">
        <v>1393</v>
      </c>
    </row>
    <row r="188" spans="1:5">
      <c r="A188">
        <v>38</v>
      </c>
      <c r="B188" t="s">
        <v>1572</v>
      </c>
      <c r="C188">
        <v>183680</v>
      </c>
      <c r="E188" t="s">
        <v>1393</v>
      </c>
    </row>
    <row r="189" spans="1:5">
      <c r="A189">
        <v>38</v>
      </c>
      <c r="B189" t="s">
        <v>1573</v>
      </c>
      <c r="C189">
        <v>329572.2</v>
      </c>
      <c r="E189" t="s">
        <v>1393</v>
      </c>
    </row>
    <row r="190" spans="1:5">
      <c r="A190">
        <v>38</v>
      </c>
      <c r="B190" t="s">
        <v>1574</v>
      </c>
      <c r="C190">
        <v>249696.2</v>
      </c>
      <c r="E190" t="s">
        <v>1393</v>
      </c>
    </row>
    <row r="191" spans="1:5">
      <c r="A191">
        <v>38</v>
      </c>
      <c r="B191" t="s">
        <v>1575</v>
      </c>
      <c r="C191">
        <v>13231209.6</v>
      </c>
      <c r="E191" t="s">
        <v>1393</v>
      </c>
    </row>
    <row r="192" spans="1:5">
      <c r="A192">
        <v>38</v>
      </c>
      <c r="B192" t="s">
        <v>1576</v>
      </c>
      <c r="C192">
        <v>348492.07000000007</v>
      </c>
      <c r="E192" t="s">
        <v>1393</v>
      </c>
    </row>
    <row r="193" spans="1:5">
      <c r="A193">
        <v>38</v>
      </c>
      <c r="B193" t="s">
        <v>1577</v>
      </c>
      <c r="C193">
        <v>353076661.41999996</v>
      </c>
      <c r="E193" t="s">
        <v>1393</v>
      </c>
    </row>
    <row r="194" spans="1:5">
      <c r="A194">
        <v>38</v>
      </c>
      <c r="B194" t="s">
        <v>1578</v>
      </c>
      <c r="C194">
        <v>66445066.799999997</v>
      </c>
      <c r="E194" t="s">
        <v>1393</v>
      </c>
    </row>
    <row r="195" spans="1:5">
      <c r="A195">
        <v>38</v>
      </c>
      <c r="B195" t="s">
        <v>1579</v>
      </c>
      <c r="C195">
        <v>6299048.8000000007</v>
      </c>
      <c r="E195" t="s">
        <v>1393</v>
      </c>
    </row>
    <row r="196" spans="1:5">
      <c r="A196">
        <v>38</v>
      </c>
      <c r="B196" t="s">
        <v>1580</v>
      </c>
      <c r="C196">
        <v>9245566</v>
      </c>
      <c r="E196" t="s">
        <v>1393</v>
      </c>
    </row>
    <row r="197" spans="1:5">
      <c r="A197">
        <v>38</v>
      </c>
      <c r="B197" t="s">
        <v>1581</v>
      </c>
      <c r="C197">
        <v>8469912</v>
      </c>
      <c r="E197" t="s">
        <v>1393</v>
      </c>
    </row>
    <row r="198" spans="1:5">
      <c r="A198">
        <v>38</v>
      </c>
      <c r="B198" t="s">
        <v>1582</v>
      </c>
      <c r="C198">
        <v>14615085.299999999</v>
      </c>
      <c r="E198" t="s">
        <v>1393</v>
      </c>
    </row>
    <row r="199" spans="1:5">
      <c r="A199">
        <v>38</v>
      </c>
      <c r="B199" t="s">
        <v>1583</v>
      </c>
      <c r="C199">
        <v>8990961.1999999974</v>
      </c>
      <c r="E199" t="s">
        <v>1393</v>
      </c>
    </row>
    <row r="200" spans="1:5">
      <c r="A200">
        <v>38</v>
      </c>
      <c r="B200" t="s">
        <v>1584</v>
      </c>
      <c r="C200">
        <v>235249422.79999998</v>
      </c>
      <c r="E200" t="s">
        <v>1393</v>
      </c>
    </row>
    <row r="201" spans="1:5">
      <c r="A201">
        <v>38</v>
      </c>
      <c r="B201" t="s">
        <v>1585</v>
      </c>
      <c r="C201">
        <v>3761598.5200000005</v>
      </c>
      <c r="E201" t="s">
        <v>1393</v>
      </c>
    </row>
    <row r="202" spans="1:5">
      <c r="A202">
        <v>38</v>
      </c>
      <c r="B202" t="s">
        <v>1586</v>
      </c>
      <c r="C202">
        <v>1830482.1999999997</v>
      </c>
      <c r="E202" t="s">
        <v>1393</v>
      </c>
    </row>
    <row r="203" spans="1:5">
      <c r="A203">
        <v>38</v>
      </c>
      <c r="B203" t="s">
        <v>1587</v>
      </c>
      <c r="C203">
        <v>748364.39999999991</v>
      </c>
      <c r="E203" t="s">
        <v>1393</v>
      </c>
    </row>
    <row r="204" spans="1:5">
      <c r="A204">
        <v>38</v>
      </c>
      <c r="B204" t="s">
        <v>1588</v>
      </c>
      <c r="C204">
        <v>126614.39999999999</v>
      </c>
      <c r="E204" t="s">
        <v>1393</v>
      </c>
    </row>
    <row r="205" spans="1:5">
      <c r="A205">
        <v>38</v>
      </c>
      <c r="B205" t="s">
        <v>1589</v>
      </c>
      <c r="C205">
        <v>192555</v>
      </c>
      <c r="E205" t="s">
        <v>1393</v>
      </c>
    </row>
    <row r="206" spans="1:5">
      <c r="A206">
        <v>38</v>
      </c>
      <c r="B206" t="s">
        <v>1590</v>
      </c>
      <c r="C206">
        <v>183680</v>
      </c>
      <c r="E206" t="s">
        <v>1393</v>
      </c>
    </row>
    <row r="207" spans="1:5">
      <c r="A207">
        <v>38</v>
      </c>
      <c r="B207" t="s">
        <v>1591</v>
      </c>
      <c r="C207">
        <v>329572.2</v>
      </c>
      <c r="E207" t="s">
        <v>1393</v>
      </c>
    </row>
    <row r="208" spans="1:5">
      <c r="A208">
        <v>38</v>
      </c>
      <c r="B208" t="s">
        <v>1592</v>
      </c>
      <c r="C208">
        <v>249696.2</v>
      </c>
      <c r="E208" t="s">
        <v>1393</v>
      </c>
    </row>
    <row r="209" spans="1:5">
      <c r="A209">
        <v>38</v>
      </c>
      <c r="B209" t="s">
        <v>1593</v>
      </c>
      <c r="C209">
        <v>0</v>
      </c>
      <c r="E209" t="s">
        <v>1393</v>
      </c>
    </row>
    <row r="210" spans="1:5">
      <c r="A210">
        <v>38</v>
      </c>
      <c r="B210" t="s">
        <v>1594</v>
      </c>
      <c r="C210">
        <v>0</v>
      </c>
      <c r="E210" t="s">
        <v>1393</v>
      </c>
    </row>
    <row r="211" spans="1:5">
      <c r="A211">
        <v>38</v>
      </c>
      <c r="B211" t="s">
        <v>1595</v>
      </c>
      <c r="C211">
        <v>114065640.09999999</v>
      </c>
      <c r="E211" t="s">
        <v>1393</v>
      </c>
    </row>
    <row r="212" spans="1:5">
      <c r="A212">
        <v>38</v>
      </c>
      <c r="B212" t="s">
        <v>1596</v>
      </c>
      <c r="C212">
        <v>66445066.799999997</v>
      </c>
      <c r="E212" t="s">
        <v>1393</v>
      </c>
    </row>
    <row r="213" spans="1:5">
      <c r="A213">
        <v>38</v>
      </c>
      <c r="B213" t="s">
        <v>1597</v>
      </c>
      <c r="C213">
        <v>6299048.8000000007</v>
      </c>
      <c r="E213" t="s">
        <v>1393</v>
      </c>
    </row>
    <row r="214" spans="1:5">
      <c r="A214">
        <v>38</v>
      </c>
      <c r="B214" t="s">
        <v>1598</v>
      </c>
      <c r="C214">
        <v>9245566</v>
      </c>
      <c r="E214" t="s">
        <v>1393</v>
      </c>
    </row>
    <row r="215" spans="1:5">
      <c r="A215">
        <v>38</v>
      </c>
      <c r="B215" t="s">
        <v>1599</v>
      </c>
      <c r="C215">
        <v>8469912</v>
      </c>
      <c r="E215" t="s">
        <v>1393</v>
      </c>
    </row>
    <row r="216" spans="1:5">
      <c r="A216">
        <v>38</v>
      </c>
      <c r="B216" t="s">
        <v>1600</v>
      </c>
      <c r="C216">
        <v>14615085.299999999</v>
      </c>
      <c r="E216" t="s">
        <v>1393</v>
      </c>
    </row>
    <row r="217" spans="1:5">
      <c r="A217">
        <v>38</v>
      </c>
      <c r="B217" t="s">
        <v>1601</v>
      </c>
      <c r="C217">
        <v>8990961.1999999974</v>
      </c>
      <c r="E217" t="s">
        <v>1393</v>
      </c>
    </row>
    <row r="218" spans="1:5">
      <c r="A218">
        <v>38</v>
      </c>
      <c r="B218" t="s">
        <v>1602</v>
      </c>
      <c r="C218">
        <v>0</v>
      </c>
      <c r="E218" t="s">
        <v>1393</v>
      </c>
    </row>
    <row r="219" spans="1:5">
      <c r="A219">
        <v>38</v>
      </c>
      <c r="B219" t="s">
        <v>1603</v>
      </c>
      <c r="C219">
        <v>0</v>
      </c>
      <c r="E219" t="s">
        <v>1393</v>
      </c>
    </row>
    <row r="220" spans="1:5">
      <c r="A220">
        <v>38</v>
      </c>
      <c r="B220" t="s">
        <v>1604</v>
      </c>
      <c r="C220">
        <v>13579701.67</v>
      </c>
      <c r="E220" t="s">
        <v>1393</v>
      </c>
    </row>
    <row r="221" spans="1:5">
      <c r="A221">
        <v>38</v>
      </c>
      <c r="B221" t="s">
        <v>1605</v>
      </c>
      <c r="C221">
        <v>0</v>
      </c>
      <c r="E221" t="s">
        <v>1393</v>
      </c>
    </row>
    <row r="222" spans="1:5">
      <c r="A222">
        <v>38</v>
      </c>
      <c r="B222" t="s">
        <v>1606</v>
      </c>
      <c r="C222">
        <v>0</v>
      </c>
      <c r="E222" t="s">
        <v>1393</v>
      </c>
    </row>
    <row r="223" spans="1:5">
      <c r="A223">
        <v>38</v>
      </c>
      <c r="B223" t="s">
        <v>1607</v>
      </c>
      <c r="C223">
        <v>0</v>
      </c>
      <c r="E223" t="s">
        <v>1393</v>
      </c>
    </row>
    <row r="224" spans="1:5">
      <c r="A224">
        <v>38</v>
      </c>
      <c r="B224" t="s">
        <v>1608</v>
      </c>
      <c r="C224">
        <v>0</v>
      </c>
      <c r="E224" t="s">
        <v>1393</v>
      </c>
    </row>
    <row r="225" spans="1:5">
      <c r="A225">
        <v>38</v>
      </c>
      <c r="B225" t="s">
        <v>1609</v>
      </c>
      <c r="C225">
        <v>0</v>
      </c>
      <c r="E225" t="s">
        <v>1393</v>
      </c>
    </row>
    <row r="226" spans="1:5">
      <c r="A226">
        <v>38</v>
      </c>
      <c r="B226" t="s">
        <v>1610</v>
      </c>
      <c r="C226">
        <v>0</v>
      </c>
      <c r="E226" t="s">
        <v>1393</v>
      </c>
    </row>
    <row r="227" spans="1:5">
      <c r="A227">
        <v>38</v>
      </c>
      <c r="B227" t="s">
        <v>1611</v>
      </c>
      <c r="C227">
        <v>13231209.6</v>
      </c>
      <c r="E227" t="s">
        <v>1393</v>
      </c>
    </row>
    <row r="228" spans="1:5">
      <c r="A228">
        <v>38</v>
      </c>
      <c r="B228" t="s">
        <v>1612</v>
      </c>
      <c r="C228">
        <v>348492.07000000007</v>
      </c>
      <c r="E228" t="s">
        <v>1393</v>
      </c>
    </row>
    <row r="229" spans="1:5">
      <c r="A229">
        <v>38</v>
      </c>
      <c r="B229" t="s">
        <v>1613</v>
      </c>
      <c r="C229">
        <v>239011021.31999999</v>
      </c>
      <c r="E229" t="s">
        <v>1393</v>
      </c>
    </row>
    <row r="230" spans="1:5">
      <c r="A230">
        <v>38</v>
      </c>
      <c r="B230" t="s">
        <v>1614</v>
      </c>
      <c r="C230">
        <v>0</v>
      </c>
      <c r="E230" t="s">
        <v>1393</v>
      </c>
    </row>
    <row r="231" spans="1:5">
      <c r="A231">
        <v>38</v>
      </c>
      <c r="B231" t="s">
        <v>1615</v>
      </c>
      <c r="C231">
        <v>0</v>
      </c>
      <c r="E231" t="s">
        <v>1393</v>
      </c>
    </row>
    <row r="232" spans="1:5">
      <c r="A232">
        <v>38</v>
      </c>
      <c r="B232" t="s">
        <v>1616</v>
      </c>
      <c r="C232">
        <v>0</v>
      </c>
      <c r="E232" t="s">
        <v>1393</v>
      </c>
    </row>
    <row r="233" spans="1:5">
      <c r="A233">
        <v>38</v>
      </c>
      <c r="B233" t="s">
        <v>1617</v>
      </c>
      <c r="C233">
        <v>0</v>
      </c>
      <c r="E233" t="s">
        <v>1393</v>
      </c>
    </row>
    <row r="234" spans="1:5">
      <c r="A234">
        <v>38</v>
      </c>
      <c r="B234" t="s">
        <v>1618</v>
      </c>
      <c r="C234">
        <v>0</v>
      </c>
      <c r="E234" t="s">
        <v>1393</v>
      </c>
    </row>
    <row r="235" spans="1:5">
      <c r="A235">
        <v>38</v>
      </c>
      <c r="B235" t="s">
        <v>1619</v>
      </c>
      <c r="C235">
        <v>0</v>
      </c>
      <c r="E235" t="s">
        <v>1393</v>
      </c>
    </row>
    <row r="236" spans="1:5">
      <c r="A236">
        <v>38</v>
      </c>
      <c r="B236" t="s">
        <v>1620</v>
      </c>
      <c r="C236">
        <v>235249422.79999998</v>
      </c>
      <c r="E236" t="s">
        <v>1393</v>
      </c>
    </row>
    <row r="237" spans="1:5">
      <c r="A237">
        <v>38</v>
      </c>
      <c r="B237" t="s">
        <v>1621</v>
      </c>
      <c r="C237">
        <v>3761598.5200000005</v>
      </c>
      <c r="E237" t="s">
        <v>1393</v>
      </c>
    </row>
    <row r="238" spans="1:5">
      <c r="A238">
        <v>38</v>
      </c>
      <c r="B238" t="s">
        <v>1622</v>
      </c>
      <c r="C238">
        <v>21667900.400000002</v>
      </c>
      <c r="E238" t="s">
        <v>1393</v>
      </c>
    </row>
    <row r="239" spans="1:5">
      <c r="A239">
        <v>38</v>
      </c>
      <c r="B239" t="s">
        <v>1623</v>
      </c>
      <c r="C239">
        <v>481625788.23999989</v>
      </c>
      <c r="E239" t="s">
        <v>1393</v>
      </c>
    </row>
    <row r="240" spans="1:5">
      <c r="A240">
        <v>38</v>
      </c>
      <c r="B240" t="s">
        <v>1624</v>
      </c>
      <c r="C240">
        <v>2.12E-2</v>
      </c>
      <c r="E240" t="s">
        <v>1393</v>
      </c>
    </row>
    <row r="241" spans="1:5">
      <c r="A241">
        <v>38</v>
      </c>
      <c r="B241" t="s">
        <v>1625</v>
      </c>
      <c r="C241">
        <v>1.866E-2</v>
      </c>
      <c r="E241" t="s">
        <v>1393</v>
      </c>
    </row>
    <row r="242" spans="1:5">
      <c r="A242">
        <v>38</v>
      </c>
      <c r="B242" t="s">
        <v>1626</v>
      </c>
      <c r="C242">
        <v>108740.40000000002</v>
      </c>
      <c r="E242" t="s">
        <v>1393</v>
      </c>
    </row>
    <row r="243" spans="1:5">
      <c r="A243">
        <v>38</v>
      </c>
      <c r="B243" t="s">
        <v>1627</v>
      </c>
      <c r="C243">
        <v>466396319.43999994</v>
      </c>
      <c r="E243" t="s">
        <v>1393</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5429687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45312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45911</v>
      </c>
      <c r="G2" s="107"/>
      <c r="H2" s="107"/>
      <c r="I2" s="107"/>
      <c r="J2" s="109"/>
      <c r="K2" s="110"/>
      <c r="L2" s="877"/>
    </row>
    <row r="3" spans="1:13" ht="18">
      <c r="A3" s="103"/>
      <c r="B3" s="104" t="str">
        <f>'Cover Sheet'!B3</f>
        <v>Monthly Investor Report</v>
      </c>
      <c r="C3" s="876"/>
      <c r="D3" s="112" t="str">
        <f>'Cover Sheet'!D3</f>
        <v>Payment Date</v>
      </c>
      <c r="E3" s="113"/>
      <c r="F3" s="114">
        <f>'Cover Sheet'!F3</f>
        <v>45915</v>
      </c>
      <c r="G3" s="113"/>
      <c r="H3" s="113"/>
      <c r="I3" s="113"/>
      <c r="J3" s="115"/>
      <c r="K3" s="110"/>
      <c r="L3" s="878"/>
    </row>
    <row r="4" spans="1:13" ht="13">
      <c r="A4" s="103"/>
      <c r="B4" s="158"/>
      <c r="C4" s="116"/>
      <c r="D4" s="112" t="str">
        <f>'Cover Sheet'!D4</f>
        <v>Period  No</v>
      </c>
      <c r="E4" s="113"/>
      <c r="F4" s="117">
        <f>'Cover Sheet'!F4</f>
        <v>35</v>
      </c>
      <c r="G4" s="113"/>
      <c r="H4" s="118"/>
      <c r="I4" s="113"/>
      <c r="J4" s="119"/>
      <c r="K4" s="110"/>
      <c r="L4" s="877"/>
    </row>
    <row r="5" spans="1:13" ht="18">
      <c r="A5" s="103"/>
      <c r="B5" s="120" t="s">
        <v>367</v>
      </c>
      <c r="C5" s="879"/>
      <c r="D5" s="112" t="str">
        <f>'Cover Sheet'!D5</f>
        <v>Monthly Period</v>
      </c>
      <c r="E5" s="113"/>
      <c r="F5" s="121">
        <f>'Cover Sheet'!F5</f>
        <v>45915</v>
      </c>
      <c r="G5" s="113"/>
      <c r="H5" s="118"/>
      <c r="I5" s="113"/>
      <c r="J5" s="119"/>
      <c r="K5" s="110"/>
      <c r="L5" s="878"/>
    </row>
    <row r="6" spans="1:13"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ht="13">
      <c r="A7" s="103"/>
      <c r="B7" s="880"/>
      <c r="C7" s="880"/>
      <c r="D7" s="127" t="str">
        <f>'Cover Sheet'!D7</f>
        <v>Collection Period</v>
      </c>
      <c r="E7" s="128" t="str">
        <f>'Cover Sheet'!E7</f>
        <v>from</v>
      </c>
      <c r="F7" s="129" t="str">
        <f>'Cover Sheet'!F7</f>
        <v>01.08.2025</v>
      </c>
      <c r="G7" s="128" t="str">
        <f>'Cover Sheet'!G7</f>
        <v>to</v>
      </c>
      <c r="H7" s="129">
        <f>'Cover Sheet'!H7</f>
        <v>45900</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92" t="s">
        <v>110</v>
      </c>
      <c r="C13" s="992" t="s">
        <v>428</v>
      </c>
      <c r="D13" s="992" t="s">
        <v>37</v>
      </c>
      <c r="E13" s="992" t="s">
        <v>38</v>
      </c>
      <c r="F13" s="992" t="s">
        <v>39</v>
      </c>
      <c r="G13" s="995" t="s">
        <v>369</v>
      </c>
      <c r="H13" s="994"/>
      <c r="I13" s="991"/>
      <c r="J13" s="991"/>
      <c r="K13" s="110"/>
    </row>
    <row r="14" spans="1:13" ht="18" customHeight="1" thickBot="1">
      <c r="A14" s="103"/>
      <c r="B14" s="993"/>
      <c r="C14" s="993"/>
      <c r="D14" s="993"/>
      <c r="E14" s="993"/>
      <c r="F14" s="993"/>
      <c r="G14" s="996"/>
      <c r="H14" s="994"/>
      <c r="I14" s="991"/>
      <c r="J14" s="991"/>
      <c r="K14" s="110"/>
    </row>
    <row r="15" spans="1:13" ht="15" customHeight="1">
      <c r="A15" s="103"/>
      <c r="B15" s="981">
        <v>1</v>
      </c>
      <c r="C15" s="982">
        <f t="shared" ref="C15:C46" si="0">IF($F$4&gt;=B15,VLOOKUP(CONCATENATE("portfolio_",$B15),portfolio_p.p.,2,0),"")</f>
        <v>999999987.09000027</v>
      </c>
      <c r="D15" s="982">
        <f t="shared" ref="D15:D46" si="1">IF($F$4&gt;=B15,VLOOKUP(CONCATENATE("portfolio_",$B15),portfolio_p.p.,3,0),"")</f>
        <v>12874153.58</v>
      </c>
      <c r="E15" s="982">
        <f t="shared" ref="E15:E46" si="2">IF($F$4&gt;=B15,VLOOKUP(CONCATENATE("portfolio_",$B15),portfolio_p.p.,4,0),"")</f>
        <v>12869301.560000001</v>
      </c>
      <c r="F15" s="982">
        <f t="shared" ref="F15:F46" si="3">IF($F$4&gt;=B15,VLOOKUP(CONCATENATE("portfolio_",$B15),portfolio_p.p.,5,0),"")</f>
        <v>25743455.140000001</v>
      </c>
      <c r="G15" s="983">
        <f t="shared" ref="G15:G46" si="4">IF($F$4&gt;=B15,VLOOKUP(CONCATENATE("portfolio_",$B15),portfolio_p.p.,6,0),"")</f>
        <v>0.1439563772824759</v>
      </c>
      <c r="H15" s="134"/>
      <c r="I15" s="105"/>
      <c r="J15" s="133"/>
      <c r="K15" s="110"/>
    </row>
    <row r="16" spans="1:13" ht="15" customHeight="1">
      <c r="A16" s="103"/>
      <c r="B16" s="984">
        <v>2</v>
      </c>
      <c r="C16" s="966">
        <f t="shared" si="0"/>
        <v>999999994.49000025</v>
      </c>
      <c r="D16" s="966">
        <f t="shared" si="1"/>
        <v>12749018.209999988</v>
      </c>
      <c r="E16" s="966">
        <f t="shared" si="2"/>
        <v>14938459.260000011</v>
      </c>
      <c r="F16" s="966">
        <f t="shared" si="3"/>
        <v>27687477.469999999</v>
      </c>
      <c r="G16" s="985">
        <f t="shared" si="4"/>
        <v>0.1652424397028962</v>
      </c>
      <c r="H16" s="134"/>
      <c r="I16" s="105"/>
      <c r="J16" s="133"/>
      <c r="K16" s="110"/>
    </row>
    <row r="17" spans="1:12" ht="15" customHeight="1">
      <c r="A17" s="103"/>
      <c r="B17" s="984">
        <v>3</v>
      </c>
      <c r="C17" s="966">
        <f t="shared" si="0"/>
        <v>999999997.6700002</v>
      </c>
      <c r="D17" s="966">
        <f t="shared" si="1"/>
        <v>12267567.370000005</v>
      </c>
      <c r="E17" s="966">
        <f t="shared" si="2"/>
        <v>9162134.9099999964</v>
      </c>
      <c r="F17" s="966">
        <f t="shared" si="3"/>
        <v>21429702.280000001</v>
      </c>
      <c r="G17" s="985">
        <f t="shared" si="4"/>
        <v>0.1045710351748308</v>
      </c>
      <c r="H17" s="134"/>
      <c r="I17" s="105"/>
      <c r="J17" s="133"/>
      <c r="K17" s="110"/>
    </row>
    <row r="18" spans="1:12" ht="15" customHeight="1">
      <c r="A18" s="103"/>
      <c r="B18" s="984">
        <v>4</v>
      </c>
      <c r="C18" s="966">
        <f t="shared" si="0"/>
        <v>999999994.00000024</v>
      </c>
      <c r="D18" s="966">
        <f t="shared" si="1"/>
        <v>12703121.130000014</v>
      </c>
      <c r="E18" s="966">
        <f t="shared" si="2"/>
        <v>19011983.489999983</v>
      </c>
      <c r="F18" s="966">
        <f t="shared" si="3"/>
        <v>31715104.619999997</v>
      </c>
      <c r="G18" s="985">
        <f t="shared" si="4"/>
        <v>0.20573682844045915</v>
      </c>
      <c r="H18" s="134"/>
      <c r="I18" s="105"/>
      <c r="J18" s="133"/>
      <c r="K18" s="110"/>
    </row>
    <row r="19" spans="1:12" ht="15" customHeight="1">
      <c r="A19" s="103"/>
      <c r="B19" s="984">
        <v>5</v>
      </c>
      <c r="C19" s="966">
        <f t="shared" si="0"/>
        <v>999999989.14000022</v>
      </c>
      <c r="D19" s="966">
        <f t="shared" si="1"/>
        <v>12573513.080000028</v>
      </c>
      <c r="E19" s="966">
        <f t="shared" si="2"/>
        <v>15870326.31999997</v>
      </c>
      <c r="F19" s="966">
        <f t="shared" si="3"/>
        <v>28443839.399999999</v>
      </c>
      <c r="G19" s="985">
        <f t="shared" si="4"/>
        <v>0.17466944742711243</v>
      </c>
      <c r="H19" s="134"/>
      <c r="I19" s="105"/>
      <c r="J19" s="133"/>
      <c r="K19" s="110"/>
    </row>
    <row r="20" spans="1:12" ht="15" customHeight="1">
      <c r="A20" s="103"/>
      <c r="B20" s="984">
        <v>6</v>
      </c>
      <c r="C20" s="966">
        <f t="shared" si="0"/>
        <v>999999997.6500001</v>
      </c>
      <c r="D20" s="966">
        <f t="shared" si="1"/>
        <v>12878781.510000009</v>
      </c>
      <c r="E20" s="966">
        <f t="shared" si="2"/>
        <v>16692848.519999992</v>
      </c>
      <c r="F20" s="966">
        <f t="shared" si="3"/>
        <v>29571630.030000001</v>
      </c>
      <c r="G20" s="985">
        <f t="shared" si="4"/>
        <v>0.18290910187146314</v>
      </c>
      <c r="H20" s="134"/>
      <c r="I20" s="105"/>
      <c r="J20" s="133"/>
      <c r="K20" s="110"/>
    </row>
    <row r="21" spans="1:12" ht="15" customHeight="1">
      <c r="A21" s="103"/>
      <c r="B21" s="984">
        <v>7</v>
      </c>
      <c r="C21" s="966">
        <f t="shared" si="0"/>
        <v>999999996.75000012</v>
      </c>
      <c r="D21" s="966">
        <f t="shared" si="1"/>
        <v>13682490.239999989</v>
      </c>
      <c r="E21" s="966">
        <f t="shared" si="2"/>
        <v>13503526.900000012</v>
      </c>
      <c r="F21" s="966">
        <f t="shared" si="3"/>
        <v>27186017.140000001</v>
      </c>
      <c r="G21" s="985">
        <f t="shared" si="4"/>
        <v>0.15053313575833305</v>
      </c>
      <c r="H21" s="105"/>
      <c r="I21" s="105"/>
      <c r="J21" s="105"/>
      <c r="K21" s="110"/>
    </row>
    <row r="22" spans="1:12" ht="15" customHeight="1">
      <c r="A22" s="103"/>
      <c r="B22" s="984">
        <v>8</v>
      </c>
      <c r="C22" s="966">
        <f t="shared" si="0"/>
        <v>999999997.4000001</v>
      </c>
      <c r="D22" s="966">
        <f t="shared" si="1"/>
        <v>13211478.119999997</v>
      </c>
      <c r="E22" s="966">
        <f t="shared" si="2"/>
        <v>16184488.810000002</v>
      </c>
      <c r="F22" s="966">
        <f t="shared" si="3"/>
        <v>29395966.93</v>
      </c>
      <c r="G22" s="985">
        <f t="shared" si="4"/>
        <v>0.17782553189681738</v>
      </c>
      <c r="H22" s="105"/>
      <c r="I22" s="105"/>
      <c r="J22" s="881"/>
      <c r="K22" s="110"/>
      <c r="L22" s="882"/>
    </row>
    <row r="23" spans="1:12" ht="15" customHeight="1">
      <c r="A23" s="103"/>
      <c r="B23" s="984">
        <v>9</v>
      </c>
      <c r="C23" s="966">
        <f t="shared" si="0"/>
        <v>999999977.96000004</v>
      </c>
      <c r="D23" s="966">
        <f t="shared" si="1"/>
        <v>13262543.270000014</v>
      </c>
      <c r="E23" s="966">
        <f t="shared" si="2"/>
        <v>16278904.209999986</v>
      </c>
      <c r="F23" s="966">
        <f t="shared" si="3"/>
        <v>29541447.48</v>
      </c>
      <c r="G23" s="985">
        <f t="shared" si="4"/>
        <v>0.17877187068324063</v>
      </c>
      <c r="H23" s="105"/>
      <c r="I23" s="105"/>
      <c r="J23" s="883"/>
      <c r="K23" s="110"/>
    </row>
    <row r="24" spans="1:12" ht="15" customHeight="1">
      <c r="A24" s="103"/>
      <c r="B24" s="984">
        <v>10</v>
      </c>
      <c r="C24" s="966">
        <f t="shared" si="0"/>
        <v>999999995.70000005</v>
      </c>
      <c r="D24" s="966">
        <f t="shared" si="1"/>
        <v>13446052.159999993</v>
      </c>
      <c r="E24" s="947">
        <f t="shared" si="2"/>
        <v>18154861.640000008</v>
      </c>
      <c r="F24" s="966">
        <f t="shared" si="3"/>
        <v>31600913.800000001</v>
      </c>
      <c r="G24" s="985">
        <f t="shared" si="4"/>
        <v>0.19736900258936274</v>
      </c>
      <c r="H24" s="884"/>
      <c r="I24" s="884"/>
      <c r="J24" s="885"/>
      <c r="K24" s="110"/>
    </row>
    <row r="25" spans="1:12" ht="15" customHeight="1">
      <c r="A25" s="103"/>
      <c r="B25" s="984">
        <v>11</v>
      </c>
      <c r="C25" s="966">
        <f t="shared" si="0"/>
        <v>999999981.95999992</v>
      </c>
      <c r="D25" s="966">
        <f t="shared" si="1"/>
        <v>13599419.18999999</v>
      </c>
      <c r="E25" s="966">
        <f t="shared" si="2"/>
        <v>16834208.940000009</v>
      </c>
      <c r="F25" s="966">
        <f t="shared" si="3"/>
        <v>30433628.129999999</v>
      </c>
      <c r="G25" s="985">
        <f t="shared" si="4"/>
        <v>0.18431757219282974</v>
      </c>
      <c r="H25" s="872"/>
      <c r="I25" s="872"/>
      <c r="J25" s="871"/>
      <c r="K25" s="110"/>
    </row>
    <row r="26" spans="1:12" ht="15" customHeight="1">
      <c r="A26" s="103"/>
      <c r="B26" s="984">
        <v>12</v>
      </c>
      <c r="C26" s="966">
        <f t="shared" si="0"/>
        <v>999530391.04999995</v>
      </c>
      <c r="D26" s="966">
        <f t="shared" si="1"/>
        <v>15340390.180000013</v>
      </c>
      <c r="E26" s="966">
        <f t="shared" si="2"/>
        <v>11711911.979999987</v>
      </c>
      <c r="F26" s="966">
        <f t="shared" si="3"/>
        <v>27052302.16</v>
      </c>
      <c r="G26" s="985">
        <f t="shared" si="4"/>
        <v>0.13189209194135831</v>
      </c>
      <c r="H26" s="872"/>
      <c r="I26" s="872"/>
      <c r="J26" s="874"/>
      <c r="K26" s="110"/>
    </row>
    <row r="27" spans="1:12" ht="15" customHeight="1">
      <c r="A27" s="103"/>
      <c r="B27" s="984">
        <v>13</v>
      </c>
      <c r="C27" s="966">
        <f t="shared" si="0"/>
        <v>999580049.78999984</v>
      </c>
      <c r="D27" s="966">
        <f t="shared" si="1"/>
        <v>13793697.789999992</v>
      </c>
      <c r="E27" s="966">
        <f t="shared" si="2"/>
        <v>11179253.250000007</v>
      </c>
      <c r="F27" s="966">
        <f t="shared" si="3"/>
        <v>24972951.039999999</v>
      </c>
      <c r="G27" s="985">
        <f t="shared" si="4"/>
        <v>0.12625222050776919</v>
      </c>
      <c r="H27" s="872"/>
      <c r="I27" s="872"/>
      <c r="J27" s="310"/>
      <c r="K27" s="110"/>
    </row>
    <row r="28" spans="1:12" ht="15" customHeight="1">
      <c r="A28" s="103"/>
      <c r="B28" s="984">
        <v>14</v>
      </c>
      <c r="C28" s="966">
        <f t="shared" si="0"/>
        <v>972266109.06999993</v>
      </c>
      <c r="D28" s="966">
        <f t="shared" si="1"/>
        <v>13666245.620000003</v>
      </c>
      <c r="E28" s="966">
        <f t="shared" si="2"/>
        <v>11190638.689999996</v>
      </c>
      <c r="F28" s="966">
        <f t="shared" si="3"/>
        <v>24856884.309999999</v>
      </c>
      <c r="G28" s="985">
        <f t="shared" si="4"/>
        <v>0.12970168240960411</v>
      </c>
      <c r="H28" s="872"/>
      <c r="I28" s="872"/>
      <c r="J28" s="871"/>
      <c r="K28" s="110"/>
    </row>
    <row r="29" spans="1:12" ht="15" customHeight="1">
      <c r="A29" s="103"/>
      <c r="B29" s="984">
        <v>15</v>
      </c>
      <c r="C29" s="966">
        <f t="shared" si="0"/>
        <v>944785206.33999991</v>
      </c>
      <c r="D29" s="966">
        <f t="shared" si="1"/>
        <v>13428232.839999998</v>
      </c>
      <c r="E29" s="966">
        <f t="shared" si="2"/>
        <v>6947345.4199999999</v>
      </c>
      <c r="F29" s="966">
        <f t="shared" si="3"/>
        <v>20375578.259999998</v>
      </c>
      <c r="G29" s="985">
        <f t="shared" si="4"/>
        <v>8.4757614431644979E-2</v>
      </c>
      <c r="H29" s="872"/>
      <c r="I29" s="872"/>
      <c r="J29" s="871"/>
      <c r="K29" s="110"/>
    </row>
    <row r="30" spans="1:12" ht="15" customHeight="1">
      <c r="A30" s="103"/>
      <c r="B30" s="984">
        <v>16</v>
      </c>
      <c r="C30" s="966">
        <f t="shared" si="0"/>
        <v>921970706.56999993</v>
      </c>
      <c r="D30" s="966">
        <f t="shared" si="1"/>
        <v>13481764.400000008</v>
      </c>
      <c r="E30" s="966">
        <f t="shared" si="2"/>
        <v>15831286.419999992</v>
      </c>
      <c r="F30" s="966">
        <f t="shared" si="3"/>
        <v>29313050.82</v>
      </c>
      <c r="G30" s="985">
        <f t="shared" si="4"/>
        <v>0.18766564983211276</v>
      </c>
      <c r="H30" s="872"/>
      <c r="I30" s="872"/>
      <c r="J30" s="871"/>
      <c r="K30" s="110"/>
    </row>
    <row r="31" spans="1:12" ht="15" customHeight="1">
      <c r="A31" s="103"/>
      <c r="B31" s="984">
        <v>17</v>
      </c>
      <c r="C31" s="966">
        <f t="shared" si="0"/>
        <v>890117850.68999994</v>
      </c>
      <c r="D31" s="966">
        <f t="shared" si="1"/>
        <v>12996695.209999992</v>
      </c>
      <c r="E31" s="966">
        <f t="shared" si="2"/>
        <v>12787144.970000008</v>
      </c>
      <c r="F31" s="966">
        <f t="shared" si="3"/>
        <v>25783840.18</v>
      </c>
      <c r="G31" s="985">
        <f t="shared" si="4"/>
        <v>0.15939914586898651</v>
      </c>
      <c r="H31" s="872"/>
      <c r="I31" s="872"/>
      <c r="J31" s="871"/>
      <c r="K31" s="110"/>
    </row>
    <row r="32" spans="1:12" ht="15" customHeight="1">
      <c r="A32" s="103"/>
      <c r="B32" s="984">
        <v>18</v>
      </c>
      <c r="C32" s="966">
        <f t="shared" si="0"/>
        <v>861730634.76999998</v>
      </c>
      <c r="D32" s="966">
        <f t="shared" si="1"/>
        <v>13076882.809999999</v>
      </c>
      <c r="E32" s="966">
        <f t="shared" si="2"/>
        <v>11073015.120000001</v>
      </c>
      <c r="F32" s="966">
        <f t="shared" si="3"/>
        <v>24149897.93</v>
      </c>
      <c r="G32" s="985">
        <f t="shared" si="4"/>
        <v>0.14375279322232148</v>
      </c>
      <c r="H32" s="872"/>
      <c r="I32" s="872"/>
      <c r="J32" s="871"/>
      <c r="K32" s="110"/>
    </row>
    <row r="33" spans="1:11" ht="15" customHeight="1">
      <c r="A33" s="103"/>
      <c r="B33" s="984">
        <v>19</v>
      </c>
      <c r="C33" s="966">
        <f t="shared" si="0"/>
        <v>835033301.61999989</v>
      </c>
      <c r="D33" s="966">
        <f t="shared" si="1"/>
        <v>12399426.809999995</v>
      </c>
      <c r="E33" s="966">
        <f t="shared" si="2"/>
        <v>11845408.980000004</v>
      </c>
      <c r="F33" s="966">
        <f t="shared" si="3"/>
        <v>24244835.789999999</v>
      </c>
      <c r="G33" s="985">
        <f t="shared" si="4"/>
        <v>0.15755386541545702</v>
      </c>
      <c r="H33" s="872"/>
      <c r="I33" s="872"/>
      <c r="J33" s="871"/>
      <c r="K33" s="110"/>
    </row>
    <row r="34" spans="1:11" ht="15" customHeight="1">
      <c r="A34" s="103"/>
      <c r="B34" s="984">
        <v>20</v>
      </c>
      <c r="C34" s="966">
        <f t="shared" si="0"/>
        <v>808209422.54999983</v>
      </c>
      <c r="D34" s="966">
        <f t="shared" si="1"/>
        <v>12178434.680000002</v>
      </c>
      <c r="E34" s="966">
        <f t="shared" si="2"/>
        <v>10913314.139999999</v>
      </c>
      <c r="F34" s="966">
        <f t="shared" si="3"/>
        <v>23091748.82</v>
      </c>
      <c r="G34" s="985">
        <f t="shared" si="4"/>
        <v>0.15052848737645041</v>
      </c>
      <c r="H34" s="872"/>
      <c r="I34" s="872"/>
      <c r="J34" s="871"/>
      <c r="K34" s="110"/>
    </row>
    <row r="35" spans="1:11" ht="15" customHeight="1">
      <c r="A35" s="103"/>
      <c r="B35" s="984">
        <v>21</v>
      </c>
      <c r="C35" s="966">
        <f t="shared" si="0"/>
        <v>782196586.9599998</v>
      </c>
      <c r="D35" s="966">
        <f t="shared" si="1"/>
        <v>12151252.310000004</v>
      </c>
      <c r="E35" s="966">
        <f t="shared" si="2"/>
        <v>10400103.579999996</v>
      </c>
      <c r="F35" s="966">
        <f t="shared" si="3"/>
        <v>22551355.890000001</v>
      </c>
      <c r="G35" s="985">
        <f t="shared" si="4"/>
        <v>0.14838648388545306</v>
      </c>
      <c r="H35" s="872"/>
      <c r="I35" s="872"/>
      <c r="J35" s="871"/>
      <c r="K35" s="110"/>
    </row>
    <row r="36" spans="1:11" ht="15" customHeight="1">
      <c r="A36" s="103"/>
      <c r="B36" s="984">
        <v>22</v>
      </c>
      <c r="C36" s="966">
        <f t="shared" si="0"/>
        <v>757456618.61999977</v>
      </c>
      <c r="D36" s="966">
        <f t="shared" si="1"/>
        <v>11862521.130000001</v>
      </c>
      <c r="E36" s="966">
        <f t="shared" si="2"/>
        <v>11399724.4</v>
      </c>
      <c r="F36" s="966">
        <f t="shared" si="3"/>
        <v>23262245.530000001</v>
      </c>
      <c r="G36" s="985">
        <f t="shared" si="4"/>
        <v>0.16637602122129302</v>
      </c>
      <c r="H36" s="872"/>
      <c r="I36" s="872"/>
      <c r="J36" s="871"/>
      <c r="K36" s="110"/>
    </row>
    <row r="37" spans="1:11" s="59" customFormat="1" ht="15" customHeight="1">
      <c r="A37" s="886"/>
      <c r="B37" s="984">
        <v>23</v>
      </c>
      <c r="C37" s="966">
        <f t="shared" si="0"/>
        <v>731399238.9599998</v>
      </c>
      <c r="D37" s="966">
        <f t="shared" si="1"/>
        <v>11731053.269999994</v>
      </c>
      <c r="E37" s="966">
        <f t="shared" si="2"/>
        <v>9605072.5200000051</v>
      </c>
      <c r="F37" s="966">
        <f t="shared" si="3"/>
        <v>21336125.789999999</v>
      </c>
      <c r="G37" s="985">
        <f t="shared" si="4"/>
        <v>0.14669092618638835</v>
      </c>
      <c r="H37" s="887"/>
      <c r="I37" s="887"/>
      <c r="J37" s="888"/>
      <c r="K37" s="168"/>
    </row>
    <row r="38" spans="1:11" s="59" customFormat="1" ht="15" customHeight="1">
      <c r="A38" s="886"/>
      <c r="B38" s="984">
        <v>24</v>
      </c>
      <c r="C38" s="966">
        <f t="shared" si="0"/>
        <v>707906332.37999988</v>
      </c>
      <c r="D38" s="966">
        <f t="shared" si="1"/>
        <v>11354152.690000005</v>
      </c>
      <c r="E38" s="966">
        <f t="shared" si="2"/>
        <v>8141008.599999995</v>
      </c>
      <c r="F38" s="966">
        <f t="shared" si="3"/>
        <v>19495161.289999999</v>
      </c>
      <c r="G38" s="985">
        <f t="shared" si="4"/>
        <v>0.12959887243422585</v>
      </c>
      <c r="H38" s="884"/>
      <c r="I38" s="884"/>
      <c r="J38" s="871"/>
      <c r="K38" s="168"/>
    </row>
    <row r="39" spans="1:11" s="59" customFormat="1" ht="15" customHeight="1">
      <c r="A39" s="886"/>
      <c r="B39" s="984">
        <v>25</v>
      </c>
      <c r="C39" s="966">
        <f t="shared" si="0"/>
        <v>686245897.63999987</v>
      </c>
      <c r="D39" s="966">
        <f t="shared" si="1"/>
        <v>11574922.919999996</v>
      </c>
      <c r="E39" s="966">
        <f t="shared" si="2"/>
        <v>9370823.7400000039</v>
      </c>
      <c r="F39" s="966">
        <f t="shared" si="3"/>
        <v>20945746.66</v>
      </c>
      <c r="G39" s="985">
        <f t="shared" si="4"/>
        <v>0.15209905080930552</v>
      </c>
      <c r="H39" s="884"/>
      <c r="I39" s="884"/>
      <c r="J39" s="871"/>
      <c r="K39" s="168"/>
    </row>
    <row r="40" spans="1:11" ht="15" customHeight="1">
      <c r="A40" s="103"/>
      <c r="B40" s="984">
        <v>26</v>
      </c>
      <c r="C40" s="966">
        <f t="shared" si="0"/>
        <v>663524217.88999987</v>
      </c>
      <c r="D40" s="966">
        <f t="shared" si="1"/>
        <v>11095809.889999997</v>
      </c>
      <c r="E40" s="966">
        <f t="shared" si="2"/>
        <v>6434692.9600000037</v>
      </c>
      <c r="F40" s="966">
        <f t="shared" si="3"/>
        <v>17530502.850000001</v>
      </c>
      <c r="G40" s="985">
        <f t="shared" si="4"/>
        <v>0.11036229382667007</v>
      </c>
      <c r="H40" s="872"/>
      <c r="I40" s="872"/>
      <c r="J40" s="889"/>
      <c r="K40" s="110"/>
    </row>
    <row r="41" spans="1:11" ht="15" customHeight="1">
      <c r="A41" s="103"/>
      <c r="B41" s="984">
        <v>27</v>
      </c>
      <c r="C41" s="966">
        <f t="shared" si="0"/>
        <v>643878808.3299998</v>
      </c>
      <c r="D41" s="966">
        <f t="shared" si="1"/>
        <v>10824002.309999999</v>
      </c>
      <c r="E41" s="966">
        <f t="shared" si="2"/>
        <v>4234187.7800000021</v>
      </c>
      <c r="F41" s="966">
        <f t="shared" si="3"/>
        <v>15058190.09</v>
      </c>
      <c r="G41" s="985">
        <f t="shared" si="4"/>
        <v>7.6120262481757184E-2</v>
      </c>
      <c r="H41" s="872"/>
      <c r="I41" s="872"/>
      <c r="J41" s="874"/>
      <c r="K41" s="110"/>
    </row>
    <row r="42" spans="1:11" ht="15" customHeight="1">
      <c r="A42" s="103"/>
      <c r="B42" s="984">
        <v>28</v>
      </c>
      <c r="C42" s="966">
        <f t="shared" si="0"/>
        <v>626981831.49999988</v>
      </c>
      <c r="D42" s="966">
        <f t="shared" si="1"/>
        <v>11233842.549999997</v>
      </c>
      <c r="E42" s="966">
        <f t="shared" si="2"/>
        <v>8106944.2200000025</v>
      </c>
      <c r="F42" s="966">
        <f t="shared" si="3"/>
        <v>19340786.77</v>
      </c>
      <c r="G42" s="985">
        <f t="shared" si="4"/>
        <v>0.14458896385233955</v>
      </c>
      <c r="H42" s="105"/>
      <c r="I42" s="105"/>
      <c r="J42" s="158"/>
      <c r="K42" s="110"/>
    </row>
    <row r="43" spans="1:11" ht="15" customHeight="1">
      <c r="A43" s="103"/>
      <c r="B43" s="984">
        <v>29</v>
      </c>
      <c r="C43" s="966">
        <f t="shared" si="0"/>
        <v>605593470.43999994</v>
      </c>
      <c r="D43" s="966">
        <f t="shared" si="1"/>
        <v>10657546.860000003</v>
      </c>
      <c r="E43" s="966">
        <f t="shared" si="2"/>
        <v>6148915.4999999972</v>
      </c>
      <c r="F43" s="966">
        <f t="shared" si="3"/>
        <v>16806462.359999999</v>
      </c>
      <c r="G43" s="985">
        <f t="shared" si="4"/>
        <v>0.1152633288123287</v>
      </c>
      <c r="H43" s="105"/>
      <c r="I43" s="105"/>
      <c r="J43" s="158"/>
      <c r="K43" s="110"/>
    </row>
    <row r="44" spans="1:11" ht="15" customHeight="1">
      <c r="A44" s="103"/>
      <c r="B44" s="984">
        <v>30</v>
      </c>
      <c r="C44" s="966">
        <f t="shared" si="0"/>
        <v>586759359.30999994</v>
      </c>
      <c r="D44" s="966">
        <f t="shared" si="1"/>
        <v>10440973.470000003</v>
      </c>
      <c r="E44" s="966">
        <f t="shared" si="2"/>
        <v>6038610.5999999987</v>
      </c>
      <c r="F44" s="966">
        <f t="shared" si="3"/>
        <v>16479584.07</v>
      </c>
      <c r="G44" s="985">
        <f t="shared" si="4"/>
        <v>0.11674152843620667</v>
      </c>
      <c r="H44" s="105"/>
      <c r="I44" s="105"/>
      <c r="J44" s="158"/>
      <c r="K44" s="110"/>
    </row>
    <row r="45" spans="1:11" ht="15" customHeight="1">
      <c r="A45" s="103"/>
      <c r="B45" s="984">
        <v>31</v>
      </c>
      <c r="C45" s="966">
        <f t="shared" si="0"/>
        <v>568467527.35000002</v>
      </c>
      <c r="D45" s="966">
        <f t="shared" si="1"/>
        <v>10352758.200000003</v>
      </c>
      <c r="E45" s="966">
        <f t="shared" si="2"/>
        <v>6905244.0199999949</v>
      </c>
      <c r="F45" s="966">
        <f t="shared" si="3"/>
        <v>17258002.219999999</v>
      </c>
      <c r="G45" s="985">
        <f t="shared" si="4"/>
        <v>0.13641073113290836</v>
      </c>
      <c r="H45" s="105"/>
      <c r="I45" s="105"/>
      <c r="J45" s="158"/>
      <c r="K45" s="110"/>
    </row>
    <row r="46" spans="1:11" ht="15" customHeight="1">
      <c r="A46" s="103"/>
      <c r="B46" s="984">
        <v>32</v>
      </c>
      <c r="C46" s="966">
        <f t="shared" si="0"/>
        <v>549072459.42000008</v>
      </c>
      <c r="D46" s="966">
        <f t="shared" si="1"/>
        <v>10245999.360000001</v>
      </c>
      <c r="E46" s="966">
        <f t="shared" si="2"/>
        <v>6762647.2699999977</v>
      </c>
      <c r="F46" s="966">
        <f t="shared" si="3"/>
        <v>17008646.629999999</v>
      </c>
      <c r="G46" s="985">
        <f t="shared" si="4"/>
        <v>0.13818585349579282</v>
      </c>
      <c r="H46" s="105"/>
      <c r="I46" s="105"/>
      <c r="J46" s="158"/>
      <c r="K46" s="110"/>
    </row>
    <row r="47" spans="1:11" ht="15" customHeight="1">
      <c r="A47" s="103"/>
      <c r="B47" s="984">
        <v>33</v>
      </c>
      <c r="C47" s="966">
        <f t="shared" ref="C47:C78" si="5">IF($F$4&gt;=B47,VLOOKUP(CONCATENATE("portfolio_",$B47),portfolio_p.p.,2,0),"")</f>
        <v>530411090.53000003</v>
      </c>
      <c r="D47" s="966">
        <f t="shared" ref="D47:D78" si="6">IF($F$4&gt;=B47,VLOOKUP(CONCATENATE("portfolio_",$B47),portfolio_p.p.,3,0),"")</f>
        <v>9884900.6100000031</v>
      </c>
      <c r="E47" s="966">
        <f t="shared" ref="E47:E78" si="7">IF($F$4&gt;=B47,VLOOKUP(CONCATENATE("portfolio_",$B47),portfolio_p.p.,4,0),"")</f>
        <v>6033684.4699999979</v>
      </c>
      <c r="F47" s="966">
        <f t="shared" ref="F47:F78" si="8">IF($F$4&gt;=B47,VLOOKUP(CONCATENATE("portfolio_",$B47),portfolio_p.p.,5,0),"")</f>
        <v>15918585.08</v>
      </c>
      <c r="G47" s="985">
        <f t="shared" ref="G47:G78" si="9">IF($F$4&gt;=B47,VLOOKUP(CONCATENATE("portfolio_",$B47),portfolio_p.p.,6,0),"")</f>
        <v>0.12828103343464037</v>
      </c>
      <c r="H47" s="105"/>
      <c r="I47" s="105"/>
      <c r="J47" s="158"/>
      <c r="K47" s="110"/>
    </row>
    <row r="48" spans="1:11" ht="15" customHeight="1">
      <c r="A48" s="103"/>
      <c r="B48" s="984">
        <v>34</v>
      </c>
      <c r="C48" s="966">
        <f t="shared" si="5"/>
        <v>512919477.87</v>
      </c>
      <c r="D48" s="966">
        <f t="shared" si="6"/>
        <v>9641104.0900000073</v>
      </c>
      <c r="E48" s="966">
        <f t="shared" si="7"/>
        <v>7017080.1599999936</v>
      </c>
      <c r="F48" s="966">
        <f t="shared" si="8"/>
        <v>16658184.25</v>
      </c>
      <c r="G48" s="985">
        <f t="shared" si="9"/>
        <v>0.15236173309588297</v>
      </c>
      <c r="H48" s="105"/>
      <c r="I48" s="105"/>
      <c r="J48" s="158"/>
      <c r="K48" s="110"/>
    </row>
    <row r="49" spans="1:11" ht="15" customHeight="1">
      <c r="A49" s="103"/>
      <c r="B49" s="984">
        <v>35</v>
      </c>
      <c r="C49" s="966">
        <f t="shared" si="5"/>
        <v>493866831.41000003</v>
      </c>
      <c r="D49" s="966">
        <f t="shared" si="6"/>
        <v>9680978.1300000027</v>
      </c>
      <c r="E49" s="966">
        <f t="shared" si="7"/>
        <v>5047183.5799999963</v>
      </c>
      <c r="F49" s="966">
        <f t="shared" si="8"/>
        <v>14728161.709999999</v>
      </c>
      <c r="G49" s="985">
        <f t="shared" si="9"/>
        <v>0.11597299521746207</v>
      </c>
      <c r="H49" s="105"/>
      <c r="I49" s="105"/>
      <c r="J49" s="158"/>
      <c r="K49" s="110"/>
    </row>
    <row r="50" spans="1:11" ht="15" customHeight="1">
      <c r="A50" s="103"/>
      <c r="B50" s="984">
        <v>36</v>
      </c>
      <c r="C50" s="966" t="str">
        <f t="shared" si="5"/>
        <v/>
      </c>
      <c r="D50" s="966" t="str">
        <f t="shared" si="6"/>
        <v/>
      </c>
      <c r="E50" s="966" t="str">
        <f t="shared" si="7"/>
        <v/>
      </c>
      <c r="F50" s="966" t="str">
        <f t="shared" si="8"/>
        <v/>
      </c>
      <c r="G50" s="985" t="str">
        <f t="shared" si="9"/>
        <v/>
      </c>
      <c r="H50" s="105"/>
      <c r="I50" s="105"/>
      <c r="J50" s="158"/>
      <c r="K50" s="110"/>
    </row>
    <row r="51" spans="1:11" ht="15" customHeight="1">
      <c r="A51" s="103"/>
      <c r="B51" s="984">
        <v>37</v>
      </c>
      <c r="C51" s="966" t="str">
        <f t="shared" si="5"/>
        <v/>
      </c>
      <c r="D51" s="966" t="str">
        <f t="shared" si="6"/>
        <v/>
      </c>
      <c r="E51" s="966" t="str">
        <f t="shared" si="7"/>
        <v/>
      </c>
      <c r="F51" s="966" t="str">
        <f t="shared" si="8"/>
        <v/>
      </c>
      <c r="G51" s="985" t="str">
        <f t="shared" si="9"/>
        <v/>
      </c>
      <c r="H51" s="105"/>
      <c r="I51" s="105"/>
      <c r="J51" s="158"/>
      <c r="K51" s="110"/>
    </row>
    <row r="52" spans="1:11" ht="15" customHeight="1">
      <c r="A52" s="103"/>
      <c r="B52" s="984">
        <v>38</v>
      </c>
      <c r="C52" s="966" t="str">
        <f t="shared" si="5"/>
        <v/>
      </c>
      <c r="D52" s="966" t="str">
        <f t="shared" si="6"/>
        <v/>
      </c>
      <c r="E52" s="966" t="str">
        <f t="shared" si="7"/>
        <v/>
      </c>
      <c r="F52" s="966" t="str">
        <f t="shared" si="8"/>
        <v/>
      </c>
      <c r="G52" s="985" t="str">
        <f t="shared" si="9"/>
        <v/>
      </c>
      <c r="H52" s="105"/>
      <c r="I52" s="105"/>
      <c r="J52" s="158"/>
      <c r="K52" s="110"/>
    </row>
    <row r="53" spans="1:11" ht="15" customHeight="1">
      <c r="A53" s="103"/>
      <c r="B53" s="984">
        <v>39</v>
      </c>
      <c r="C53" s="145" t="str">
        <f t="shared" si="5"/>
        <v/>
      </c>
      <c r="D53" s="145" t="str">
        <f t="shared" si="6"/>
        <v/>
      </c>
      <c r="E53" s="145" t="str">
        <f t="shared" si="7"/>
        <v/>
      </c>
      <c r="F53" s="145" t="str">
        <f t="shared" si="8"/>
        <v/>
      </c>
      <c r="G53" s="985" t="str">
        <f t="shared" si="9"/>
        <v/>
      </c>
      <c r="H53" s="105"/>
      <c r="I53" s="105"/>
      <c r="J53" s="158"/>
      <c r="K53" s="110"/>
    </row>
    <row r="54" spans="1:11" ht="15" customHeight="1">
      <c r="A54" s="103"/>
      <c r="B54" s="984">
        <v>40</v>
      </c>
      <c r="C54" s="145" t="str">
        <f t="shared" si="5"/>
        <v/>
      </c>
      <c r="D54" s="145" t="str">
        <f t="shared" si="6"/>
        <v/>
      </c>
      <c r="E54" s="145" t="str">
        <f t="shared" si="7"/>
        <v/>
      </c>
      <c r="F54" s="145" t="str">
        <f t="shared" si="8"/>
        <v/>
      </c>
      <c r="G54" s="985" t="str">
        <f t="shared" si="9"/>
        <v/>
      </c>
      <c r="H54" s="105"/>
      <c r="I54" s="105"/>
      <c r="J54" s="158"/>
      <c r="K54" s="110"/>
    </row>
    <row r="55" spans="1:11" ht="15" customHeight="1">
      <c r="A55" s="103"/>
      <c r="B55" s="984">
        <v>41</v>
      </c>
      <c r="C55" s="145" t="str">
        <f t="shared" si="5"/>
        <v/>
      </c>
      <c r="D55" s="145" t="str">
        <f t="shared" si="6"/>
        <v/>
      </c>
      <c r="E55" s="145" t="str">
        <f t="shared" si="7"/>
        <v/>
      </c>
      <c r="F55" s="145" t="str">
        <f t="shared" si="8"/>
        <v/>
      </c>
      <c r="G55" s="985" t="str">
        <f t="shared" si="9"/>
        <v/>
      </c>
      <c r="H55" s="105"/>
      <c r="I55" s="105"/>
      <c r="J55" s="158"/>
      <c r="K55" s="110"/>
    </row>
    <row r="56" spans="1:11" ht="15" customHeight="1">
      <c r="A56" s="103"/>
      <c r="B56" s="984">
        <v>42</v>
      </c>
      <c r="C56" s="145" t="str">
        <f t="shared" si="5"/>
        <v/>
      </c>
      <c r="D56" s="145" t="str">
        <f t="shared" si="6"/>
        <v/>
      </c>
      <c r="E56" s="145" t="str">
        <f t="shared" si="7"/>
        <v/>
      </c>
      <c r="F56" s="145" t="str">
        <f t="shared" si="8"/>
        <v/>
      </c>
      <c r="G56" s="985" t="str">
        <f t="shared" si="9"/>
        <v/>
      </c>
      <c r="H56" s="105"/>
      <c r="I56" s="105"/>
      <c r="J56" s="158"/>
      <c r="K56" s="110"/>
    </row>
    <row r="57" spans="1:11" ht="15" customHeight="1">
      <c r="A57" s="103"/>
      <c r="B57" s="984">
        <v>43</v>
      </c>
      <c r="C57" s="145" t="str">
        <f t="shared" si="5"/>
        <v/>
      </c>
      <c r="D57" s="145" t="str">
        <f t="shared" si="6"/>
        <v/>
      </c>
      <c r="E57" s="145" t="str">
        <f t="shared" si="7"/>
        <v/>
      </c>
      <c r="F57" s="145" t="str">
        <f t="shared" si="8"/>
        <v/>
      </c>
      <c r="G57" s="985" t="str">
        <f t="shared" si="9"/>
        <v/>
      </c>
      <c r="H57" s="105"/>
      <c r="I57" s="105"/>
      <c r="J57" s="158"/>
      <c r="K57" s="110"/>
    </row>
    <row r="58" spans="1:11" ht="15" customHeight="1">
      <c r="A58" s="103"/>
      <c r="B58" s="984">
        <v>44</v>
      </c>
      <c r="C58" s="145" t="str">
        <f t="shared" si="5"/>
        <v/>
      </c>
      <c r="D58" s="145" t="str">
        <f t="shared" si="6"/>
        <v/>
      </c>
      <c r="E58" s="145" t="str">
        <f t="shared" si="7"/>
        <v/>
      </c>
      <c r="F58" s="145" t="str">
        <f t="shared" si="8"/>
        <v/>
      </c>
      <c r="G58" s="985" t="str">
        <f t="shared" si="9"/>
        <v/>
      </c>
      <c r="H58" s="105"/>
      <c r="I58" s="105"/>
      <c r="J58" s="158"/>
      <c r="K58" s="110"/>
    </row>
    <row r="59" spans="1:11" ht="15" customHeight="1">
      <c r="A59" s="103"/>
      <c r="B59" s="984">
        <v>45</v>
      </c>
      <c r="C59" s="145" t="str">
        <f t="shared" si="5"/>
        <v/>
      </c>
      <c r="D59" s="145" t="str">
        <f t="shared" si="6"/>
        <v/>
      </c>
      <c r="E59" s="145" t="str">
        <f t="shared" si="7"/>
        <v/>
      </c>
      <c r="F59" s="145" t="str">
        <f t="shared" si="8"/>
        <v/>
      </c>
      <c r="G59" s="985" t="str">
        <f t="shared" si="9"/>
        <v/>
      </c>
      <c r="H59" s="105"/>
      <c r="I59" s="105"/>
      <c r="J59" s="158"/>
      <c r="K59" s="110"/>
    </row>
    <row r="60" spans="1:11" ht="15" customHeight="1">
      <c r="A60" s="103"/>
      <c r="B60" s="984">
        <v>46</v>
      </c>
      <c r="C60" s="145" t="str">
        <f t="shared" si="5"/>
        <v/>
      </c>
      <c r="D60" s="145" t="str">
        <f t="shared" si="6"/>
        <v/>
      </c>
      <c r="E60" s="145" t="str">
        <f t="shared" si="7"/>
        <v/>
      </c>
      <c r="F60" s="145" t="str">
        <f t="shared" si="8"/>
        <v/>
      </c>
      <c r="G60" s="985" t="str">
        <f t="shared" si="9"/>
        <v/>
      </c>
      <c r="H60" s="105"/>
      <c r="I60" s="105"/>
      <c r="J60" s="105"/>
      <c r="K60" s="110"/>
    </row>
    <row r="61" spans="1:11" ht="15" customHeight="1">
      <c r="A61" s="103"/>
      <c r="B61" s="984">
        <v>47</v>
      </c>
      <c r="C61" s="145" t="str">
        <f t="shared" si="5"/>
        <v/>
      </c>
      <c r="D61" s="145" t="str">
        <f t="shared" si="6"/>
        <v/>
      </c>
      <c r="E61" s="145" t="str">
        <f t="shared" si="7"/>
        <v/>
      </c>
      <c r="F61" s="145" t="str">
        <f t="shared" si="8"/>
        <v/>
      </c>
      <c r="G61" s="985" t="str">
        <f t="shared" si="9"/>
        <v/>
      </c>
      <c r="H61" s="105"/>
      <c r="I61" s="105"/>
      <c r="J61" s="105"/>
      <c r="K61" s="110"/>
    </row>
    <row r="62" spans="1:11" ht="15" customHeight="1">
      <c r="A62" s="103"/>
      <c r="B62" s="984">
        <v>48</v>
      </c>
      <c r="C62" s="145" t="str">
        <f t="shared" si="5"/>
        <v/>
      </c>
      <c r="D62" s="145" t="str">
        <f t="shared" si="6"/>
        <v/>
      </c>
      <c r="E62" s="145" t="str">
        <f t="shared" si="7"/>
        <v/>
      </c>
      <c r="F62" s="145" t="str">
        <f t="shared" si="8"/>
        <v/>
      </c>
      <c r="G62" s="985" t="str">
        <f t="shared" si="9"/>
        <v/>
      </c>
      <c r="H62" s="105"/>
      <c r="I62" s="105"/>
      <c r="J62" s="105"/>
      <c r="K62" s="110"/>
    </row>
    <row r="63" spans="1:11" ht="15" customHeight="1">
      <c r="A63" s="103"/>
      <c r="B63" s="984">
        <v>49</v>
      </c>
      <c r="C63" s="145" t="str">
        <f t="shared" si="5"/>
        <v/>
      </c>
      <c r="D63" s="145" t="str">
        <f t="shared" si="6"/>
        <v/>
      </c>
      <c r="E63" s="145" t="str">
        <f t="shared" si="7"/>
        <v/>
      </c>
      <c r="F63" s="145" t="str">
        <f t="shared" si="8"/>
        <v/>
      </c>
      <c r="G63" s="985" t="str">
        <f t="shared" si="9"/>
        <v/>
      </c>
      <c r="H63" s="105"/>
      <c r="I63" s="105"/>
      <c r="J63" s="105"/>
      <c r="K63" s="110"/>
    </row>
    <row r="64" spans="1:11" ht="15" customHeight="1">
      <c r="A64" s="103"/>
      <c r="B64" s="984">
        <v>50</v>
      </c>
      <c r="C64" s="145" t="str">
        <f t="shared" si="5"/>
        <v/>
      </c>
      <c r="D64" s="145" t="str">
        <f t="shared" si="6"/>
        <v/>
      </c>
      <c r="E64" s="145" t="str">
        <f t="shared" si="7"/>
        <v/>
      </c>
      <c r="F64" s="145" t="str">
        <f t="shared" si="8"/>
        <v/>
      </c>
      <c r="G64" s="985" t="str">
        <f t="shared" si="9"/>
        <v/>
      </c>
      <c r="H64" s="105"/>
      <c r="I64" s="105"/>
      <c r="J64" s="105"/>
      <c r="K64" s="110"/>
    </row>
    <row r="65" spans="1:11" ht="15" customHeight="1">
      <c r="A65" s="103"/>
      <c r="B65" s="984">
        <v>51</v>
      </c>
      <c r="C65" s="145" t="str">
        <f t="shared" si="5"/>
        <v/>
      </c>
      <c r="D65" s="145" t="str">
        <f t="shared" si="6"/>
        <v/>
      </c>
      <c r="E65" s="145" t="str">
        <f t="shared" si="7"/>
        <v/>
      </c>
      <c r="F65" s="145" t="str">
        <f t="shared" si="8"/>
        <v/>
      </c>
      <c r="G65" s="985" t="str">
        <f t="shared" si="9"/>
        <v/>
      </c>
      <c r="H65" s="105"/>
      <c r="I65" s="105"/>
      <c r="J65" s="105"/>
      <c r="K65" s="110"/>
    </row>
    <row r="66" spans="1:11" ht="15" customHeight="1">
      <c r="A66" s="103"/>
      <c r="B66" s="984">
        <v>52</v>
      </c>
      <c r="C66" s="145" t="str">
        <f t="shared" si="5"/>
        <v/>
      </c>
      <c r="D66" s="145" t="str">
        <f t="shared" si="6"/>
        <v/>
      </c>
      <c r="E66" s="145" t="str">
        <f t="shared" si="7"/>
        <v/>
      </c>
      <c r="F66" s="145" t="str">
        <f t="shared" si="8"/>
        <v/>
      </c>
      <c r="G66" s="985" t="str">
        <f t="shared" si="9"/>
        <v/>
      </c>
      <c r="H66" s="105"/>
      <c r="I66" s="105"/>
      <c r="J66" s="105"/>
      <c r="K66" s="110"/>
    </row>
    <row r="67" spans="1:11" ht="15" customHeight="1">
      <c r="A67" s="103"/>
      <c r="B67" s="984">
        <v>53</v>
      </c>
      <c r="C67" s="145" t="str">
        <f t="shared" si="5"/>
        <v/>
      </c>
      <c r="D67" s="145" t="str">
        <f t="shared" si="6"/>
        <v/>
      </c>
      <c r="E67" s="145" t="str">
        <f t="shared" si="7"/>
        <v/>
      </c>
      <c r="F67" s="145" t="str">
        <f t="shared" si="8"/>
        <v/>
      </c>
      <c r="G67" s="985" t="str">
        <f t="shared" si="9"/>
        <v/>
      </c>
      <c r="H67" s="105"/>
      <c r="I67" s="105"/>
      <c r="J67" s="105"/>
      <c r="K67" s="110"/>
    </row>
    <row r="68" spans="1:11" ht="15" customHeight="1">
      <c r="A68" s="103"/>
      <c r="B68" s="984">
        <v>54</v>
      </c>
      <c r="C68" s="145" t="str">
        <f t="shared" si="5"/>
        <v/>
      </c>
      <c r="D68" s="145" t="str">
        <f t="shared" si="6"/>
        <v/>
      </c>
      <c r="E68" s="145" t="str">
        <f t="shared" si="7"/>
        <v/>
      </c>
      <c r="F68" s="145" t="str">
        <f t="shared" si="8"/>
        <v/>
      </c>
      <c r="G68" s="985" t="str">
        <f t="shared" si="9"/>
        <v/>
      </c>
      <c r="H68" s="105"/>
      <c r="I68" s="105"/>
      <c r="J68" s="105"/>
      <c r="K68" s="110"/>
    </row>
    <row r="69" spans="1:11" ht="15" customHeight="1">
      <c r="A69" s="103"/>
      <c r="B69" s="984">
        <v>55</v>
      </c>
      <c r="C69" s="145" t="str">
        <f t="shared" si="5"/>
        <v/>
      </c>
      <c r="D69" s="145" t="str">
        <f t="shared" si="6"/>
        <v/>
      </c>
      <c r="E69" s="145" t="str">
        <f t="shared" si="7"/>
        <v/>
      </c>
      <c r="F69" s="145" t="str">
        <f t="shared" si="8"/>
        <v/>
      </c>
      <c r="G69" s="985" t="str">
        <f t="shared" si="9"/>
        <v/>
      </c>
      <c r="H69" s="105"/>
      <c r="I69" s="105"/>
      <c r="J69" s="105"/>
      <c r="K69" s="110"/>
    </row>
    <row r="70" spans="1:11" ht="15" customHeight="1">
      <c r="A70" s="103"/>
      <c r="B70" s="984">
        <v>56</v>
      </c>
      <c r="C70" s="145" t="str">
        <f t="shared" si="5"/>
        <v/>
      </c>
      <c r="D70" s="145" t="str">
        <f t="shared" si="6"/>
        <v/>
      </c>
      <c r="E70" s="145" t="str">
        <f t="shared" si="7"/>
        <v/>
      </c>
      <c r="F70" s="145" t="str">
        <f t="shared" si="8"/>
        <v/>
      </c>
      <c r="G70" s="985" t="str">
        <f t="shared" si="9"/>
        <v/>
      </c>
      <c r="H70" s="105"/>
      <c r="I70" s="105"/>
      <c r="J70" s="105"/>
      <c r="K70" s="110"/>
    </row>
    <row r="71" spans="1:11" ht="15" customHeight="1">
      <c r="A71" s="103"/>
      <c r="B71" s="984">
        <v>57</v>
      </c>
      <c r="C71" s="145" t="str">
        <f t="shared" si="5"/>
        <v/>
      </c>
      <c r="D71" s="145" t="str">
        <f t="shared" si="6"/>
        <v/>
      </c>
      <c r="E71" s="145" t="str">
        <f t="shared" si="7"/>
        <v/>
      </c>
      <c r="F71" s="145" t="str">
        <f t="shared" si="8"/>
        <v/>
      </c>
      <c r="G71" s="985" t="str">
        <f t="shared" si="9"/>
        <v/>
      </c>
      <c r="H71" s="105"/>
      <c r="I71" s="105"/>
      <c r="J71" s="105"/>
      <c r="K71" s="110"/>
    </row>
    <row r="72" spans="1:11" ht="15" customHeight="1">
      <c r="A72" s="103"/>
      <c r="B72" s="984">
        <v>58</v>
      </c>
      <c r="C72" s="145" t="str">
        <f t="shared" si="5"/>
        <v/>
      </c>
      <c r="D72" s="145" t="str">
        <f t="shared" si="6"/>
        <v/>
      </c>
      <c r="E72" s="145" t="str">
        <f t="shared" si="7"/>
        <v/>
      </c>
      <c r="F72" s="145" t="str">
        <f t="shared" si="8"/>
        <v/>
      </c>
      <c r="G72" s="985" t="str">
        <f t="shared" si="9"/>
        <v/>
      </c>
      <c r="H72" s="105"/>
      <c r="I72" s="105"/>
      <c r="J72" s="105"/>
      <c r="K72" s="110"/>
    </row>
    <row r="73" spans="1:11" ht="15" customHeight="1">
      <c r="A73" s="103"/>
      <c r="B73" s="984">
        <v>59</v>
      </c>
      <c r="C73" s="145" t="str">
        <f t="shared" si="5"/>
        <v/>
      </c>
      <c r="D73" s="145" t="str">
        <f t="shared" si="6"/>
        <v/>
      </c>
      <c r="E73" s="145" t="str">
        <f t="shared" si="7"/>
        <v/>
      </c>
      <c r="F73" s="145" t="str">
        <f t="shared" si="8"/>
        <v/>
      </c>
      <c r="G73" s="985" t="str">
        <f t="shared" si="9"/>
        <v/>
      </c>
      <c r="H73" s="105"/>
      <c r="I73" s="105"/>
      <c r="J73" s="105"/>
      <c r="K73" s="110"/>
    </row>
    <row r="74" spans="1:11" ht="15" customHeight="1">
      <c r="A74" s="103"/>
      <c r="B74" s="984">
        <v>60</v>
      </c>
      <c r="C74" s="145" t="str">
        <f t="shared" si="5"/>
        <v/>
      </c>
      <c r="D74" s="145" t="str">
        <f t="shared" si="6"/>
        <v/>
      </c>
      <c r="E74" s="145" t="str">
        <f t="shared" si="7"/>
        <v/>
      </c>
      <c r="F74" s="145" t="str">
        <f t="shared" si="8"/>
        <v/>
      </c>
      <c r="G74" s="985" t="str">
        <f t="shared" si="9"/>
        <v/>
      </c>
      <c r="H74" s="105"/>
      <c r="I74" s="105"/>
      <c r="J74" s="105"/>
      <c r="K74" s="110"/>
    </row>
    <row r="75" spans="1:11" ht="15" customHeight="1">
      <c r="A75" s="103"/>
      <c r="B75" s="984">
        <v>61</v>
      </c>
      <c r="C75" s="145" t="str">
        <f t="shared" si="5"/>
        <v/>
      </c>
      <c r="D75" s="145" t="str">
        <f t="shared" si="6"/>
        <v/>
      </c>
      <c r="E75" s="145" t="str">
        <f t="shared" si="7"/>
        <v/>
      </c>
      <c r="F75" s="145" t="str">
        <f t="shared" si="8"/>
        <v/>
      </c>
      <c r="G75" s="985" t="str">
        <f t="shared" si="9"/>
        <v/>
      </c>
      <c r="H75" s="105"/>
      <c r="I75" s="105"/>
      <c r="J75" s="105"/>
      <c r="K75" s="110"/>
    </row>
    <row r="76" spans="1:11" ht="15" customHeight="1">
      <c r="A76" s="103"/>
      <c r="B76" s="984">
        <v>62</v>
      </c>
      <c r="C76" s="145" t="str">
        <f t="shared" si="5"/>
        <v/>
      </c>
      <c r="D76" s="145" t="str">
        <f t="shared" si="6"/>
        <v/>
      </c>
      <c r="E76" s="145" t="str">
        <f t="shared" si="7"/>
        <v/>
      </c>
      <c r="F76" s="145" t="str">
        <f t="shared" si="8"/>
        <v/>
      </c>
      <c r="G76" s="985" t="str">
        <f t="shared" si="9"/>
        <v/>
      </c>
      <c r="H76" s="105"/>
      <c r="I76" s="105"/>
      <c r="J76" s="105"/>
      <c r="K76" s="110"/>
    </row>
    <row r="77" spans="1:11" ht="15" customHeight="1">
      <c r="A77" s="103"/>
      <c r="B77" s="984">
        <v>63</v>
      </c>
      <c r="C77" s="145" t="str">
        <f t="shared" si="5"/>
        <v/>
      </c>
      <c r="D77" s="145" t="str">
        <f t="shared" si="6"/>
        <v/>
      </c>
      <c r="E77" s="145" t="str">
        <f t="shared" si="7"/>
        <v/>
      </c>
      <c r="F77" s="145" t="str">
        <f t="shared" si="8"/>
        <v/>
      </c>
      <c r="G77" s="985" t="str">
        <f t="shared" si="9"/>
        <v/>
      </c>
      <c r="H77" s="105"/>
      <c r="I77" s="105"/>
      <c r="J77" s="105"/>
      <c r="K77" s="110"/>
    </row>
    <row r="78" spans="1:11" ht="15" customHeight="1">
      <c r="A78" s="103"/>
      <c r="B78" s="984">
        <v>64</v>
      </c>
      <c r="C78" s="145" t="str">
        <f t="shared" si="5"/>
        <v/>
      </c>
      <c r="D78" s="145" t="str">
        <f t="shared" si="6"/>
        <v/>
      </c>
      <c r="E78" s="145" t="str">
        <f t="shared" si="7"/>
        <v/>
      </c>
      <c r="F78" s="145" t="str">
        <f t="shared" si="8"/>
        <v/>
      </c>
      <c r="G78" s="985" t="str">
        <f t="shared" si="9"/>
        <v/>
      </c>
      <c r="H78" s="105"/>
      <c r="I78" s="105"/>
      <c r="J78" s="105"/>
      <c r="K78" s="110"/>
    </row>
    <row r="79" spans="1:11" ht="15" customHeight="1">
      <c r="A79" s="103"/>
      <c r="B79" s="984">
        <v>65</v>
      </c>
      <c r="C79" s="145" t="str">
        <f t="shared" ref="C79:C94" si="10">IF($F$4&gt;=B79,VLOOKUP(CONCATENATE("portfolio_",$B79),portfolio_p.p.,2,0),"")</f>
        <v/>
      </c>
      <c r="D79" s="145" t="str">
        <f t="shared" ref="D79:D94" si="11">IF($F$4&gt;=B79,VLOOKUP(CONCATENATE("portfolio_",$B79),portfolio_p.p.,3,0),"")</f>
        <v/>
      </c>
      <c r="E79" s="145" t="str">
        <f t="shared" ref="E79:E94" si="12">IF($F$4&gt;=B79,VLOOKUP(CONCATENATE("portfolio_",$B79),portfolio_p.p.,4,0),"")</f>
        <v/>
      </c>
      <c r="F79" s="145" t="str">
        <f t="shared" ref="F79:F94" si="13">IF($F$4&gt;=B79,VLOOKUP(CONCATENATE("portfolio_",$B79),portfolio_p.p.,5,0),"")</f>
        <v/>
      </c>
      <c r="G79" s="985" t="str">
        <f t="shared" ref="G79:G94" si="14">IF($F$4&gt;=B79,VLOOKUP(CONCATENATE("portfolio_",$B79),portfolio_p.p.,6,0),"")</f>
        <v/>
      </c>
      <c r="H79" s="105"/>
      <c r="I79" s="105"/>
      <c r="J79" s="105"/>
      <c r="K79" s="110"/>
    </row>
    <row r="80" spans="1:11" ht="15" customHeight="1">
      <c r="A80" s="103"/>
      <c r="B80" s="984">
        <v>66</v>
      </c>
      <c r="C80" s="145" t="str">
        <f t="shared" si="10"/>
        <v/>
      </c>
      <c r="D80" s="145" t="str">
        <f t="shared" si="11"/>
        <v/>
      </c>
      <c r="E80" s="145" t="str">
        <f t="shared" si="12"/>
        <v/>
      </c>
      <c r="F80" s="145" t="str">
        <f t="shared" si="13"/>
        <v/>
      </c>
      <c r="G80" s="985" t="str">
        <f t="shared" si="14"/>
        <v/>
      </c>
      <c r="H80" s="105"/>
      <c r="I80" s="105"/>
      <c r="J80" s="105"/>
      <c r="K80" s="110"/>
    </row>
    <row r="81" spans="1:11" ht="15" customHeight="1">
      <c r="A81" s="103"/>
      <c r="B81" s="984">
        <v>67</v>
      </c>
      <c r="C81" s="145" t="str">
        <f t="shared" si="10"/>
        <v/>
      </c>
      <c r="D81" s="145" t="str">
        <f t="shared" si="11"/>
        <v/>
      </c>
      <c r="E81" s="145" t="str">
        <f t="shared" si="12"/>
        <v/>
      </c>
      <c r="F81" s="145" t="str">
        <f t="shared" si="13"/>
        <v/>
      </c>
      <c r="G81" s="985" t="str">
        <f t="shared" si="14"/>
        <v/>
      </c>
      <c r="H81" s="105"/>
      <c r="I81" s="105"/>
      <c r="J81" s="105"/>
      <c r="K81" s="110"/>
    </row>
    <row r="82" spans="1:11" ht="15" customHeight="1">
      <c r="A82" s="103"/>
      <c r="B82" s="984">
        <v>68</v>
      </c>
      <c r="C82" s="145" t="str">
        <f t="shared" si="10"/>
        <v/>
      </c>
      <c r="D82" s="145" t="str">
        <f t="shared" si="11"/>
        <v/>
      </c>
      <c r="E82" s="145" t="str">
        <f t="shared" si="12"/>
        <v/>
      </c>
      <c r="F82" s="145" t="str">
        <f t="shared" si="13"/>
        <v/>
      </c>
      <c r="G82" s="985" t="str">
        <f t="shared" si="14"/>
        <v/>
      </c>
      <c r="H82" s="105"/>
      <c r="I82" s="105"/>
      <c r="J82" s="105"/>
      <c r="K82" s="110"/>
    </row>
    <row r="83" spans="1:11" ht="15" customHeight="1">
      <c r="A83" s="103"/>
      <c r="B83" s="984">
        <v>69</v>
      </c>
      <c r="C83" s="145" t="str">
        <f t="shared" si="10"/>
        <v/>
      </c>
      <c r="D83" s="145" t="str">
        <f t="shared" si="11"/>
        <v/>
      </c>
      <c r="E83" s="145" t="str">
        <f t="shared" si="12"/>
        <v/>
      </c>
      <c r="F83" s="145" t="str">
        <f t="shared" si="13"/>
        <v/>
      </c>
      <c r="G83" s="985" t="str">
        <f t="shared" si="14"/>
        <v/>
      </c>
      <c r="H83" s="105"/>
      <c r="I83" s="105"/>
      <c r="J83" s="105"/>
      <c r="K83" s="110"/>
    </row>
    <row r="84" spans="1:11" ht="15" customHeight="1">
      <c r="A84" s="103"/>
      <c r="B84" s="984">
        <v>70</v>
      </c>
      <c r="C84" s="145" t="str">
        <f t="shared" si="10"/>
        <v/>
      </c>
      <c r="D84" s="145" t="str">
        <f t="shared" si="11"/>
        <v/>
      </c>
      <c r="E84" s="145" t="str">
        <f t="shared" si="12"/>
        <v/>
      </c>
      <c r="F84" s="145" t="str">
        <f t="shared" si="13"/>
        <v/>
      </c>
      <c r="G84" s="985" t="str">
        <f t="shared" si="14"/>
        <v/>
      </c>
      <c r="H84" s="105"/>
      <c r="I84" s="105"/>
      <c r="J84" s="105"/>
      <c r="K84" s="110"/>
    </row>
    <row r="85" spans="1:11" ht="15" customHeight="1">
      <c r="A85" s="103"/>
      <c r="B85" s="984">
        <v>71</v>
      </c>
      <c r="C85" s="145" t="str">
        <f t="shared" si="10"/>
        <v/>
      </c>
      <c r="D85" s="145" t="str">
        <f t="shared" si="11"/>
        <v/>
      </c>
      <c r="E85" s="145" t="str">
        <f t="shared" si="12"/>
        <v/>
      </c>
      <c r="F85" s="145" t="str">
        <f t="shared" si="13"/>
        <v/>
      </c>
      <c r="G85" s="985" t="str">
        <f t="shared" si="14"/>
        <v/>
      </c>
      <c r="H85" s="105"/>
      <c r="I85" s="105"/>
      <c r="J85" s="105"/>
      <c r="K85" s="110"/>
    </row>
    <row r="86" spans="1:11" ht="15" customHeight="1">
      <c r="A86" s="103"/>
      <c r="B86" s="984">
        <v>72</v>
      </c>
      <c r="C86" s="145" t="str">
        <f t="shared" si="10"/>
        <v/>
      </c>
      <c r="D86" s="145" t="str">
        <f t="shared" si="11"/>
        <v/>
      </c>
      <c r="E86" s="145" t="str">
        <f t="shared" si="12"/>
        <v/>
      </c>
      <c r="F86" s="145" t="str">
        <f t="shared" si="13"/>
        <v/>
      </c>
      <c r="G86" s="985" t="str">
        <f t="shared" si="14"/>
        <v/>
      </c>
      <c r="H86" s="105"/>
      <c r="I86" s="105"/>
      <c r="J86" s="105"/>
      <c r="K86" s="110"/>
    </row>
    <row r="87" spans="1:11" ht="15" customHeight="1">
      <c r="A87" s="103"/>
      <c r="B87" s="984">
        <v>73</v>
      </c>
      <c r="C87" s="145" t="str">
        <f t="shared" si="10"/>
        <v/>
      </c>
      <c r="D87" s="145" t="str">
        <f t="shared" si="11"/>
        <v/>
      </c>
      <c r="E87" s="145" t="str">
        <f t="shared" si="12"/>
        <v/>
      </c>
      <c r="F87" s="145" t="str">
        <f t="shared" si="13"/>
        <v/>
      </c>
      <c r="G87" s="985" t="str">
        <f t="shared" si="14"/>
        <v/>
      </c>
      <c r="H87" s="105"/>
      <c r="I87" s="105"/>
      <c r="J87" s="105"/>
      <c r="K87" s="110"/>
    </row>
    <row r="88" spans="1:11" ht="15" customHeight="1">
      <c r="A88" s="103"/>
      <c r="B88" s="984">
        <v>74</v>
      </c>
      <c r="C88" s="145" t="str">
        <f t="shared" si="10"/>
        <v/>
      </c>
      <c r="D88" s="145" t="str">
        <f t="shared" si="11"/>
        <v/>
      </c>
      <c r="E88" s="145" t="str">
        <f t="shared" si="12"/>
        <v/>
      </c>
      <c r="F88" s="145" t="str">
        <f t="shared" si="13"/>
        <v/>
      </c>
      <c r="G88" s="985" t="str">
        <f t="shared" si="14"/>
        <v/>
      </c>
      <c r="H88" s="105"/>
      <c r="I88" s="105"/>
      <c r="J88" s="105"/>
      <c r="K88" s="110"/>
    </row>
    <row r="89" spans="1:11" ht="15" customHeight="1">
      <c r="A89" s="103"/>
      <c r="B89" s="984">
        <v>75</v>
      </c>
      <c r="C89" s="145" t="str">
        <f t="shared" si="10"/>
        <v/>
      </c>
      <c r="D89" s="145" t="str">
        <f t="shared" si="11"/>
        <v/>
      </c>
      <c r="E89" s="145" t="str">
        <f t="shared" si="12"/>
        <v/>
      </c>
      <c r="F89" s="145" t="str">
        <f t="shared" si="13"/>
        <v/>
      </c>
      <c r="G89" s="985" t="str">
        <f t="shared" si="14"/>
        <v/>
      </c>
      <c r="H89" s="105"/>
      <c r="I89" s="105"/>
      <c r="J89" s="105"/>
      <c r="K89" s="110"/>
    </row>
    <row r="90" spans="1:11" ht="15" customHeight="1">
      <c r="A90" s="103"/>
      <c r="B90" s="984">
        <v>76</v>
      </c>
      <c r="C90" s="145" t="str">
        <f t="shared" si="10"/>
        <v/>
      </c>
      <c r="D90" s="145" t="str">
        <f t="shared" si="11"/>
        <v/>
      </c>
      <c r="E90" s="145" t="str">
        <f t="shared" si="12"/>
        <v/>
      </c>
      <c r="F90" s="145" t="str">
        <f t="shared" si="13"/>
        <v/>
      </c>
      <c r="G90" s="985" t="str">
        <f t="shared" si="14"/>
        <v/>
      </c>
      <c r="H90" s="105"/>
      <c r="I90" s="105"/>
      <c r="J90" s="105"/>
      <c r="K90" s="110"/>
    </row>
    <row r="91" spans="1:11" ht="15" customHeight="1">
      <c r="A91" s="103"/>
      <c r="B91" s="984">
        <v>77</v>
      </c>
      <c r="C91" s="145" t="str">
        <f t="shared" si="10"/>
        <v/>
      </c>
      <c r="D91" s="145" t="str">
        <f t="shared" si="11"/>
        <v/>
      </c>
      <c r="E91" s="145" t="str">
        <f t="shared" si="12"/>
        <v/>
      </c>
      <c r="F91" s="145" t="str">
        <f t="shared" si="13"/>
        <v/>
      </c>
      <c r="G91" s="985" t="str">
        <f t="shared" si="14"/>
        <v/>
      </c>
      <c r="H91" s="105"/>
      <c r="I91" s="105"/>
      <c r="J91" s="105"/>
      <c r="K91" s="110"/>
    </row>
    <row r="92" spans="1:11" ht="15" customHeight="1">
      <c r="A92" s="103"/>
      <c r="B92" s="984">
        <v>78</v>
      </c>
      <c r="C92" s="145" t="str">
        <f t="shared" si="10"/>
        <v/>
      </c>
      <c r="D92" s="145" t="str">
        <f t="shared" si="11"/>
        <v/>
      </c>
      <c r="E92" s="145" t="str">
        <f t="shared" si="12"/>
        <v/>
      </c>
      <c r="F92" s="145" t="str">
        <f t="shared" si="13"/>
        <v/>
      </c>
      <c r="G92" s="985" t="str">
        <f t="shared" si="14"/>
        <v/>
      </c>
      <c r="H92" s="105"/>
      <c r="I92" s="105"/>
      <c r="J92" s="105"/>
      <c r="K92" s="110"/>
    </row>
    <row r="93" spans="1:11" ht="15" customHeight="1">
      <c r="A93" s="103"/>
      <c r="B93" s="984">
        <v>79</v>
      </c>
      <c r="C93" s="145" t="str">
        <f t="shared" si="10"/>
        <v/>
      </c>
      <c r="D93" s="145" t="str">
        <f t="shared" si="11"/>
        <v/>
      </c>
      <c r="E93" s="145" t="str">
        <f t="shared" si="12"/>
        <v/>
      </c>
      <c r="F93" s="145" t="str">
        <f t="shared" si="13"/>
        <v/>
      </c>
      <c r="G93" s="985" t="str">
        <f t="shared" si="14"/>
        <v/>
      </c>
      <c r="H93" s="105"/>
      <c r="I93" s="105"/>
      <c r="J93" s="105"/>
      <c r="K93" s="110"/>
    </row>
    <row r="94" spans="1:11" ht="15" customHeight="1">
      <c r="A94" s="103"/>
      <c r="B94" s="986">
        <v>80</v>
      </c>
      <c r="C94" s="987" t="str">
        <f t="shared" si="10"/>
        <v/>
      </c>
      <c r="D94" s="987" t="str">
        <f t="shared" si="11"/>
        <v/>
      </c>
      <c r="E94" s="987" t="str">
        <f t="shared" si="12"/>
        <v/>
      </c>
      <c r="F94" s="987" t="str">
        <f t="shared" si="13"/>
        <v/>
      </c>
      <c r="G94" s="988" t="str">
        <f t="shared" si="14"/>
        <v/>
      </c>
      <c r="H94" s="105"/>
      <c r="I94" s="105"/>
      <c r="J94" s="105"/>
      <c r="K94" s="110"/>
    </row>
    <row r="95" spans="1:11" ht="15" customHeight="1">
      <c r="A95" s="146"/>
      <c r="B95" s="148"/>
      <c r="C95" s="148"/>
      <c r="D95" s="148"/>
      <c r="E95" s="148"/>
      <c r="F95" s="148"/>
      <c r="G95" s="148"/>
      <c r="H95" s="148"/>
      <c r="I95" s="148"/>
      <c r="J95" s="148"/>
      <c r="K95" s="149"/>
    </row>
    <row r="96" spans="1:11" ht="15" customHeight="1">
      <c r="A96" s="980"/>
      <c r="B96" s="980"/>
      <c r="C96" s="980"/>
      <c r="D96" s="980"/>
      <c r="E96" s="980"/>
      <c r="F96" s="980"/>
      <c r="G96" s="980"/>
      <c r="H96" s="980"/>
      <c r="I96" s="980"/>
      <c r="J96" s="980"/>
      <c r="K96" s="980"/>
    </row>
    <row r="97" spans="1:11" ht="15" customHeight="1">
      <c r="A97" s="980"/>
      <c r="B97" s="980"/>
      <c r="C97" s="980"/>
      <c r="D97" s="980"/>
      <c r="E97" s="980"/>
      <c r="F97" s="980"/>
      <c r="G97" s="980"/>
      <c r="H97" s="980"/>
      <c r="I97" s="980"/>
      <c r="J97" s="980"/>
      <c r="K97" s="980"/>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762</v>
      </c>
      <c r="C2" s="512">
        <v>999999987.09000003</v>
      </c>
      <c r="D2" s="512">
        <v>0</v>
      </c>
      <c r="E2" s="512">
        <v>0</v>
      </c>
      <c r="F2" s="512">
        <v>0</v>
      </c>
      <c r="G2" s="512">
        <v>0</v>
      </c>
      <c r="H2" s="512">
        <v>0</v>
      </c>
      <c r="I2" s="512">
        <v>0</v>
      </c>
      <c r="J2" s="512">
        <v>0</v>
      </c>
      <c r="K2" s="512">
        <v>0</v>
      </c>
    </row>
    <row r="3" spans="1:11">
      <c r="A3">
        <v>38</v>
      </c>
      <c r="B3" t="s">
        <v>763</v>
      </c>
      <c r="C3" s="512">
        <v>999999994.49000001</v>
      </c>
      <c r="D3" s="512">
        <v>641380.18999999994</v>
      </c>
      <c r="E3" s="512">
        <v>1894731.03</v>
      </c>
      <c r="F3" s="512">
        <v>844156.63</v>
      </c>
      <c r="G3" s="512">
        <v>61173.599999999999</v>
      </c>
      <c r="H3" s="512">
        <v>10595.92</v>
      </c>
      <c r="I3" s="512">
        <v>33524.75</v>
      </c>
      <c r="J3" s="512">
        <v>20817.8</v>
      </c>
      <c r="K3" s="512">
        <v>1115.72</v>
      </c>
    </row>
    <row r="4" spans="1:11">
      <c r="A4">
        <v>38</v>
      </c>
      <c r="B4" t="s">
        <v>764</v>
      </c>
      <c r="C4" s="512">
        <v>999999997.66999996</v>
      </c>
      <c r="D4" s="512">
        <v>2165080.7799999998</v>
      </c>
      <c r="E4" s="512">
        <v>1060540.6299999999</v>
      </c>
      <c r="F4" s="512">
        <v>2578767.3199999998</v>
      </c>
      <c r="G4" s="512">
        <v>725701.01</v>
      </c>
      <c r="H4" s="512">
        <v>38857.96</v>
      </c>
      <c r="I4" s="512">
        <v>23276.06</v>
      </c>
      <c r="J4" s="512">
        <v>66075.42</v>
      </c>
      <c r="K4" s="512">
        <v>32048.15</v>
      </c>
    </row>
    <row r="5" spans="1:11">
      <c r="A5">
        <v>38</v>
      </c>
      <c r="B5" t="s">
        <v>765</v>
      </c>
      <c r="C5" s="512">
        <v>999999994</v>
      </c>
      <c r="D5" s="512">
        <v>1781232.01</v>
      </c>
      <c r="E5" s="512">
        <v>2899036.17</v>
      </c>
      <c r="F5" s="512">
        <v>795324.06</v>
      </c>
      <c r="G5" s="512">
        <v>2634984.34</v>
      </c>
      <c r="H5" s="512">
        <v>35239.339999999997</v>
      </c>
      <c r="I5" s="512">
        <v>72906.13</v>
      </c>
      <c r="J5" s="512">
        <v>32560.34</v>
      </c>
      <c r="K5" s="512">
        <v>127807.92</v>
      </c>
    </row>
    <row r="6" spans="1:11">
      <c r="A6">
        <v>38</v>
      </c>
      <c r="B6" t="s">
        <v>766</v>
      </c>
      <c r="C6" s="512">
        <v>999999989.13999999</v>
      </c>
      <c r="D6" s="512">
        <v>860512.44</v>
      </c>
      <c r="E6" s="512">
        <v>2266862.75</v>
      </c>
      <c r="F6" s="512">
        <v>2762908.48</v>
      </c>
      <c r="G6" s="512">
        <v>4198265.92</v>
      </c>
      <c r="H6" s="512">
        <v>17388.240000000002</v>
      </c>
      <c r="I6" s="512">
        <v>52606.25</v>
      </c>
      <c r="J6" s="512">
        <v>88892.45</v>
      </c>
      <c r="K6" s="512">
        <v>218633.35</v>
      </c>
    </row>
    <row r="7" spans="1:11">
      <c r="A7">
        <v>38</v>
      </c>
      <c r="B7" t="s">
        <v>767</v>
      </c>
      <c r="C7" s="512">
        <v>999999997.64999998</v>
      </c>
      <c r="D7" s="512">
        <v>2543997.92</v>
      </c>
      <c r="E7" s="512">
        <v>3376601.62</v>
      </c>
      <c r="F7" s="512">
        <v>2436455.5099999998</v>
      </c>
      <c r="G7" s="512">
        <v>2844720.69</v>
      </c>
      <c r="H7" s="512">
        <v>48328.81</v>
      </c>
      <c r="I7" s="512">
        <v>92329.18</v>
      </c>
      <c r="J7" s="512">
        <v>105589.05</v>
      </c>
      <c r="K7" s="512">
        <v>166571.70000000001</v>
      </c>
    </row>
    <row r="8" spans="1:11">
      <c r="A8">
        <v>38</v>
      </c>
      <c r="B8" t="s">
        <v>768</v>
      </c>
      <c r="C8" s="512">
        <v>999999996.75</v>
      </c>
      <c r="D8" s="512">
        <v>954864.9</v>
      </c>
      <c r="E8" s="512">
        <v>5145832.87</v>
      </c>
      <c r="F8" s="512">
        <v>2763720.24</v>
      </c>
      <c r="G8" s="512">
        <v>2757097.57</v>
      </c>
      <c r="H8" s="512">
        <v>19173.43</v>
      </c>
      <c r="I8" s="512">
        <v>123523.89</v>
      </c>
      <c r="J8" s="512">
        <v>111381.7</v>
      </c>
      <c r="K8" s="512">
        <v>162847.04999999999</v>
      </c>
    </row>
    <row r="9" spans="1:11">
      <c r="A9">
        <v>38</v>
      </c>
      <c r="B9" t="s">
        <v>769</v>
      </c>
      <c r="C9" s="512">
        <v>999999997.39999998</v>
      </c>
      <c r="D9" s="512">
        <v>2864134.06</v>
      </c>
      <c r="E9" s="512">
        <v>3671378.04</v>
      </c>
      <c r="F9" s="512">
        <v>2672979.02</v>
      </c>
      <c r="G9" s="512">
        <v>3346589.7</v>
      </c>
      <c r="H9" s="512">
        <v>57954.94</v>
      </c>
      <c r="I9" s="512">
        <v>100296.92</v>
      </c>
      <c r="J9" s="512">
        <v>112061.17</v>
      </c>
      <c r="K9" s="512">
        <v>196634.41</v>
      </c>
    </row>
    <row r="10" spans="1:11">
      <c r="A10">
        <v>38</v>
      </c>
      <c r="B10" t="s">
        <v>770</v>
      </c>
      <c r="C10" s="512">
        <v>999999977.96000004</v>
      </c>
      <c r="D10" s="512">
        <v>1065451.69</v>
      </c>
      <c r="E10" s="512">
        <v>3999926.34</v>
      </c>
      <c r="F10" s="512">
        <v>3994959.29</v>
      </c>
      <c r="G10" s="512">
        <v>5266748.99</v>
      </c>
      <c r="H10" s="512">
        <v>20269.759999999998</v>
      </c>
      <c r="I10" s="512">
        <v>91502.86</v>
      </c>
      <c r="J10" s="512">
        <v>126134.99</v>
      </c>
      <c r="K10" s="512">
        <v>286237.99</v>
      </c>
    </row>
    <row r="11" spans="1:11">
      <c r="A11">
        <v>38</v>
      </c>
      <c r="B11" t="s">
        <v>771</v>
      </c>
      <c r="C11" s="512">
        <v>999999995.70000005</v>
      </c>
      <c r="D11" s="512">
        <v>3250747.46</v>
      </c>
      <c r="E11" s="512">
        <v>1215052.8799999999</v>
      </c>
      <c r="F11" s="512">
        <v>4064701.73</v>
      </c>
      <c r="G11" s="512">
        <v>5563315.0599999996</v>
      </c>
      <c r="H11" s="512">
        <v>62002.74</v>
      </c>
      <c r="I11" s="512">
        <v>32092.02</v>
      </c>
      <c r="J11" s="512">
        <v>137896.07999999999</v>
      </c>
      <c r="K11" s="512">
        <v>295601.15999999997</v>
      </c>
    </row>
    <row r="12" spans="1:11">
      <c r="A12">
        <v>38</v>
      </c>
      <c r="B12" t="s">
        <v>772</v>
      </c>
      <c r="C12" s="512">
        <v>999999981.96000004</v>
      </c>
      <c r="D12" s="512">
        <v>1111463.21</v>
      </c>
      <c r="E12" s="512">
        <v>3290646.07</v>
      </c>
      <c r="F12" s="512">
        <v>3538383</v>
      </c>
      <c r="G12" s="512">
        <v>6510756</v>
      </c>
      <c r="H12" s="512">
        <v>24170.94</v>
      </c>
      <c r="I12" s="512">
        <v>78220.7</v>
      </c>
      <c r="J12" s="512">
        <v>109574.06</v>
      </c>
      <c r="K12" s="512">
        <v>349610.23999999999</v>
      </c>
    </row>
    <row r="13" spans="1:11">
      <c r="A13">
        <v>38</v>
      </c>
      <c r="B13" t="s">
        <v>773</v>
      </c>
      <c r="C13" s="512">
        <v>999530391.04999995</v>
      </c>
      <c r="D13" s="512">
        <v>1104492.49</v>
      </c>
      <c r="E13" s="512">
        <v>3745027.68</v>
      </c>
      <c r="F13" s="512">
        <v>3444484.59</v>
      </c>
      <c r="G13" s="512">
        <v>6265484.4199999999</v>
      </c>
      <c r="H13" s="512">
        <v>20783.16</v>
      </c>
      <c r="I13" s="512">
        <v>82604.86</v>
      </c>
      <c r="J13" s="512">
        <v>109012.93</v>
      </c>
      <c r="K13" s="512">
        <v>331276.62</v>
      </c>
    </row>
    <row r="14" spans="1:11">
      <c r="A14">
        <v>38</v>
      </c>
      <c r="B14" t="s">
        <v>774</v>
      </c>
      <c r="C14" s="512">
        <v>999580049.78999996</v>
      </c>
      <c r="D14" s="512">
        <v>4151380.28</v>
      </c>
      <c r="E14" s="512">
        <v>3804017.99</v>
      </c>
      <c r="F14" s="512">
        <v>1411264.7</v>
      </c>
      <c r="G14" s="512">
        <v>6179967.3399999999</v>
      </c>
      <c r="H14" s="512">
        <v>76155.69</v>
      </c>
      <c r="I14" s="512">
        <v>107896.03</v>
      </c>
      <c r="J14" s="512">
        <v>55672.76</v>
      </c>
      <c r="K14" s="512">
        <v>324997.02</v>
      </c>
    </row>
    <row r="15" spans="1:11">
      <c r="A15">
        <v>38</v>
      </c>
      <c r="B15" t="s">
        <v>775</v>
      </c>
      <c r="C15" s="512">
        <v>972266109.07000005</v>
      </c>
      <c r="D15" s="512">
        <v>1607009.74</v>
      </c>
      <c r="E15" s="512">
        <v>4520145.3</v>
      </c>
      <c r="F15" s="512">
        <v>4047145.59</v>
      </c>
      <c r="G15" s="512">
        <v>6202633.3799999999</v>
      </c>
      <c r="H15" s="512">
        <v>29093.53</v>
      </c>
      <c r="I15" s="512">
        <v>101361.68</v>
      </c>
      <c r="J15" s="512">
        <v>125413.59</v>
      </c>
      <c r="K15" s="512">
        <v>340443.43</v>
      </c>
    </row>
    <row r="16" spans="1:11">
      <c r="A16">
        <v>38</v>
      </c>
      <c r="B16" t="s">
        <v>776</v>
      </c>
      <c r="C16" s="512">
        <v>944785206.34000003</v>
      </c>
      <c r="D16" s="512">
        <v>3552122.7</v>
      </c>
      <c r="E16" s="512">
        <v>1608436.98</v>
      </c>
      <c r="F16" s="512">
        <v>4962406.83</v>
      </c>
      <c r="G16" s="512">
        <v>6386006.2400000002</v>
      </c>
      <c r="H16" s="512">
        <v>68916.05</v>
      </c>
      <c r="I16" s="512">
        <v>46258.26</v>
      </c>
      <c r="J16" s="512">
        <v>164801.21</v>
      </c>
      <c r="K16" s="512">
        <v>344218.49</v>
      </c>
    </row>
    <row r="17" spans="1:11">
      <c r="A17">
        <v>38</v>
      </c>
      <c r="B17" t="s">
        <v>777</v>
      </c>
      <c r="C17" s="512">
        <v>921970706.57000005</v>
      </c>
      <c r="D17" s="512">
        <v>3147158.13</v>
      </c>
      <c r="E17" s="512">
        <v>3933297.21</v>
      </c>
      <c r="F17" s="512">
        <v>3839134.43</v>
      </c>
      <c r="G17" s="512">
        <v>4811470.7699999996</v>
      </c>
      <c r="H17" s="512">
        <v>63559.8</v>
      </c>
      <c r="I17" s="512">
        <v>110842.28</v>
      </c>
      <c r="J17" s="512">
        <v>172288.16</v>
      </c>
      <c r="K17" s="512">
        <v>283593.82</v>
      </c>
    </row>
    <row r="18" spans="1:11">
      <c r="A18">
        <v>38</v>
      </c>
      <c r="B18" t="s">
        <v>778</v>
      </c>
      <c r="C18" s="512">
        <v>890117850.69000006</v>
      </c>
      <c r="D18" s="512">
        <v>1252628.08</v>
      </c>
      <c r="E18" s="512">
        <v>4057655.83</v>
      </c>
      <c r="F18" s="512">
        <v>3440436.28</v>
      </c>
      <c r="G18" s="512">
        <v>7103166.5499999998</v>
      </c>
      <c r="H18" s="512">
        <v>26189.86</v>
      </c>
      <c r="I18" s="512">
        <v>92580.37</v>
      </c>
      <c r="J18" s="512">
        <v>115260.9</v>
      </c>
      <c r="K18" s="512">
        <v>408986.64</v>
      </c>
    </row>
    <row r="19" spans="1:11">
      <c r="A19">
        <v>38</v>
      </c>
      <c r="B19" t="s">
        <v>779</v>
      </c>
      <c r="C19" s="512">
        <v>861730634.76999998</v>
      </c>
      <c r="D19" s="512">
        <v>3912154.3</v>
      </c>
      <c r="E19" s="512">
        <v>4270575.5199999996</v>
      </c>
      <c r="F19" s="512">
        <v>1307688.81</v>
      </c>
      <c r="G19" s="512">
        <v>6425133.1600000001</v>
      </c>
      <c r="H19" s="512">
        <v>74325.73</v>
      </c>
      <c r="I19" s="512">
        <v>118607.69</v>
      </c>
      <c r="J19" s="512">
        <v>56711.53</v>
      </c>
      <c r="K19" s="512">
        <v>368524.51</v>
      </c>
    </row>
    <row r="20" spans="1:11">
      <c r="A20">
        <v>38</v>
      </c>
      <c r="B20" t="s">
        <v>780</v>
      </c>
      <c r="C20" s="512">
        <v>835033301.62</v>
      </c>
      <c r="D20" s="512">
        <v>3897092.13</v>
      </c>
      <c r="E20" s="512">
        <v>4002286.96</v>
      </c>
      <c r="F20" s="512">
        <v>3502789.87</v>
      </c>
      <c r="G20" s="512">
        <v>5126557.96</v>
      </c>
      <c r="H20" s="512">
        <v>74354.179999999993</v>
      </c>
      <c r="I20" s="512">
        <v>116878.01</v>
      </c>
      <c r="J20" s="512">
        <v>155320.56</v>
      </c>
      <c r="K20" s="512">
        <v>326788.03000000003</v>
      </c>
    </row>
    <row r="21" spans="1:11">
      <c r="A21">
        <v>38</v>
      </c>
      <c r="B21" t="s">
        <v>781</v>
      </c>
      <c r="C21" s="512">
        <v>808209422.54999995</v>
      </c>
      <c r="D21" s="512">
        <v>3499175.3</v>
      </c>
      <c r="E21" s="512">
        <v>1293454.3999999999</v>
      </c>
      <c r="F21" s="512">
        <v>5482911.96</v>
      </c>
      <c r="G21" s="512">
        <v>4674976.26</v>
      </c>
      <c r="H21" s="512">
        <v>70417.240000000005</v>
      </c>
      <c r="I21" s="512">
        <v>37283.019999999997</v>
      </c>
      <c r="J21" s="512">
        <v>210847.73</v>
      </c>
      <c r="K21" s="512">
        <v>294734.78999999998</v>
      </c>
    </row>
    <row r="22" spans="1:11">
      <c r="A22">
        <v>38</v>
      </c>
      <c r="B22" t="s">
        <v>782</v>
      </c>
      <c r="C22" s="512">
        <v>782196586.96000004</v>
      </c>
      <c r="D22" s="512">
        <v>801151.12</v>
      </c>
      <c r="E22" s="512">
        <v>3187482.48</v>
      </c>
      <c r="F22" s="512">
        <v>3171427.94</v>
      </c>
      <c r="G22" s="512">
        <v>5867506.4900000002</v>
      </c>
      <c r="H22" s="512">
        <v>19198.310000000001</v>
      </c>
      <c r="I22" s="512">
        <v>72831.960000000006</v>
      </c>
      <c r="J22" s="512">
        <v>110496.1</v>
      </c>
      <c r="K22" s="512">
        <v>351916.66</v>
      </c>
    </row>
    <row r="23" spans="1:11">
      <c r="A23">
        <v>38</v>
      </c>
      <c r="B23" t="s">
        <v>783</v>
      </c>
      <c r="C23" s="512">
        <v>757456618.62</v>
      </c>
      <c r="D23" s="512">
        <v>3983534.98</v>
      </c>
      <c r="E23" s="512">
        <v>3944100.01</v>
      </c>
      <c r="F23" s="512">
        <v>2703830.75</v>
      </c>
      <c r="G23" s="512">
        <v>4044073.38</v>
      </c>
      <c r="H23" s="512">
        <v>82672.86</v>
      </c>
      <c r="I23" s="512">
        <v>120773.22</v>
      </c>
      <c r="J23" s="512">
        <v>126120.51</v>
      </c>
      <c r="K23" s="512">
        <v>273717.28000000003</v>
      </c>
    </row>
    <row r="24" spans="1:11">
      <c r="A24">
        <v>38</v>
      </c>
      <c r="B24" t="s">
        <v>784</v>
      </c>
      <c r="C24" s="512">
        <v>731399238.96000004</v>
      </c>
      <c r="D24" s="512">
        <v>1386139.24</v>
      </c>
      <c r="E24" s="512">
        <v>3071441.39</v>
      </c>
      <c r="F24" s="512">
        <v>3509600.48</v>
      </c>
      <c r="G24" s="512">
        <v>4911018.4400000004</v>
      </c>
      <c r="H24" s="512">
        <v>28491.77</v>
      </c>
      <c r="I24" s="512">
        <v>74536.66</v>
      </c>
      <c r="J24" s="512">
        <v>123429.46</v>
      </c>
      <c r="K24" s="512">
        <v>286373.24</v>
      </c>
    </row>
    <row r="25" spans="1:11">
      <c r="A25">
        <v>38</v>
      </c>
      <c r="B25" t="s">
        <v>785</v>
      </c>
      <c r="C25" s="512">
        <v>707906332.38</v>
      </c>
      <c r="D25" s="512">
        <v>3944594.97</v>
      </c>
      <c r="E25" s="512">
        <v>1505322.97</v>
      </c>
      <c r="F25" s="512">
        <v>3326455.77</v>
      </c>
      <c r="G25" s="512">
        <v>5508688.6100000003</v>
      </c>
      <c r="H25" s="512">
        <v>76798.86</v>
      </c>
      <c r="I25" s="512">
        <v>45492.03</v>
      </c>
      <c r="J25" s="512">
        <v>115338.69</v>
      </c>
      <c r="K25" s="512">
        <v>307065.43</v>
      </c>
    </row>
    <row r="26" spans="1:11">
      <c r="A26">
        <v>38</v>
      </c>
      <c r="B26" t="s">
        <v>786</v>
      </c>
      <c r="C26" s="512">
        <v>686245897.63999999</v>
      </c>
      <c r="D26" s="512">
        <v>3390577.89</v>
      </c>
      <c r="E26" s="512">
        <v>1391601.05</v>
      </c>
      <c r="F26" s="512">
        <v>3918207.71</v>
      </c>
      <c r="G26" s="512">
        <v>5636807.7000000002</v>
      </c>
      <c r="H26" s="512">
        <v>70224.31</v>
      </c>
      <c r="I26" s="512">
        <v>38451.49</v>
      </c>
      <c r="J26" s="512">
        <v>132382.25</v>
      </c>
      <c r="K26" s="512">
        <v>329649.24</v>
      </c>
    </row>
    <row r="27" spans="1:11">
      <c r="A27">
        <v>38</v>
      </c>
      <c r="B27" t="s">
        <v>787</v>
      </c>
      <c r="C27" s="512">
        <v>663524217.88999999</v>
      </c>
      <c r="D27" s="512">
        <v>1466150.53</v>
      </c>
      <c r="E27" s="512">
        <v>3395973.02</v>
      </c>
      <c r="F27" s="512">
        <v>3296654.39</v>
      </c>
      <c r="G27" s="512">
        <v>5973633.9500000002</v>
      </c>
      <c r="H27" s="512">
        <v>30452.01</v>
      </c>
      <c r="I27" s="512">
        <v>80650.53</v>
      </c>
      <c r="J27" s="512">
        <v>104320.52</v>
      </c>
      <c r="K27" s="512">
        <v>350000.28</v>
      </c>
    </row>
    <row r="28" spans="1:11">
      <c r="A28">
        <v>38</v>
      </c>
      <c r="B28" t="s">
        <v>788</v>
      </c>
      <c r="C28" s="512">
        <v>643878808.33000004</v>
      </c>
      <c r="D28" s="512">
        <v>3107631.11</v>
      </c>
      <c r="E28" s="512">
        <v>3639798.12</v>
      </c>
      <c r="F28" s="512">
        <v>3069164.05</v>
      </c>
      <c r="G28" s="512">
        <v>3968949.41</v>
      </c>
      <c r="H28" s="512">
        <v>66706.94</v>
      </c>
      <c r="I28" s="512">
        <v>112918.09</v>
      </c>
      <c r="J28" s="512">
        <v>128436.82</v>
      </c>
      <c r="K28" s="512">
        <v>253144.75</v>
      </c>
    </row>
    <row r="29" spans="1:11">
      <c r="A29">
        <v>38</v>
      </c>
      <c r="B29" t="s">
        <v>789</v>
      </c>
      <c r="C29" s="512">
        <v>626981831.5</v>
      </c>
      <c r="D29" s="512">
        <v>3293761.44</v>
      </c>
      <c r="E29" s="512">
        <v>2798122.24</v>
      </c>
      <c r="F29" s="512">
        <v>1103998</v>
      </c>
      <c r="G29" s="512">
        <v>5832416.3399999999</v>
      </c>
      <c r="H29" s="512">
        <v>68152.990000000005</v>
      </c>
      <c r="I29" s="512">
        <v>81573.31</v>
      </c>
      <c r="J29" s="512">
        <v>41609.519999999997</v>
      </c>
      <c r="K29" s="512">
        <v>355869.16</v>
      </c>
    </row>
    <row r="30" spans="1:11">
      <c r="A30">
        <v>38</v>
      </c>
      <c r="B30" t="s">
        <v>790</v>
      </c>
      <c r="C30" s="512">
        <v>605593470.44000006</v>
      </c>
      <c r="D30" s="512">
        <v>1160188.31</v>
      </c>
      <c r="E30" s="512">
        <v>3542024.69</v>
      </c>
      <c r="F30" s="512">
        <v>2795788.79</v>
      </c>
      <c r="G30" s="512">
        <v>5065881.92</v>
      </c>
      <c r="H30" s="512">
        <v>26549.58</v>
      </c>
      <c r="I30" s="512">
        <v>84608.29</v>
      </c>
      <c r="J30" s="512">
        <v>99821.6</v>
      </c>
      <c r="K30" s="512">
        <v>307022.40000000002</v>
      </c>
    </row>
    <row r="31" spans="1:11">
      <c r="A31">
        <v>38</v>
      </c>
      <c r="B31" t="s">
        <v>791</v>
      </c>
      <c r="C31" s="512">
        <v>586759359.30999994</v>
      </c>
      <c r="D31" s="512">
        <v>3561389.21</v>
      </c>
      <c r="E31" s="512">
        <v>4094315.86</v>
      </c>
      <c r="F31" s="512">
        <v>2538333.86</v>
      </c>
      <c r="G31" s="512">
        <v>3334621.15</v>
      </c>
      <c r="H31" s="512">
        <v>74375.16</v>
      </c>
      <c r="I31" s="512">
        <v>123371.35</v>
      </c>
      <c r="J31" s="512">
        <v>113126.94</v>
      </c>
      <c r="K31" s="512">
        <v>229854.22</v>
      </c>
    </row>
    <row r="32" spans="1:11">
      <c r="A32">
        <v>38</v>
      </c>
      <c r="B32" t="s">
        <v>792</v>
      </c>
      <c r="C32" s="512">
        <v>568467527.35000002</v>
      </c>
      <c r="D32" s="512">
        <v>1353226.82</v>
      </c>
      <c r="E32" s="512">
        <v>4782020.9400000004</v>
      </c>
      <c r="F32" s="512">
        <v>3235669.96</v>
      </c>
      <c r="G32" s="512">
        <v>3131024.25</v>
      </c>
      <c r="H32" s="512">
        <v>28664.7</v>
      </c>
      <c r="I32" s="512">
        <v>129319.17</v>
      </c>
      <c r="J32" s="512">
        <v>150958.32</v>
      </c>
      <c r="K32" s="512">
        <v>211914.66</v>
      </c>
    </row>
    <row r="33" spans="1:11">
      <c r="A33">
        <v>38</v>
      </c>
      <c r="B33" t="s">
        <v>793</v>
      </c>
      <c r="C33" s="512">
        <v>549072459.41999996</v>
      </c>
      <c r="D33" s="512">
        <v>3369880.96</v>
      </c>
      <c r="E33" s="512">
        <v>1400342.46</v>
      </c>
      <c r="F33" s="512">
        <v>4162366.24</v>
      </c>
      <c r="G33" s="512">
        <v>3799518.95</v>
      </c>
      <c r="H33" s="512">
        <v>70937.55</v>
      </c>
      <c r="I33" s="512">
        <v>39533.78</v>
      </c>
      <c r="J33" s="512">
        <v>160913.71</v>
      </c>
      <c r="K33" s="512">
        <v>254978.75</v>
      </c>
    </row>
    <row r="34" spans="1:11">
      <c r="A34">
        <v>38</v>
      </c>
      <c r="B34" t="s">
        <v>794</v>
      </c>
      <c r="C34" s="512">
        <v>530411090.52999997</v>
      </c>
      <c r="D34" s="512">
        <v>2998541.33</v>
      </c>
      <c r="E34" s="512">
        <v>3013054</v>
      </c>
      <c r="F34" s="512">
        <v>1073391.29</v>
      </c>
      <c r="G34" s="512">
        <v>5156200.43</v>
      </c>
      <c r="H34" s="512">
        <v>66022.41</v>
      </c>
      <c r="I34" s="512">
        <v>99211.46</v>
      </c>
      <c r="J34" s="512">
        <v>47549.29</v>
      </c>
      <c r="K34" s="512">
        <v>324656.69</v>
      </c>
    </row>
    <row r="35" spans="1:11">
      <c r="A35">
        <v>38</v>
      </c>
      <c r="B35" t="s">
        <v>795</v>
      </c>
      <c r="C35" s="512">
        <v>512919477.87</v>
      </c>
      <c r="D35" s="512">
        <v>3783568.7</v>
      </c>
      <c r="E35" s="512">
        <v>1331662.3400000001</v>
      </c>
      <c r="F35" s="512">
        <v>2439870.77</v>
      </c>
      <c r="G35" s="512">
        <v>5215222.33</v>
      </c>
      <c r="H35" s="512">
        <v>80918.03</v>
      </c>
      <c r="I35" s="512">
        <v>41001.68</v>
      </c>
      <c r="J35" s="512">
        <v>86526.69</v>
      </c>
      <c r="K35" s="512">
        <v>338319.88</v>
      </c>
    </row>
    <row r="36" spans="1:11">
      <c r="A36">
        <v>38</v>
      </c>
      <c r="B36" t="s">
        <v>796</v>
      </c>
      <c r="C36" s="512">
        <v>493866831.41000003</v>
      </c>
      <c r="D36" s="512">
        <v>1207173.79</v>
      </c>
      <c r="E36" s="512">
        <v>2278356.2000000002</v>
      </c>
      <c r="F36" s="512">
        <v>2759996.9</v>
      </c>
      <c r="G36" s="512">
        <v>4425277.3499999996</v>
      </c>
      <c r="H36" s="512">
        <v>26157.200000000001</v>
      </c>
      <c r="I36" s="512">
        <v>65894.11</v>
      </c>
      <c r="J36" s="512">
        <v>110913.69</v>
      </c>
      <c r="K36" s="512">
        <v>268817.88</v>
      </c>
    </row>
    <row r="37" spans="1:11">
      <c r="A37">
        <v>38</v>
      </c>
      <c r="B37" t="s">
        <v>797</v>
      </c>
    </row>
    <row r="38" spans="1:11">
      <c r="A38">
        <v>38</v>
      </c>
      <c r="B38" t="s">
        <v>798</v>
      </c>
    </row>
    <row r="39" spans="1:11">
      <c r="A39">
        <v>38</v>
      </c>
      <c r="B39" t="s">
        <v>799</v>
      </c>
    </row>
    <row r="40" spans="1:11">
      <c r="A40">
        <v>38</v>
      </c>
      <c r="B40" t="s">
        <v>800</v>
      </c>
    </row>
    <row r="41" spans="1:11">
      <c r="A41">
        <v>38</v>
      </c>
      <c r="B41" t="s">
        <v>801</v>
      </c>
    </row>
    <row r="42" spans="1:11">
      <c r="A42">
        <v>38</v>
      </c>
      <c r="B42" t="s">
        <v>802</v>
      </c>
    </row>
    <row r="43" spans="1:11">
      <c r="A43">
        <v>38</v>
      </c>
      <c r="B43" t="s">
        <v>803</v>
      </c>
    </row>
    <row r="44" spans="1:11">
      <c r="A44">
        <v>38</v>
      </c>
      <c r="B44" t="s">
        <v>804</v>
      </c>
    </row>
    <row r="45" spans="1:11">
      <c r="A45">
        <v>38</v>
      </c>
      <c r="B45" t="s">
        <v>805</v>
      </c>
    </row>
    <row r="46" spans="1:11">
      <c r="A46">
        <v>38</v>
      </c>
      <c r="B46" t="s">
        <v>806</v>
      </c>
    </row>
    <row r="47" spans="1:11">
      <c r="A47">
        <v>38</v>
      </c>
      <c r="B47" t="s">
        <v>807</v>
      </c>
    </row>
    <row r="48" spans="1:11">
      <c r="A48">
        <v>38</v>
      </c>
      <c r="B48" t="s">
        <v>808</v>
      </c>
    </row>
    <row r="49" spans="1:2">
      <c r="A49">
        <v>38</v>
      </c>
      <c r="B49" t="s">
        <v>809</v>
      </c>
    </row>
    <row r="50" spans="1:2">
      <c r="A50">
        <v>38</v>
      </c>
      <c r="B50" t="s">
        <v>810</v>
      </c>
    </row>
    <row r="51" spans="1:2">
      <c r="A51">
        <v>38</v>
      </c>
      <c r="B51" t="s">
        <v>811</v>
      </c>
    </row>
    <row r="52" spans="1:2">
      <c r="A52">
        <v>38</v>
      </c>
      <c r="B52" t="s">
        <v>812</v>
      </c>
    </row>
    <row r="53" spans="1:2">
      <c r="A53">
        <v>38</v>
      </c>
      <c r="B53" t="s">
        <v>813</v>
      </c>
    </row>
    <row r="54" spans="1:2">
      <c r="A54">
        <v>38</v>
      </c>
      <c r="B54" t="s">
        <v>814</v>
      </c>
    </row>
    <row r="55" spans="1:2">
      <c r="A55">
        <v>38</v>
      </c>
      <c r="B55" t="s">
        <v>815</v>
      </c>
    </row>
    <row r="56" spans="1:2">
      <c r="A56">
        <v>38</v>
      </c>
      <c r="B56" t="s">
        <v>816</v>
      </c>
    </row>
    <row r="57" spans="1:2">
      <c r="A57">
        <v>38</v>
      </c>
      <c r="B57" t="s">
        <v>817</v>
      </c>
    </row>
    <row r="58" spans="1:2">
      <c r="A58">
        <v>38</v>
      </c>
      <c r="B58" t="s">
        <v>818</v>
      </c>
    </row>
    <row r="59" spans="1:2">
      <c r="A59">
        <v>38</v>
      </c>
      <c r="B59" t="s">
        <v>819</v>
      </c>
    </row>
    <row r="60" spans="1:2">
      <c r="A60">
        <v>38</v>
      </c>
      <c r="B60" t="s">
        <v>820</v>
      </c>
    </row>
    <row r="61" spans="1:2">
      <c r="A61">
        <v>38</v>
      </c>
      <c r="B61" t="s">
        <v>821</v>
      </c>
    </row>
    <row r="62" spans="1:2">
      <c r="A62">
        <v>38</v>
      </c>
      <c r="B62" t="s">
        <v>822</v>
      </c>
    </row>
    <row r="63" spans="1:2">
      <c r="A63">
        <v>38</v>
      </c>
      <c r="B63" t="s">
        <v>823</v>
      </c>
    </row>
    <row r="64" spans="1:2">
      <c r="A64">
        <v>38</v>
      </c>
      <c r="B64" t="s">
        <v>824</v>
      </c>
    </row>
    <row r="65" spans="1:2">
      <c r="A65">
        <v>38</v>
      </c>
      <c r="B65" t="s">
        <v>825</v>
      </c>
    </row>
    <row r="66" spans="1:2">
      <c r="A66">
        <v>38</v>
      </c>
      <c r="B66" t="s">
        <v>826</v>
      </c>
    </row>
    <row r="67" spans="1:2">
      <c r="A67">
        <v>38</v>
      </c>
      <c r="B67" t="s">
        <v>827</v>
      </c>
    </row>
    <row r="68" spans="1:2">
      <c r="A68">
        <v>38</v>
      </c>
      <c r="B68" t="s">
        <v>828</v>
      </c>
    </row>
    <row r="69" spans="1:2">
      <c r="A69">
        <v>38</v>
      </c>
      <c r="B69" t="s">
        <v>829</v>
      </c>
    </row>
    <row r="70" spans="1:2">
      <c r="A70">
        <v>38</v>
      </c>
      <c r="B70" t="s">
        <v>830</v>
      </c>
    </row>
    <row r="71" spans="1:2">
      <c r="A71">
        <v>38</v>
      </c>
      <c r="B71" t="s">
        <v>831</v>
      </c>
    </row>
    <row r="72" spans="1:2">
      <c r="A72">
        <v>38</v>
      </c>
      <c r="B72" t="s">
        <v>832</v>
      </c>
    </row>
    <row r="73" spans="1:2">
      <c r="A73">
        <v>38</v>
      </c>
      <c r="B73" t="s">
        <v>833</v>
      </c>
    </row>
    <row r="74" spans="1:2">
      <c r="A74">
        <v>38</v>
      </c>
      <c r="B74" t="s">
        <v>834</v>
      </c>
    </row>
    <row r="75" spans="1:2">
      <c r="A75">
        <v>38</v>
      </c>
      <c r="B75" t="s">
        <v>835</v>
      </c>
    </row>
    <row r="76" spans="1:2">
      <c r="A76">
        <v>38</v>
      </c>
      <c r="B76" t="s">
        <v>836</v>
      </c>
    </row>
    <row r="77" spans="1:2">
      <c r="A77">
        <v>38</v>
      </c>
      <c r="B77" t="s">
        <v>837</v>
      </c>
    </row>
    <row r="78" spans="1:2">
      <c r="A78">
        <v>38</v>
      </c>
      <c r="B78" t="s">
        <v>838</v>
      </c>
    </row>
    <row r="79" spans="1:2">
      <c r="A79">
        <v>38</v>
      </c>
      <c r="B79" t="s">
        <v>839</v>
      </c>
    </row>
    <row r="80" spans="1:2">
      <c r="A80">
        <v>38</v>
      </c>
      <c r="B80" t="s">
        <v>840</v>
      </c>
    </row>
    <row r="81" spans="1:2">
      <c r="A81">
        <v>38</v>
      </c>
      <c r="B81" t="s">
        <v>841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36"/>
    </sheetView>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656</v>
      </c>
      <c r="C2">
        <v>0</v>
      </c>
      <c r="D2" s="512">
        <v>0</v>
      </c>
      <c r="E2" s="512">
        <v>0</v>
      </c>
      <c r="F2" s="512">
        <v>1025743449.63</v>
      </c>
      <c r="G2">
        <v>0</v>
      </c>
      <c r="H2" s="512">
        <v>0</v>
      </c>
      <c r="I2" s="512">
        <v>0</v>
      </c>
      <c r="J2" s="512">
        <v>0</v>
      </c>
      <c r="K2">
        <v>0</v>
      </c>
    </row>
    <row r="3" spans="1:11">
      <c r="A3">
        <v>38</v>
      </c>
      <c r="B3" t="s">
        <v>657</v>
      </c>
      <c r="C3">
        <v>2</v>
      </c>
      <c r="D3" s="512">
        <v>24148.21</v>
      </c>
      <c r="E3" s="512">
        <v>24148.21</v>
      </c>
      <c r="F3" s="512">
        <v>1053455078.49</v>
      </c>
      <c r="G3">
        <v>2.2922866378520404E-5</v>
      </c>
      <c r="H3" s="512">
        <v>-106.57</v>
      </c>
      <c r="I3" s="512">
        <v>-106.57</v>
      </c>
      <c r="J3" s="512">
        <v>24254.78</v>
      </c>
      <c r="K3">
        <v>2.3024028736722476E-5</v>
      </c>
    </row>
    <row r="4" spans="1:11">
      <c r="A4">
        <v>38</v>
      </c>
      <c r="B4" t="s">
        <v>658</v>
      </c>
      <c r="C4">
        <v>7</v>
      </c>
      <c r="D4" s="512">
        <v>94815.96</v>
      </c>
      <c r="E4" s="512">
        <v>118964.17</v>
      </c>
      <c r="F4" s="512">
        <v>1074979593.0599999</v>
      </c>
      <c r="G4">
        <v>1.1066644498930502E-4</v>
      </c>
      <c r="H4" s="512">
        <v>-379.46</v>
      </c>
      <c r="I4" s="512">
        <v>-486.03</v>
      </c>
      <c r="J4" s="512">
        <v>119450.2</v>
      </c>
      <c r="K4">
        <v>1.1111857450240256E-4</v>
      </c>
    </row>
    <row r="5" spans="1:11">
      <c r="A5">
        <v>38</v>
      </c>
      <c r="B5" t="s">
        <v>659</v>
      </c>
      <c r="C5">
        <v>38</v>
      </c>
      <c r="D5" s="512">
        <v>475812.17</v>
      </c>
      <c r="E5" s="512">
        <v>594776.34</v>
      </c>
      <c r="F5" s="512">
        <v>1107170504.99</v>
      </c>
      <c r="G5">
        <v>5.3720392416466319E-4</v>
      </c>
      <c r="H5" s="512">
        <v>-692.74</v>
      </c>
      <c r="I5" s="512">
        <v>-1178.77</v>
      </c>
      <c r="J5" s="512">
        <v>595955.11</v>
      </c>
      <c r="K5">
        <v>5.3826859306135735E-4</v>
      </c>
    </row>
    <row r="6" spans="1:11">
      <c r="A6">
        <v>38</v>
      </c>
      <c r="B6" t="s">
        <v>660</v>
      </c>
      <c r="C6">
        <v>112</v>
      </c>
      <c r="D6" s="512">
        <v>1667952.86</v>
      </c>
      <c r="E6" s="512">
        <v>2262729.2000000002</v>
      </c>
      <c r="F6" s="512">
        <v>1137282305.76</v>
      </c>
      <c r="G6">
        <v>1.9895932509808186E-3</v>
      </c>
      <c r="H6" s="512">
        <v>-1099.7</v>
      </c>
      <c r="I6" s="512">
        <v>-2278.4699999999998</v>
      </c>
      <c r="J6" s="512">
        <v>2265007.67</v>
      </c>
      <c r="K6">
        <v>1.9915966849465634E-3</v>
      </c>
    </row>
    <row r="7" spans="1:11">
      <c r="A7">
        <v>38</v>
      </c>
      <c r="B7" t="s">
        <v>661</v>
      </c>
      <c r="C7">
        <v>227</v>
      </c>
      <c r="D7" s="512">
        <v>1799199.77</v>
      </c>
      <c r="E7" s="512">
        <v>4061928.97</v>
      </c>
      <c r="F7" s="512">
        <v>1168653134.6600001</v>
      </c>
      <c r="G7">
        <v>3.4757353140388819E-3</v>
      </c>
      <c r="H7" s="512">
        <v>-2884.83</v>
      </c>
      <c r="I7" s="512">
        <v>-5163.3</v>
      </c>
      <c r="J7" s="512">
        <v>4067092.27</v>
      </c>
      <c r="K7">
        <v>3.4801534770051773E-3</v>
      </c>
    </row>
    <row r="8" spans="1:11">
      <c r="A8">
        <v>38</v>
      </c>
      <c r="B8" t="s">
        <v>662</v>
      </c>
      <c r="C8">
        <v>323</v>
      </c>
      <c r="D8" s="512">
        <v>1624372.99</v>
      </c>
      <c r="E8" s="512">
        <v>5686301.96</v>
      </c>
      <c r="F8" s="512">
        <v>1197463525.4400001</v>
      </c>
      <c r="G8">
        <v>4.7486222663112891E-3</v>
      </c>
      <c r="H8" s="512">
        <v>36361.46</v>
      </c>
      <c r="I8" s="512">
        <v>31198.16</v>
      </c>
      <c r="J8" s="512">
        <v>5655103.7999999998</v>
      </c>
      <c r="K8">
        <v>4.7225687295335932E-3</v>
      </c>
    </row>
    <row r="9" spans="1:11">
      <c r="A9">
        <v>38</v>
      </c>
      <c r="B9" t="s">
        <v>663</v>
      </c>
      <c r="C9">
        <v>421</v>
      </c>
      <c r="D9" s="512">
        <v>1702373.25</v>
      </c>
      <c r="E9" s="512">
        <v>7388675.21</v>
      </c>
      <c r="F9" s="512">
        <v>1228561846.1800001</v>
      </c>
      <c r="G9">
        <v>6.0140848692101278E-3</v>
      </c>
      <c r="H9" s="512">
        <v>27481.56</v>
      </c>
      <c r="I9" s="512">
        <v>58679.72</v>
      </c>
      <c r="J9" s="512">
        <v>7329995.4900000002</v>
      </c>
      <c r="K9">
        <v>5.96632193388664E-3</v>
      </c>
    </row>
    <row r="10" spans="1:11">
      <c r="A10">
        <v>38</v>
      </c>
      <c r="B10" t="s">
        <v>664</v>
      </c>
      <c r="C10">
        <v>570</v>
      </c>
      <c r="D10" s="512">
        <v>2535440.2799999998</v>
      </c>
      <c r="E10" s="512">
        <v>9924115.4900000002</v>
      </c>
      <c r="F10" s="512">
        <v>1260638751.6800001</v>
      </c>
      <c r="G10">
        <v>7.8722913100795523E-3</v>
      </c>
      <c r="H10" s="512">
        <v>25687.07</v>
      </c>
      <c r="I10" s="512">
        <v>84366.79</v>
      </c>
      <c r="J10" s="512">
        <v>9839748.6999999993</v>
      </c>
      <c r="K10">
        <v>7.8053674669979652E-3</v>
      </c>
    </row>
    <row r="11" spans="1:11">
      <c r="A11">
        <v>38</v>
      </c>
      <c r="B11" t="s">
        <v>665</v>
      </c>
      <c r="C11">
        <v>740</v>
      </c>
      <c r="D11" s="512">
        <v>3245825.94</v>
      </c>
      <c r="E11" s="512">
        <v>13169941.43</v>
      </c>
      <c r="F11" s="512">
        <v>1295485477.6800001</v>
      </c>
      <c r="G11">
        <v>1.0166027838139245E-2</v>
      </c>
      <c r="H11" s="512">
        <v>10937.11</v>
      </c>
      <c r="I11" s="512">
        <v>95303.9</v>
      </c>
      <c r="J11" s="512">
        <v>13074637.529999999</v>
      </c>
      <c r="K11">
        <v>1.0092461671908902E-2</v>
      </c>
    </row>
    <row r="12" spans="1:11">
      <c r="A12">
        <v>38</v>
      </c>
      <c r="B12" t="s">
        <v>666</v>
      </c>
      <c r="C12">
        <v>897</v>
      </c>
      <c r="D12" s="512">
        <v>2496894.42</v>
      </c>
      <c r="E12" s="512">
        <v>15666835.85</v>
      </c>
      <c r="F12" s="512">
        <v>1327946409.3199999</v>
      </c>
      <c r="G12">
        <v>1.1797792245262739E-2</v>
      </c>
      <c r="H12" s="512">
        <v>46365.93</v>
      </c>
      <c r="I12" s="512">
        <v>141669.82999999999</v>
      </c>
      <c r="J12" s="512">
        <v>15525166.02</v>
      </c>
      <c r="K12">
        <v>1.1691108851260006E-2</v>
      </c>
    </row>
    <row r="13" spans="1:11">
      <c r="A13">
        <v>38</v>
      </c>
      <c r="B13" t="s">
        <v>667</v>
      </c>
      <c r="C13">
        <v>1003</v>
      </c>
      <c r="D13" s="512">
        <v>1298353.1499999999</v>
      </c>
      <c r="E13" s="512">
        <v>16965189</v>
      </c>
      <c r="F13" s="512">
        <v>1356346723.3699999</v>
      </c>
      <c r="G13">
        <v>1.250800308482187E-2</v>
      </c>
      <c r="H13" s="512">
        <v>68363.63</v>
      </c>
      <c r="I13" s="512">
        <v>210033.46</v>
      </c>
      <c r="J13" s="512">
        <v>16755155.539999999</v>
      </c>
      <c r="K13">
        <v>1.2353150747745293E-2</v>
      </c>
    </row>
    <row r="14" spans="1:11">
      <c r="A14">
        <v>38</v>
      </c>
      <c r="B14" t="s">
        <v>668</v>
      </c>
      <c r="C14">
        <v>1137</v>
      </c>
      <c r="D14" s="512">
        <v>2340989.6800000002</v>
      </c>
      <c r="E14" s="512">
        <v>19306178.68</v>
      </c>
      <c r="F14" s="512">
        <v>1356346723.3699999</v>
      </c>
      <c r="G14">
        <v>1.4233955335573463E-2</v>
      </c>
      <c r="H14" s="512">
        <v>47250.13</v>
      </c>
      <c r="I14" s="512">
        <v>257283.59</v>
      </c>
      <c r="J14" s="512">
        <v>19048895.09</v>
      </c>
      <c r="K14">
        <v>1.4044266677380851E-2</v>
      </c>
    </row>
    <row r="15" spans="1:11">
      <c r="A15">
        <v>38</v>
      </c>
      <c r="B15" t="s">
        <v>669</v>
      </c>
      <c r="C15">
        <v>1284</v>
      </c>
      <c r="D15" s="512">
        <v>2624018.42</v>
      </c>
      <c r="E15" s="512">
        <v>21930197.100000001</v>
      </c>
      <c r="F15" s="512">
        <v>1356346723.3699999</v>
      </c>
      <c r="G15">
        <v>1.6168577489914886E-2</v>
      </c>
      <c r="H15" s="512">
        <v>95431.85</v>
      </c>
      <c r="I15" s="512">
        <v>352715.44</v>
      </c>
      <c r="J15" s="512">
        <v>21577481.66</v>
      </c>
      <c r="K15">
        <v>1.5908529351837303E-2</v>
      </c>
    </row>
    <row r="16" spans="1:11">
      <c r="A16">
        <v>38</v>
      </c>
      <c r="B16" t="s">
        <v>670</v>
      </c>
      <c r="C16">
        <v>1438</v>
      </c>
      <c r="D16" s="512">
        <v>2438921.5099999998</v>
      </c>
      <c r="E16" s="512">
        <v>24369118.609999999</v>
      </c>
      <c r="F16" s="512">
        <v>1356346723.3699999</v>
      </c>
      <c r="G16">
        <v>1.7966732392328197E-2</v>
      </c>
      <c r="H16" s="512">
        <v>51728.81</v>
      </c>
      <c r="I16" s="512">
        <v>404444.25</v>
      </c>
      <c r="J16" s="512">
        <v>23964674.359999999</v>
      </c>
      <c r="K16">
        <v>1.7668545916089209E-2</v>
      </c>
    </row>
    <row r="17" spans="1:11">
      <c r="A17">
        <v>38</v>
      </c>
      <c r="B17" t="s">
        <v>671</v>
      </c>
      <c r="C17">
        <v>1578</v>
      </c>
      <c r="D17" s="512">
        <v>2539805.06</v>
      </c>
      <c r="E17" s="512">
        <v>26908923.670000002</v>
      </c>
      <c r="F17" s="512">
        <v>1356346723.3699999</v>
      </c>
      <c r="G17">
        <v>1.9839266174611802E-2</v>
      </c>
      <c r="H17" s="512">
        <v>67030.320000000007</v>
      </c>
      <c r="I17" s="512">
        <v>471474.57</v>
      </c>
      <c r="J17" s="512">
        <v>26437449.100000001</v>
      </c>
      <c r="K17">
        <v>1.9491659945410637E-2</v>
      </c>
    </row>
    <row r="18" spans="1:11">
      <c r="A18">
        <v>38</v>
      </c>
      <c r="B18" t="s">
        <v>672</v>
      </c>
      <c r="C18">
        <v>1747</v>
      </c>
      <c r="D18" s="512">
        <v>2603375.7400000002</v>
      </c>
      <c r="E18" s="512">
        <v>29512299.41</v>
      </c>
      <c r="F18" s="512">
        <v>1356346723.3699999</v>
      </c>
      <c r="G18">
        <v>2.1758669005129658E-2</v>
      </c>
      <c r="H18" s="512">
        <v>73207.89</v>
      </c>
      <c r="I18" s="512">
        <v>544682.46</v>
      </c>
      <c r="J18" s="512">
        <v>28967616.949999999</v>
      </c>
      <c r="K18">
        <v>2.1357088457460642E-2</v>
      </c>
    </row>
    <row r="19" spans="1:11">
      <c r="A19">
        <v>38</v>
      </c>
      <c r="B19" t="s">
        <v>673</v>
      </c>
      <c r="C19">
        <v>1894</v>
      </c>
      <c r="D19" s="512">
        <v>2547435.2200000002</v>
      </c>
      <c r="E19" s="512">
        <v>32059734.629999999</v>
      </c>
      <c r="F19" s="512">
        <v>1356346723.3699999</v>
      </c>
      <c r="G19">
        <v>2.3636828310643076E-2</v>
      </c>
      <c r="H19" s="512">
        <v>98451.58</v>
      </c>
      <c r="I19" s="512">
        <v>643134.04</v>
      </c>
      <c r="J19" s="512">
        <v>31416600.59</v>
      </c>
      <c r="K19">
        <v>2.3162661912834365E-2</v>
      </c>
    </row>
    <row r="20" spans="1:11">
      <c r="A20">
        <v>38</v>
      </c>
      <c r="B20" t="s">
        <v>674</v>
      </c>
      <c r="C20">
        <v>2047</v>
      </c>
      <c r="D20" s="512">
        <v>2579043.2799999998</v>
      </c>
      <c r="E20" s="512">
        <v>34638777.909999996</v>
      </c>
      <c r="F20" s="512">
        <v>1356346723.3699999</v>
      </c>
      <c r="G20">
        <v>2.5538291436230955E-2</v>
      </c>
      <c r="H20" s="512">
        <v>85179.61</v>
      </c>
      <c r="I20" s="512">
        <v>728313.65</v>
      </c>
      <c r="J20" s="512">
        <v>33910464.259999998</v>
      </c>
      <c r="K20">
        <v>2.5001324274773581E-2</v>
      </c>
    </row>
    <row r="21" spans="1:11">
      <c r="A21">
        <v>38</v>
      </c>
      <c r="B21" t="s">
        <v>675</v>
      </c>
      <c r="C21">
        <v>2203</v>
      </c>
      <c r="D21" s="512">
        <v>2921086.77</v>
      </c>
      <c r="E21" s="512">
        <v>37559864.68</v>
      </c>
      <c r="F21" s="512">
        <v>1356346723.3699999</v>
      </c>
      <c r="G21">
        <v>2.7691934542134013E-2</v>
      </c>
      <c r="H21" s="512">
        <v>126049.62</v>
      </c>
      <c r="I21" s="512">
        <v>854363.27</v>
      </c>
      <c r="J21" s="512">
        <v>36705501.409999996</v>
      </c>
      <c r="K21">
        <v>2.7062034196389646E-2</v>
      </c>
    </row>
    <row r="22" spans="1:11">
      <c r="A22">
        <v>38</v>
      </c>
      <c r="B22" t="s">
        <v>676</v>
      </c>
      <c r="C22">
        <v>2351</v>
      </c>
      <c r="D22" s="512">
        <v>2188612.4500000002</v>
      </c>
      <c r="E22" s="512">
        <v>39748477.130000003</v>
      </c>
      <c r="F22" s="512">
        <v>1356346723.3699999</v>
      </c>
      <c r="G22">
        <v>2.93055429302327E-2</v>
      </c>
      <c r="H22" s="512">
        <v>124758.21</v>
      </c>
      <c r="I22" s="512">
        <v>979121.48</v>
      </c>
      <c r="J22" s="512">
        <v>38769355.649999999</v>
      </c>
      <c r="K22">
        <v>2.8583661524004021E-2</v>
      </c>
    </row>
    <row r="23" spans="1:11">
      <c r="A23">
        <v>38</v>
      </c>
      <c r="B23" t="s">
        <v>677</v>
      </c>
      <c r="C23">
        <v>2514</v>
      </c>
      <c r="D23" s="512">
        <v>2795134.13</v>
      </c>
      <c r="E23" s="512">
        <v>42543611.259999998</v>
      </c>
      <c r="F23" s="512">
        <v>1356346723.3699999</v>
      </c>
      <c r="G23">
        <v>3.1366324352740338E-2</v>
      </c>
      <c r="H23" s="512">
        <v>174170.57</v>
      </c>
      <c r="I23" s="512">
        <v>1153292.05</v>
      </c>
      <c r="J23" s="512">
        <v>41390319.210000001</v>
      </c>
      <c r="K23">
        <v>3.0516031407633714E-2</v>
      </c>
    </row>
    <row r="24" spans="1:11">
      <c r="A24">
        <v>38</v>
      </c>
      <c r="B24" t="s">
        <v>678</v>
      </c>
      <c r="C24">
        <v>2648</v>
      </c>
      <c r="D24" s="512">
        <v>2156780.79</v>
      </c>
      <c r="E24" s="512">
        <v>44700392.049999997</v>
      </c>
      <c r="F24" s="512">
        <v>1356346723.3699999</v>
      </c>
      <c r="G24">
        <v>3.2956464066162011E-2</v>
      </c>
      <c r="H24" s="512">
        <v>140516.25</v>
      </c>
      <c r="I24" s="512">
        <v>1293808.3</v>
      </c>
      <c r="J24" s="512">
        <v>43406583.75</v>
      </c>
      <c r="K24">
        <v>3.2002572057793104E-2</v>
      </c>
    </row>
    <row r="25" spans="1:11">
      <c r="A25">
        <v>38</v>
      </c>
      <c r="B25" t="s">
        <v>679</v>
      </c>
      <c r="C25">
        <v>2767</v>
      </c>
      <c r="D25" s="512">
        <v>2165273.4500000002</v>
      </c>
      <c r="E25" s="512">
        <v>46865665.5</v>
      </c>
      <c r="F25" s="512">
        <v>1356346723.3699999</v>
      </c>
      <c r="G25">
        <v>3.4552865202163677E-2</v>
      </c>
      <c r="H25" s="512">
        <v>168408.8</v>
      </c>
      <c r="I25" s="512">
        <v>1462217.1</v>
      </c>
      <c r="J25" s="512">
        <v>45403448.399999999</v>
      </c>
      <c r="K25">
        <v>3.3474809661640119E-2</v>
      </c>
    </row>
    <row r="26" spans="1:11">
      <c r="A26">
        <v>38</v>
      </c>
      <c r="B26" t="s">
        <v>680</v>
      </c>
      <c r="C26">
        <v>2914</v>
      </c>
      <c r="D26" s="512">
        <v>1775933.09</v>
      </c>
      <c r="E26" s="512">
        <v>48641598.590000004</v>
      </c>
      <c r="F26" s="512">
        <v>1356346723.3699999</v>
      </c>
      <c r="G26">
        <v>3.5862215576518912E-2</v>
      </c>
      <c r="H26" s="512">
        <v>161828.49</v>
      </c>
      <c r="I26" s="512">
        <v>1624045.59</v>
      </c>
      <c r="J26" s="512">
        <v>47017553</v>
      </c>
      <c r="K26">
        <v>3.4664847999322373E-2</v>
      </c>
    </row>
    <row r="27" spans="1:11">
      <c r="A27">
        <v>38</v>
      </c>
      <c r="B27" t="s">
        <v>681</v>
      </c>
      <c r="C27">
        <v>3058</v>
      </c>
      <c r="D27" s="512">
        <v>2114906.71</v>
      </c>
      <c r="E27" s="512">
        <v>50756505.299999997</v>
      </c>
      <c r="F27" s="512">
        <v>1356346723.3699999</v>
      </c>
      <c r="G27">
        <v>3.7421482593985707E-2</v>
      </c>
      <c r="H27" s="512">
        <v>126522.33</v>
      </c>
      <c r="I27" s="512">
        <v>1750567.92</v>
      </c>
      <c r="J27" s="512">
        <v>49005937.380000003</v>
      </c>
      <c r="K27">
        <v>3.6130833315421801E-2</v>
      </c>
    </row>
    <row r="28" spans="1:11">
      <c r="A28">
        <v>38</v>
      </c>
      <c r="B28" t="s">
        <v>682</v>
      </c>
      <c r="C28">
        <v>3178</v>
      </c>
      <c r="D28" s="512">
        <v>1838786.74</v>
      </c>
      <c r="E28" s="512">
        <v>52595292.039999999</v>
      </c>
      <c r="F28" s="512">
        <v>1356346723.3699999</v>
      </c>
      <c r="G28">
        <v>3.8777173368562373E-2</v>
      </c>
      <c r="H28" s="512">
        <v>250063.51</v>
      </c>
      <c r="I28" s="512">
        <v>2000631.43</v>
      </c>
      <c r="J28" s="512">
        <v>50594660.609999999</v>
      </c>
      <c r="K28">
        <v>3.7302158613464059E-2</v>
      </c>
    </row>
    <row r="29" spans="1:11">
      <c r="A29">
        <v>38</v>
      </c>
      <c r="B29" t="s">
        <v>683</v>
      </c>
      <c r="C29">
        <v>3325</v>
      </c>
      <c r="D29" s="512">
        <v>2047574.29</v>
      </c>
      <c r="E29" s="512">
        <v>54642866.329999998</v>
      </c>
      <c r="F29" s="512">
        <v>1356346723.3699999</v>
      </c>
      <c r="G29">
        <v>4.0286797902407648E-2</v>
      </c>
      <c r="H29" s="512">
        <v>98171.26</v>
      </c>
      <c r="I29" s="512">
        <v>2098802.69</v>
      </c>
      <c r="J29" s="512">
        <v>52544063.640000001</v>
      </c>
      <c r="K29">
        <v>3.8739403969988005E-2</v>
      </c>
    </row>
    <row r="30" spans="1:11">
      <c r="A30">
        <v>38</v>
      </c>
      <c r="B30" t="s">
        <v>684</v>
      </c>
      <c r="C30">
        <v>3453</v>
      </c>
      <c r="D30" s="512">
        <v>2027648.77</v>
      </c>
      <c r="E30" s="512">
        <v>56670515.100000001</v>
      </c>
      <c r="F30" s="512">
        <v>1356346723.3699999</v>
      </c>
      <c r="G30">
        <v>4.178173185628787E-2</v>
      </c>
      <c r="H30" s="512">
        <v>170484.58</v>
      </c>
      <c r="I30" s="512">
        <v>2269287.27</v>
      </c>
      <c r="J30" s="512">
        <v>54401227.829999998</v>
      </c>
      <c r="K30">
        <v>4.0108643971825925E-2</v>
      </c>
    </row>
    <row r="31" spans="1:11">
      <c r="A31">
        <v>38</v>
      </c>
      <c r="B31" t="s">
        <v>685</v>
      </c>
      <c r="C31">
        <v>3583</v>
      </c>
      <c r="D31" s="512">
        <v>1812247.89</v>
      </c>
      <c r="E31" s="512">
        <v>58482762.990000002</v>
      </c>
      <c r="F31" s="512">
        <v>1356346723.3699999</v>
      </c>
      <c r="G31">
        <v>4.3117856210610241E-2</v>
      </c>
      <c r="H31" s="512">
        <v>177051.68</v>
      </c>
      <c r="I31" s="512">
        <v>2446338.9500000002</v>
      </c>
      <c r="J31" s="512">
        <v>56036424.039999999</v>
      </c>
      <c r="K31">
        <v>4.1314232618021911E-2</v>
      </c>
    </row>
    <row r="32" spans="1:11">
      <c r="A32">
        <v>38</v>
      </c>
      <c r="B32" t="s">
        <v>686</v>
      </c>
      <c r="C32">
        <v>3716</v>
      </c>
      <c r="D32" s="512">
        <v>2137065.71</v>
      </c>
      <c r="E32" s="512">
        <v>60619828.700000003</v>
      </c>
      <c r="F32" s="512">
        <v>1356346723.3699999</v>
      </c>
      <c r="G32">
        <v>4.4693460496135561E-2</v>
      </c>
      <c r="H32" s="512">
        <v>179364.09</v>
      </c>
      <c r="I32" s="512">
        <v>2625703.04</v>
      </c>
      <c r="J32" s="512">
        <v>57994125.659999996</v>
      </c>
      <c r="K32">
        <v>4.2757596314242502E-2</v>
      </c>
    </row>
    <row r="33" spans="1:11">
      <c r="A33">
        <v>38</v>
      </c>
      <c r="B33" t="s">
        <v>687</v>
      </c>
      <c r="C33">
        <v>3815</v>
      </c>
      <c r="D33" s="512">
        <v>1652722.26</v>
      </c>
      <c r="E33" s="512">
        <v>62272550.960000001</v>
      </c>
      <c r="F33" s="512">
        <v>1356346723.3699999</v>
      </c>
      <c r="G33">
        <v>4.5911970653990788E-2</v>
      </c>
      <c r="H33" s="512">
        <v>121340.66</v>
      </c>
      <c r="I33" s="512">
        <v>2747043.7</v>
      </c>
      <c r="J33" s="512">
        <v>59525507.259999998</v>
      </c>
      <c r="K33">
        <v>4.3886645084453037E-2</v>
      </c>
    </row>
    <row r="34" spans="1:11">
      <c r="A34">
        <v>38</v>
      </c>
      <c r="B34" t="s">
        <v>688</v>
      </c>
      <c r="C34">
        <v>3928</v>
      </c>
      <c r="D34" s="512">
        <v>1573027.58</v>
      </c>
      <c r="E34" s="512">
        <v>63845578.539999999</v>
      </c>
      <c r="F34" s="512">
        <v>1356346723.3699999</v>
      </c>
      <c r="G34">
        <v>4.7071723947817917E-2</v>
      </c>
      <c r="H34" s="512">
        <v>154016.49</v>
      </c>
      <c r="I34" s="512">
        <v>2901060.19</v>
      </c>
      <c r="J34" s="512">
        <v>60944518.350000001</v>
      </c>
      <c r="K34">
        <v>4.4932845930851888E-2</v>
      </c>
    </row>
    <row r="35" spans="1:11">
      <c r="A35">
        <v>38</v>
      </c>
      <c r="B35" t="s">
        <v>689</v>
      </c>
      <c r="C35">
        <v>4081</v>
      </c>
      <c r="D35" s="512">
        <v>2394462.21</v>
      </c>
      <c r="E35" s="512">
        <v>66240040.75</v>
      </c>
      <c r="F35" s="512">
        <v>1356346723.3699999</v>
      </c>
      <c r="G35">
        <v>4.8837100137211945E-2</v>
      </c>
      <c r="H35" s="512">
        <v>155151.20000000001</v>
      </c>
      <c r="I35" s="512">
        <v>3056211.39</v>
      </c>
      <c r="J35" s="512">
        <v>63183829.359999999</v>
      </c>
      <c r="K35">
        <v>4.6583833079946166E-2</v>
      </c>
    </row>
    <row r="36" spans="1:11">
      <c r="A36">
        <v>38</v>
      </c>
      <c r="B36" t="s">
        <v>690</v>
      </c>
      <c r="C36">
        <v>4195</v>
      </c>
      <c r="D36" s="512">
        <v>1631518.43</v>
      </c>
      <c r="E36" s="512">
        <v>67871559.180000007</v>
      </c>
      <c r="F36" s="512">
        <v>1356346723.3699999</v>
      </c>
      <c r="G36">
        <v>5.0039977249596829E-2</v>
      </c>
      <c r="H36" s="512">
        <v>184720.33</v>
      </c>
      <c r="I36" s="512">
        <v>3240931.72</v>
      </c>
      <c r="J36" s="512">
        <v>64630627.460000001</v>
      </c>
      <c r="K36">
        <v>4.7650520583275159E-2</v>
      </c>
    </row>
    <row r="37" spans="1:11">
      <c r="A37">
        <v>38</v>
      </c>
      <c r="B37" t="s">
        <v>691</v>
      </c>
    </row>
    <row r="38" spans="1:11">
      <c r="A38">
        <v>38</v>
      </c>
      <c r="B38" t="s">
        <v>692</v>
      </c>
    </row>
    <row r="39" spans="1:11">
      <c r="A39">
        <v>38</v>
      </c>
      <c r="B39" t="s">
        <v>693</v>
      </c>
    </row>
    <row r="40" spans="1:11">
      <c r="A40">
        <v>38</v>
      </c>
      <c r="B40" t="s">
        <v>694</v>
      </c>
    </row>
    <row r="41" spans="1:11">
      <c r="A41">
        <v>38</v>
      </c>
      <c r="B41" t="s">
        <v>695</v>
      </c>
    </row>
    <row r="42" spans="1:11">
      <c r="A42">
        <v>38</v>
      </c>
      <c r="B42" t="s">
        <v>696</v>
      </c>
    </row>
    <row r="43" spans="1:11">
      <c r="A43">
        <v>38</v>
      </c>
      <c r="B43" t="s">
        <v>697</v>
      </c>
    </row>
    <row r="44" spans="1:11">
      <c r="A44">
        <v>38</v>
      </c>
      <c r="B44" t="s">
        <v>698</v>
      </c>
    </row>
    <row r="45" spans="1:11">
      <c r="A45">
        <v>38</v>
      </c>
      <c r="B45" t="s">
        <v>699</v>
      </c>
    </row>
    <row r="46" spans="1:11">
      <c r="A46">
        <v>38</v>
      </c>
      <c r="B46" t="s">
        <v>700</v>
      </c>
    </row>
    <row r="47" spans="1:11">
      <c r="A47">
        <v>38</v>
      </c>
      <c r="B47" t="s">
        <v>701</v>
      </c>
    </row>
    <row r="48" spans="1:11">
      <c r="A48">
        <v>38</v>
      </c>
      <c r="B48" t="s">
        <v>702</v>
      </c>
    </row>
    <row r="49" spans="1:2">
      <c r="A49">
        <v>38</v>
      </c>
      <c r="B49" t="s">
        <v>703</v>
      </c>
    </row>
    <row r="50" spans="1:2">
      <c r="A50">
        <v>38</v>
      </c>
      <c r="B50" t="s">
        <v>704</v>
      </c>
    </row>
    <row r="51" spans="1:2">
      <c r="A51">
        <v>38</v>
      </c>
      <c r="B51" t="s">
        <v>705</v>
      </c>
    </row>
    <row r="52" spans="1:2">
      <c r="A52">
        <v>38</v>
      </c>
      <c r="B52" t="s">
        <v>706</v>
      </c>
    </row>
    <row r="53" spans="1:2">
      <c r="A53">
        <v>38</v>
      </c>
      <c r="B53" t="s">
        <v>707</v>
      </c>
    </row>
    <row r="54" spans="1:2">
      <c r="A54">
        <v>38</v>
      </c>
      <c r="B54" t="s">
        <v>708</v>
      </c>
    </row>
    <row r="55" spans="1:2">
      <c r="A55">
        <v>38</v>
      </c>
      <c r="B55" t="s">
        <v>709</v>
      </c>
    </row>
    <row r="56" spans="1:2">
      <c r="A56">
        <v>38</v>
      </c>
      <c r="B56" t="s">
        <v>710</v>
      </c>
    </row>
    <row r="57" spans="1:2">
      <c r="A57">
        <v>38</v>
      </c>
      <c r="B57" t="s">
        <v>711</v>
      </c>
    </row>
    <row r="58" spans="1:2">
      <c r="A58">
        <v>38</v>
      </c>
      <c r="B58" t="s">
        <v>712</v>
      </c>
    </row>
    <row r="59" spans="1:2">
      <c r="A59">
        <v>38</v>
      </c>
      <c r="B59" t="s">
        <v>713</v>
      </c>
    </row>
    <row r="60" spans="1:2">
      <c r="A60">
        <v>38</v>
      </c>
      <c r="B60" t="s">
        <v>714</v>
      </c>
    </row>
    <row r="61" spans="1:2">
      <c r="A61">
        <v>38</v>
      </c>
      <c r="B61" t="s">
        <v>715</v>
      </c>
    </row>
    <row r="62" spans="1:2">
      <c r="A62">
        <v>38</v>
      </c>
      <c r="B62" t="s">
        <v>716</v>
      </c>
    </row>
    <row r="63" spans="1:2">
      <c r="A63">
        <v>38</v>
      </c>
      <c r="B63" t="s">
        <v>717</v>
      </c>
    </row>
    <row r="64" spans="1:2">
      <c r="A64">
        <v>38</v>
      </c>
      <c r="B64" t="s">
        <v>718</v>
      </c>
    </row>
    <row r="65" spans="1:2">
      <c r="A65">
        <v>38</v>
      </c>
      <c r="B65" t="s">
        <v>719</v>
      </c>
    </row>
    <row r="66" spans="1:2">
      <c r="A66">
        <v>38</v>
      </c>
      <c r="B66" t="s">
        <v>720</v>
      </c>
    </row>
    <row r="67" spans="1:2">
      <c r="A67">
        <v>38</v>
      </c>
      <c r="B67" t="s">
        <v>721</v>
      </c>
    </row>
    <row r="68" spans="1:2">
      <c r="A68">
        <v>38</v>
      </c>
      <c r="B68" t="s">
        <v>722</v>
      </c>
    </row>
    <row r="69" spans="1:2">
      <c r="A69">
        <v>38</v>
      </c>
      <c r="B69" t="s">
        <v>723</v>
      </c>
    </row>
    <row r="70" spans="1:2">
      <c r="A70">
        <v>38</v>
      </c>
      <c r="B70" t="s">
        <v>724</v>
      </c>
    </row>
    <row r="71" spans="1:2">
      <c r="A71">
        <v>38</v>
      </c>
      <c r="B71" t="s">
        <v>725</v>
      </c>
    </row>
    <row r="72" spans="1:2">
      <c r="A72">
        <v>38</v>
      </c>
      <c r="B72" t="s">
        <v>726</v>
      </c>
    </row>
    <row r="73" spans="1:2">
      <c r="A73">
        <v>38</v>
      </c>
      <c r="B73" t="s">
        <v>727</v>
      </c>
    </row>
    <row r="74" spans="1:2">
      <c r="A74">
        <v>38</v>
      </c>
      <c r="B74" t="s">
        <v>728</v>
      </c>
    </row>
    <row r="75" spans="1:2">
      <c r="A75">
        <v>38</v>
      </c>
      <c r="B75" t="s">
        <v>729</v>
      </c>
    </row>
    <row r="76" spans="1:2">
      <c r="A76">
        <v>38</v>
      </c>
      <c r="B76" t="s">
        <v>730</v>
      </c>
    </row>
    <row r="77" spans="1:2">
      <c r="A77">
        <v>38</v>
      </c>
      <c r="B77" t="s">
        <v>731</v>
      </c>
    </row>
    <row r="78" spans="1:2">
      <c r="A78">
        <v>38</v>
      </c>
      <c r="B78" t="s">
        <v>732</v>
      </c>
    </row>
    <row r="79" spans="1:2">
      <c r="A79">
        <v>38</v>
      </c>
      <c r="B79" t="s">
        <v>733</v>
      </c>
    </row>
    <row r="80" spans="1:2">
      <c r="A80">
        <v>38</v>
      </c>
      <c r="B80" t="s">
        <v>734</v>
      </c>
    </row>
    <row r="81" spans="1:2">
      <c r="A81">
        <v>38</v>
      </c>
      <c r="B81" t="s">
        <v>735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6"/>
  <sheetViews>
    <sheetView workbookViewId="0"/>
  </sheetViews>
  <sheetFormatPr baseColWidth="10" defaultColWidth="8.7265625" defaultRowHeight="12.5"/>
  <cols>
    <col min="1" max="1" width="13" customWidth="1"/>
    <col min="2" max="2" width="41" customWidth="1"/>
    <col min="3" max="7" width="13" customWidth="1"/>
  </cols>
  <sheetData>
    <row r="1" spans="1:7">
      <c r="A1" t="s">
        <v>637</v>
      </c>
      <c r="B1" t="s">
        <v>634</v>
      </c>
      <c r="C1" t="s">
        <v>1031</v>
      </c>
      <c r="D1" t="s">
        <v>1032</v>
      </c>
      <c r="E1" t="s">
        <v>1033</v>
      </c>
      <c r="F1" t="s">
        <v>1034</v>
      </c>
      <c r="G1" t="s">
        <v>1035</v>
      </c>
    </row>
    <row r="2" spans="1:7">
      <c r="A2">
        <v>38</v>
      </c>
      <c r="B2" t="s">
        <v>736</v>
      </c>
      <c r="C2">
        <v>999999987.09000027</v>
      </c>
      <c r="D2">
        <v>12874153.58</v>
      </c>
      <c r="E2">
        <v>12869301.560000001</v>
      </c>
      <c r="F2">
        <v>25743455.140000001</v>
      </c>
      <c r="G2">
        <v>0.1439563772824759</v>
      </c>
    </row>
    <row r="3" spans="1:7">
      <c r="A3">
        <v>38</v>
      </c>
      <c r="B3" t="s">
        <v>737</v>
      </c>
      <c r="C3">
        <v>999999994.49000025</v>
      </c>
      <c r="D3">
        <v>12749018.209999988</v>
      </c>
      <c r="E3">
        <v>14938459.260000011</v>
      </c>
      <c r="F3">
        <v>27687477.469999999</v>
      </c>
      <c r="G3">
        <v>0.1652424397028962</v>
      </c>
    </row>
    <row r="4" spans="1:7">
      <c r="A4">
        <v>38</v>
      </c>
      <c r="B4" t="s">
        <v>738</v>
      </c>
      <c r="C4">
        <v>999999997.6700002</v>
      </c>
      <c r="D4">
        <v>12267567.370000005</v>
      </c>
      <c r="E4">
        <v>9162134.9099999964</v>
      </c>
      <c r="F4">
        <v>21429702.280000001</v>
      </c>
      <c r="G4">
        <v>0.1045710351748308</v>
      </c>
    </row>
    <row r="5" spans="1:7">
      <c r="A5">
        <v>38</v>
      </c>
      <c r="B5" t="s">
        <v>739</v>
      </c>
      <c r="C5">
        <v>999999994.00000024</v>
      </c>
      <c r="D5">
        <v>12703121.130000014</v>
      </c>
      <c r="E5">
        <v>19011983.489999983</v>
      </c>
      <c r="F5">
        <v>31715104.619999997</v>
      </c>
      <c r="G5">
        <v>0.20573682844045915</v>
      </c>
    </row>
    <row r="6" spans="1:7">
      <c r="A6">
        <v>38</v>
      </c>
      <c r="B6" t="s">
        <v>740</v>
      </c>
      <c r="C6">
        <v>999999989.14000022</v>
      </c>
      <c r="D6">
        <v>12573513.080000028</v>
      </c>
      <c r="E6">
        <v>15870326.31999997</v>
      </c>
      <c r="F6">
        <v>28443839.399999999</v>
      </c>
      <c r="G6">
        <v>0.17466944742711243</v>
      </c>
    </row>
    <row r="7" spans="1:7">
      <c r="A7">
        <v>38</v>
      </c>
      <c r="B7" t="s">
        <v>741</v>
      </c>
      <c r="C7">
        <v>999999997.6500001</v>
      </c>
      <c r="D7">
        <v>12878781.510000009</v>
      </c>
      <c r="E7">
        <v>16692848.519999992</v>
      </c>
      <c r="F7">
        <v>29571630.030000001</v>
      </c>
      <c r="G7">
        <v>0.18290910187146314</v>
      </c>
    </row>
    <row r="8" spans="1:7">
      <c r="A8">
        <v>38</v>
      </c>
      <c r="B8" t="s">
        <v>742</v>
      </c>
      <c r="C8">
        <v>999999996.75000012</v>
      </c>
      <c r="D8">
        <v>13682490.239999989</v>
      </c>
      <c r="E8">
        <v>13503526.900000012</v>
      </c>
      <c r="F8">
        <v>27186017.140000001</v>
      </c>
      <c r="G8">
        <v>0.15053313575833305</v>
      </c>
    </row>
    <row r="9" spans="1:7">
      <c r="A9">
        <v>38</v>
      </c>
      <c r="B9" t="s">
        <v>743</v>
      </c>
      <c r="C9">
        <v>999999997.4000001</v>
      </c>
      <c r="D9">
        <v>13211478.119999997</v>
      </c>
      <c r="E9">
        <v>16184488.810000002</v>
      </c>
      <c r="F9">
        <v>29395966.93</v>
      </c>
      <c r="G9">
        <v>0.17782553189681738</v>
      </c>
    </row>
    <row r="10" spans="1:7">
      <c r="A10">
        <v>38</v>
      </c>
      <c r="B10" t="s">
        <v>744</v>
      </c>
      <c r="C10">
        <v>999999977.96000004</v>
      </c>
      <c r="D10">
        <v>13262543.270000014</v>
      </c>
      <c r="E10">
        <v>16278904.209999986</v>
      </c>
      <c r="F10">
        <v>29541447.48</v>
      </c>
      <c r="G10">
        <v>0.17877187068324063</v>
      </c>
    </row>
    <row r="11" spans="1:7">
      <c r="A11">
        <v>38</v>
      </c>
      <c r="B11" t="s">
        <v>745</v>
      </c>
      <c r="C11">
        <v>999999995.70000005</v>
      </c>
      <c r="D11">
        <v>13446052.159999993</v>
      </c>
      <c r="E11">
        <v>18154861.640000008</v>
      </c>
      <c r="F11">
        <v>31600913.800000001</v>
      </c>
      <c r="G11">
        <v>0.19736900258936274</v>
      </c>
    </row>
    <row r="12" spans="1:7">
      <c r="A12">
        <v>38</v>
      </c>
      <c r="B12" t="s">
        <v>746</v>
      </c>
      <c r="C12">
        <v>999999981.95999992</v>
      </c>
      <c r="D12">
        <v>13599419.18999999</v>
      </c>
      <c r="E12">
        <v>16834208.940000009</v>
      </c>
      <c r="F12">
        <v>30433628.129999999</v>
      </c>
      <c r="G12">
        <v>0.18431757219282974</v>
      </c>
    </row>
    <row r="13" spans="1:7">
      <c r="A13">
        <v>38</v>
      </c>
      <c r="B13" t="s">
        <v>747</v>
      </c>
      <c r="C13">
        <v>999530391.04999995</v>
      </c>
      <c r="D13">
        <v>15340390.180000013</v>
      </c>
      <c r="E13">
        <v>11711911.979999987</v>
      </c>
      <c r="F13">
        <v>27052302.16</v>
      </c>
      <c r="G13">
        <v>0.13189209194135831</v>
      </c>
    </row>
    <row r="14" spans="1:7">
      <c r="A14">
        <v>38</v>
      </c>
      <c r="B14" t="s">
        <v>748</v>
      </c>
      <c r="C14">
        <v>999580049.78999984</v>
      </c>
      <c r="D14">
        <v>13793697.789999992</v>
      </c>
      <c r="E14">
        <v>11179253.250000007</v>
      </c>
      <c r="F14">
        <v>24972951.039999999</v>
      </c>
      <c r="G14">
        <v>0.12625222050776919</v>
      </c>
    </row>
    <row r="15" spans="1:7">
      <c r="A15">
        <v>38</v>
      </c>
      <c r="B15" t="s">
        <v>749</v>
      </c>
      <c r="C15">
        <v>972266109.06999993</v>
      </c>
      <c r="D15">
        <v>13666245.620000003</v>
      </c>
      <c r="E15">
        <v>11190638.689999996</v>
      </c>
      <c r="F15">
        <v>24856884.309999999</v>
      </c>
      <c r="G15">
        <v>0.12970168240960411</v>
      </c>
    </row>
    <row r="16" spans="1:7">
      <c r="A16">
        <v>38</v>
      </c>
      <c r="B16" t="s">
        <v>750</v>
      </c>
      <c r="C16">
        <v>944785206.33999991</v>
      </c>
      <c r="D16">
        <v>13428232.839999998</v>
      </c>
      <c r="E16">
        <v>6947345.4199999999</v>
      </c>
      <c r="F16">
        <v>20375578.259999998</v>
      </c>
      <c r="G16">
        <v>8.4757614431644979E-2</v>
      </c>
    </row>
    <row r="17" spans="1:7">
      <c r="A17">
        <v>38</v>
      </c>
      <c r="B17" t="s">
        <v>751</v>
      </c>
      <c r="C17">
        <v>921970706.56999993</v>
      </c>
      <c r="D17">
        <v>13481764.400000008</v>
      </c>
      <c r="E17">
        <v>15831286.419999992</v>
      </c>
      <c r="F17">
        <v>29313050.82</v>
      </c>
      <c r="G17">
        <v>0.18766564983211276</v>
      </c>
    </row>
    <row r="18" spans="1:7">
      <c r="A18">
        <v>38</v>
      </c>
      <c r="B18" t="s">
        <v>752</v>
      </c>
      <c r="C18">
        <v>890117850.68999994</v>
      </c>
      <c r="D18">
        <v>12996695.209999992</v>
      </c>
      <c r="E18">
        <v>12787144.970000008</v>
      </c>
      <c r="F18">
        <v>25783840.18</v>
      </c>
      <c r="G18">
        <v>0.15939914586898651</v>
      </c>
    </row>
    <row r="19" spans="1:7">
      <c r="A19">
        <v>38</v>
      </c>
      <c r="B19" t="s">
        <v>753</v>
      </c>
      <c r="C19">
        <v>861730634.76999998</v>
      </c>
      <c r="D19">
        <v>13076882.809999999</v>
      </c>
      <c r="E19">
        <v>11073015.120000001</v>
      </c>
      <c r="F19">
        <v>24149897.93</v>
      </c>
      <c r="G19">
        <v>0.14375279322232148</v>
      </c>
    </row>
    <row r="20" spans="1:7">
      <c r="A20">
        <v>38</v>
      </c>
      <c r="B20" t="s">
        <v>754</v>
      </c>
      <c r="C20">
        <v>835033301.61999989</v>
      </c>
      <c r="D20">
        <v>12399426.809999995</v>
      </c>
      <c r="E20">
        <v>11845408.980000004</v>
      </c>
      <c r="F20">
        <v>24244835.789999999</v>
      </c>
      <c r="G20">
        <v>0.15755386541545702</v>
      </c>
    </row>
    <row r="21" spans="1:7">
      <c r="A21">
        <v>38</v>
      </c>
      <c r="B21" t="s">
        <v>755</v>
      </c>
      <c r="C21">
        <v>808209422.54999983</v>
      </c>
      <c r="D21">
        <v>12178434.680000002</v>
      </c>
      <c r="E21">
        <v>10913314.139999999</v>
      </c>
      <c r="F21">
        <v>23091748.82</v>
      </c>
      <c r="G21">
        <v>0.15052848737645041</v>
      </c>
    </row>
    <row r="22" spans="1:7">
      <c r="A22">
        <v>38</v>
      </c>
      <c r="B22" t="s">
        <v>756</v>
      </c>
      <c r="C22">
        <v>782196586.9599998</v>
      </c>
      <c r="D22">
        <v>12151252.310000004</v>
      </c>
      <c r="E22">
        <v>10400103.579999996</v>
      </c>
      <c r="F22">
        <v>22551355.890000001</v>
      </c>
      <c r="G22">
        <v>0.14838648388545306</v>
      </c>
    </row>
    <row r="23" spans="1:7">
      <c r="A23">
        <v>38</v>
      </c>
      <c r="B23" t="s">
        <v>757</v>
      </c>
      <c r="C23">
        <v>757456618.61999977</v>
      </c>
      <c r="D23">
        <v>11862521.130000001</v>
      </c>
      <c r="E23">
        <v>11399724.4</v>
      </c>
      <c r="F23">
        <v>23262245.530000001</v>
      </c>
      <c r="G23">
        <v>0.16637602122129302</v>
      </c>
    </row>
    <row r="24" spans="1:7">
      <c r="A24">
        <v>38</v>
      </c>
      <c r="B24" t="s">
        <v>758</v>
      </c>
      <c r="C24">
        <v>731399238.9599998</v>
      </c>
      <c r="D24">
        <v>11731053.269999994</v>
      </c>
      <c r="E24">
        <v>9605072.5200000051</v>
      </c>
      <c r="F24">
        <v>21336125.789999999</v>
      </c>
      <c r="G24">
        <v>0.14669092618638835</v>
      </c>
    </row>
    <row r="25" spans="1:7">
      <c r="A25">
        <v>38</v>
      </c>
      <c r="B25" t="s">
        <v>759</v>
      </c>
      <c r="C25">
        <v>707906332.37999988</v>
      </c>
      <c r="D25">
        <v>11354152.690000005</v>
      </c>
      <c r="E25">
        <v>8141008.599999995</v>
      </c>
      <c r="F25">
        <v>19495161.289999999</v>
      </c>
      <c r="G25">
        <v>0.12959887243422585</v>
      </c>
    </row>
    <row r="26" spans="1:7">
      <c r="A26">
        <v>38</v>
      </c>
      <c r="B26" t="s">
        <v>760</v>
      </c>
      <c r="C26">
        <v>686245897.63999987</v>
      </c>
      <c r="D26">
        <v>11574922.919999996</v>
      </c>
      <c r="E26">
        <v>9370823.7400000039</v>
      </c>
      <c r="F26">
        <v>20945746.66</v>
      </c>
      <c r="G26">
        <v>0.15209905080930552</v>
      </c>
    </row>
    <row r="27" spans="1:7">
      <c r="A27">
        <v>38</v>
      </c>
      <c r="B27" t="s">
        <v>1041</v>
      </c>
      <c r="C27">
        <v>663524217.88999987</v>
      </c>
      <c r="D27">
        <v>11095809.889999997</v>
      </c>
      <c r="E27">
        <v>6434692.9600000037</v>
      </c>
      <c r="F27">
        <v>17530502.850000001</v>
      </c>
      <c r="G27">
        <v>0.11036229382667007</v>
      </c>
    </row>
    <row r="28" spans="1:7">
      <c r="A28">
        <v>38</v>
      </c>
      <c r="B28" t="s">
        <v>1042</v>
      </c>
      <c r="C28">
        <v>643878808.3299998</v>
      </c>
      <c r="D28">
        <v>10824002.309999999</v>
      </c>
      <c r="E28">
        <v>4234187.7800000021</v>
      </c>
      <c r="F28">
        <v>15058190.09</v>
      </c>
      <c r="G28">
        <v>7.6120262481757184E-2</v>
      </c>
    </row>
    <row r="29" spans="1:7">
      <c r="A29">
        <v>38</v>
      </c>
      <c r="B29" t="s">
        <v>1628</v>
      </c>
      <c r="C29">
        <v>626981831.49999988</v>
      </c>
      <c r="D29">
        <v>11233842.549999997</v>
      </c>
      <c r="E29">
        <v>8106944.2200000025</v>
      </c>
      <c r="F29">
        <v>19340786.77</v>
      </c>
      <c r="G29">
        <v>0.14458896385233955</v>
      </c>
    </row>
    <row r="30" spans="1:7">
      <c r="A30">
        <v>38</v>
      </c>
      <c r="B30" t="s">
        <v>1629</v>
      </c>
      <c r="C30">
        <v>605593470.43999994</v>
      </c>
      <c r="D30">
        <v>10657546.860000003</v>
      </c>
      <c r="E30">
        <v>6148915.4999999972</v>
      </c>
      <c r="F30">
        <v>16806462.359999999</v>
      </c>
      <c r="G30">
        <v>0.1152633288123287</v>
      </c>
    </row>
    <row r="31" spans="1:7">
      <c r="A31">
        <v>38</v>
      </c>
      <c r="B31" t="s">
        <v>1630</v>
      </c>
      <c r="C31">
        <v>586759359.30999994</v>
      </c>
      <c r="D31">
        <v>10440973.470000003</v>
      </c>
      <c r="E31">
        <v>6038610.5999999987</v>
      </c>
      <c r="F31">
        <v>16479584.07</v>
      </c>
      <c r="G31">
        <v>0.11674152843620667</v>
      </c>
    </row>
    <row r="32" spans="1:7">
      <c r="A32">
        <v>38</v>
      </c>
      <c r="B32" t="s">
        <v>1631</v>
      </c>
      <c r="C32">
        <v>568467527.35000002</v>
      </c>
      <c r="D32">
        <v>10352758.200000003</v>
      </c>
      <c r="E32">
        <v>6905244.0199999949</v>
      </c>
      <c r="F32">
        <v>17258002.219999999</v>
      </c>
      <c r="G32">
        <v>0.13641073113290836</v>
      </c>
    </row>
    <row r="33" spans="1:7">
      <c r="A33">
        <v>38</v>
      </c>
      <c r="B33" t="s">
        <v>1632</v>
      </c>
      <c r="C33">
        <v>549072459.42000008</v>
      </c>
      <c r="D33">
        <v>10245999.360000001</v>
      </c>
      <c r="E33">
        <v>6762647.2699999977</v>
      </c>
      <c r="F33">
        <v>17008646.629999999</v>
      </c>
      <c r="G33">
        <v>0.13818585349579282</v>
      </c>
    </row>
    <row r="34" spans="1:7">
      <c r="A34">
        <v>38</v>
      </c>
      <c r="B34" t="s">
        <v>1633</v>
      </c>
      <c r="C34">
        <v>530411090.53000003</v>
      </c>
      <c r="D34">
        <v>9884900.6100000031</v>
      </c>
      <c r="E34">
        <v>6033684.4699999979</v>
      </c>
      <c r="F34">
        <v>15918585.08</v>
      </c>
      <c r="G34">
        <v>0.12828103343464037</v>
      </c>
    </row>
    <row r="35" spans="1:7">
      <c r="A35">
        <v>38</v>
      </c>
      <c r="B35" t="s">
        <v>761</v>
      </c>
      <c r="C35">
        <v>512919477.87</v>
      </c>
      <c r="D35">
        <v>9641104.0900000073</v>
      </c>
      <c r="E35">
        <v>7017080.1599999936</v>
      </c>
      <c r="F35">
        <v>16658184.25</v>
      </c>
      <c r="G35">
        <v>0.15236173309588297</v>
      </c>
    </row>
    <row r="36" spans="1:7">
      <c r="A36">
        <v>38</v>
      </c>
      <c r="B36" t="s">
        <v>1634</v>
      </c>
      <c r="C36">
        <v>493866831.41000003</v>
      </c>
      <c r="D36">
        <v>9680978.1300000027</v>
      </c>
      <c r="E36">
        <v>5047183.5799999963</v>
      </c>
      <c r="F36">
        <v>14728161.709999999</v>
      </c>
      <c r="G36">
        <v>0.11597299521746207</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649</v>
      </c>
      <c r="B1" t="s">
        <v>650</v>
      </c>
      <c r="C1" t="s">
        <v>424</v>
      </c>
      <c r="D1" t="s">
        <v>267</v>
      </c>
      <c r="E1" t="s">
        <v>651</v>
      </c>
      <c r="F1" t="s">
        <v>420</v>
      </c>
      <c r="G1" t="s">
        <v>243</v>
      </c>
      <c r="H1" t="s">
        <v>652</v>
      </c>
      <c r="I1" t="s">
        <v>418</v>
      </c>
      <c r="J1" t="s">
        <v>653</v>
      </c>
      <c r="K1" t="s">
        <v>419</v>
      </c>
      <c r="L1" t="s">
        <v>421</v>
      </c>
      <c r="M1" t="s">
        <v>609</v>
      </c>
      <c r="N1" t="s">
        <v>1036</v>
      </c>
      <c r="O1" t="s">
        <v>1037</v>
      </c>
      <c r="P1" t="s">
        <v>1038</v>
      </c>
      <c r="Q1" t="s">
        <v>1039</v>
      </c>
      <c r="R1" t="s">
        <v>654</v>
      </c>
      <c r="S1" t="s">
        <v>655</v>
      </c>
    </row>
    <row r="2" spans="1:19">
      <c r="A2">
        <v>38</v>
      </c>
      <c r="B2" t="s">
        <v>103</v>
      </c>
      <c r="C2" t="s">
        <v>1635</v>
      </c>
      <c r="D2" t="s">
        <v>1636</v>
      </c>
      <c r="E2" t="s">
        <v>1637</v>
      </c>
      <c r="F2" t="s">
        <v>1638</v>
      </c>
      <c r="G2" t="s">
        <v>1639</v>
      </c>
      <c r="H2" t="s">
        <v>1640</v>
      </c>
      <c r="I2" t="s">
        <v>400</v>
      </c>
      <c r="J2" t="s">
        <v>401</v>
      </c>
      <c r="K2" t="s">
        <v>401</v>
      </c>
      <c r="L2" t="s">
        <v>1641</v>
      </c>
      <c r="M2" t="s">
        <v>1642</v>
      </c>
      <c r="N2" t="s">
        <v>1643</v>
      </c>
      <c r="O2" t="s">
        <v>1643</v>
      </c>
      <c r="P2" t="s">
        <v>1644</v>
      </c>
      <c r="Q2" t="s">
        <v>1641</v>
      </c>
      <c r="S2" t="s">
        <v>1393</v>
      </c>
    </row>
    <row r="3" spans="1:19">
      <c r="A3">
        <v>38</v>
      </c>
      <c r="B3" t="s">
        <v>463</v>
      </c>
      <c r="C3" t="s">
        <v>1645</v>
      </c>
      <c r="D3" t="s">
        <v>1646</v>
      </c>
      <c r="E3" t="s">
        <v>1647</v>
      </c>
      <c r="F3" t="s">
        <v>1638</v>
      </c>
      <c r="G3" t="s">
        <v>1641</v>
      </c>
      <c r="H3" t="s">
        <v>1648</v>
      </c>
      <c r="I3" t="s">
        <v>1648</v>
      </c>
      <c r="J3" t="s">
        <v>1649</v>
      </c>
      <c r="K3" t="s">
        <v>1649</v>
      </c>
      <c r="L3" t="s">
        <v>1641</v>
      </c>
      <c r="M3" t="s">
        <v>1650</v>
      </c>
      <c r="N3" t="s">
        <v>1651</v>
      </c>
      <c r="O3" t="s">
        <v>1651</v>
      </c>
      <c r="P3" t="s">
        <v>1652</v>
      </c>
      <c r="Q3" t="s">
        <v>1641</v>
      </c>
      <c r="S3" t="s">
        <v>1393</v>
      </c>
    </row>
    <row r="4" spans="1:19">
      <c r="A4">
        <v>38</v>
      </c>
      <c r="B4" t="s">
        <v>466</v>
      </c>
      <c r="C4" t="s">
        <v>1645</v>
      </c>
      <c r="D4" t="s">
        <v>35</v>
      </c>
      <c r="E4" t="s">
        <v>1647</v>
      </c>
      <c r="F4" t="s">
        <v>1638</v>
      </c>
      <c r="G4" t="s">
        <v>1641</v>
      </c>
      <c r="H4" t="s">
        <v>35</v>
      </c>
      <c r="I4" t="s">
        <v>1648</v>
      </c>
      <c r="J4" t="s">
        <v>35</v>
      </c>
      <c r="K4" t="s">
        <v>1649</v>
      </c>
      <c r="L4" t="s">
        <v>1641</v>
      </c>
      <c r="M4" t="s">
        <v>35</v>
      </c>
      <c r="N4" t="s">
        <v>1651</v>
      </c>
      <c r="O4" t="s">
        <v>1651</v>
      </c>
      <c r="P4" t="s">
        <v>1652</v>
      </c>
      <c r="Q4" t="s">
        <v>1641</v>
      </c>
      <c r="S4" t="s">
        <v>1393</v>
      </c>
    </row>
    <row r="5" spans="1:19">
      <c r="A5">
        <v>38</v>
      </c>
      <c r="B5" t="s">
        <v>260</v>
      </c>
      <c r="C5" t="s">
        <v>35</v>
      </c>
      <c r="D5" t="s">
        <v>35</v>
      </c>
      <c r="E5" t="s">
        <v>35</v>
      </c>
      <c r="F5" t="s">
        <v>35</v>
      </c>
      <c r="G5" t="s">
        <v>35</v>
      </c>
      <c r="H5" t="s">
        <v>35</v>
      </c>
      <c r="I5" t="s">
        <v>35</v>
      </c>
      <c r="J5" t="s">
        <v>35</v>
      </c>
      <c r="K5" t="s">
        <v>35</v>
      </c>
      <c r="L5" t="s">
        <v>35</v>
      </c>
      <c r="M5" t="s">
        <v>1653</v>
      </c>
      <c r="N5" t="s">
        <v>35</v>
      </c>
      <c r="O5" t="s">
        <v>35</v>
      </c>
      <c r="P5" t="s">
        <v>35</v>
      </c>
      <c r="Q5" t="s">
        <v>35</v>
      </c>
      <c r="S5" t="s">
        <v>1393</v>
      </c>
    </row>
    <row r="6" spans="1:19">
      <c r="A6">
        <v>38</v>
      </c>
      <c r="B6" t="s">
        <v>430</v>
      </c>
      <c r="C6" t="s">
        <v>35</v>
      </c>
      <c r="D6" t="s">
        <v>35</v>
      </c>
      <c r="E6" t="s">
        <v>35</v>
      </c>
      <c r="F6" t="s">
        <v>35</v>
      </c>
      <c r="G6" t="s">
        <v>35</v>
      </c>
      <c r="H6" t="s">
        <v>35</v>
      </c>
      <c r="I6" t="s">
        <v>35</v>
      </c>
      <c r="J6" t="s">
        <v>35</v>
      </c>
      <c r="K6" t="s">
        <v>35</v>
      </c>
      <c r="L6" t="s">
        <v>35</v>
      </c>
      <c r="M6" t="s">
        <v>1653</v>
      </c>
      <c r="N6" t="s">
        <v>35</v>
      </c>
      <c r="O6" t="s">
        <v>35</v>
      </c>
      <c r="P6" t="s">
        <v>35</v>
      </c>
      <c r="Q6" t="s">
        <v>35</v>
      </c>
      <c r="S6" t="s">
        <v>1393</v>
      </c>
    </row>
    <row r="7" spans="1:19">
      <c r="A7">
        <v>38</v>
      </c>
      <c r="B7" t="s">
        <v>1664</v>
      </c>
      <c r="C7" t="s">
        <v>1665</v>
      </c>
      <c r="D7" t="s">
        <v>1666</v>
      </c>
      <c r="E7" t="s">
        <v>1667</v>
      </c>
      <c r="F7" t="s">
        <v>1668</v>
      </c>
      <c r="G7" t="s">
        <v>1669</v>
      </c>
      <c r="H7" t="s">
        <v>1670</v>
      </c>
      <c r="I7" t="s">
        <v>1671</v>
      </c>
      <c r="J7" t="s">
        <v>1672</v>
      </c>
      <c r="K7" t="s">
        <v>1673</v>
      </c>
      <c r="L7" t="s">
        <v>1674</v>
      </c>
      <c r="M7" t="s">
        <v>1675</v>
      </c>
      <c r="N7" t="s">
        <v>1676</v>
      </c>
      <c r="O7" t="s">
        <v>1677</v>
      </c>
      <c r="P7" t="s">
        <v>1678</v>
      </c>
      <c r="Q7" t="s">
        <v>1679</v>
      </c>
      <c r="R7" t="s">
        <v>1680</v>
      </c>
      <c r="S7" t="s">
        <v>1393</v>
      </c>
    </row>
    <row r="8" spans="1:19">
      <c r="A8">
        <v>38</v>
      </c>
      <c r="B8" t="s">
        <v>196</v>
      </c>
      <c r="C8" t="s">
        <v>1654</v>
      </c>
      <c r="D8" t="s">
        <v>1655</v>
      </c>
      <c r="E8" t="s">
        <v>1647</v>
      </c>
      <c r="F8" t="s">
        <v>35</v>
      </c>
      <c r="G8" t="s">
        <v>1641</v>
      </c>
      <c r="H8" t="s">
        <v>35</v>
      </c>
      <c r="I8" t="s">
        <v>400</v>
      </c>
      <c r="J8" t="s">
        <v>401</v>
      </c>
      <c r="K8" t="s">
        <v>401</v>
      </c>
      <c r="L8" t="s">
        <v>1641</v>
      </c>
      <c r="M8" t="s">
        <v>1642</v>
      </c>
      <c r="N8" t="s">
        <v>35</v>
      </c>
      <c r="O8" t="s">
        <v>35</v>
      </c>
      <c r="P8" t="s">
        <v>35</v>
      </c>
      <c r="Q8" t="s">
        <v>35</v>
      </c>
      <c r="S8" t="s">
        <v>1393</v>
      </c>
    </row>
    <row r="9" spans="1:19">
      <c r="A9">
        <v>38</v>
      </c>
      <c r="B9" t="s">
        <v>109</v>
      </c>
      <c r="C9" t="s">
        <v>1635</v>
      </c>
      <c r="D9" t="s">
        <v>1636</v>
      </c>
      <c r="E9" t="s">
        <v>1637</v>
      </c>
      <c r="F9" t="s">
        <v>1638</v>
      </c>
      <c r="G9" t="s">
        <v>1639</v>
      </c>
      <c r="H9" t="s">
        <v>1640</v>
      </c>
      <c r="I9" t="s">
        <v>400</v>
      </c>
      <c r="J9" t="s">
        <v>401</v>
      </c>
      <c r="K9" t="s">
        <v>401</v>
      </c>
      <c r="L9" t="s">
        <v>1641</v>
      </c>
      <c r="M9" t="s">
        <v>35</v>
      </c>
      <c r="N9" t="s">
        <v>35</v>
      </c>
      <c r="O9" t="s">
        <v>35</v>
      </c>
      <c r="P9" t="s">
        <v>35</v>
      </c>
      <c r="Q9" t="s">
        <v>35</v>
      </c>
      <c r="S9" t="s">
        <v>1393</v>
      </c>
    </row>
    <row r="10" spans="1:19">
      <c r="A10">
        <v>38</v>
      </c>
      <c r="B10" t="s">
        <v>256</v>
      </c>
      <c r="C10" t="s">
        <v>1654</v>
      </c>
      <c r="D10" t="s">
        <v>1655</v>
      </c>
      <c r="E10" t="s">
        <v>1647</v>
      </c>
      <c r="F10" t="s">
        <v>1638</v>
      </c>
      <c r="G10" t="s">
        <v>1641</v>
      </c>
      <c r="H10" t="s">
        <v>400</v>
      </c>
      <c r="I10" t="s">
        <v>1656</v>
      </c>
      <c r="J10" t="s">
        <v>401</v>
      </c>
      <c r="K10" t="s">
        <v>401</v>
      </c>
      <c r="L10" t="s">
        <v>1641</v>
      </c>
      <c r="M10" t="s">
        <v>1657</v>
      </c>
      <c r="N10" t="s">
        <v>1643</v>
      </c>
      <c r="O10" t="s">
        <v>1643</v>
      </c>
      <c r="P10" t="s">
        <v>1644</v>
      </c>
      <c r="Q10" t="s">
        <v>1641</v>
      </c>
      <c r="S10" t="s">
        <v>1393</v>
      </c>
    </row>
    <row r="11" spans="1:19">
      <c r="A11">
        <v>38</v>
      </c>
      <c r="B11" t="s">
        <v>594</v>
      </c>
      <c r="C11" t="s">
        <v>1654</v>
      </c>
      <c r="D11" t="s">
        <v>1636</v>
      </c>
      <c r="E11" t="s">
        <v>1647</v>
      </c>
      <c r="F11" t="s">
        <v>1638</v>
      </c>
      <c r="G11" t="s">
        <v>1639</v>
      </c>
      <c r="H11" t="s">
        <v>400</v>
      </c>
      <c r="I11" t="s">
        <v>1656</v>
      </c>
      <c r="J11" t="s">
        <v>401</v>
      </c>
      <c r="K11" t="s">
        <v>606</v>
      </c>
      <c r="L11" t="s">
        <v>1641</v>
      </c>
      <c r="M11" t="s">
        <v>1657</v>
      </c>
      <c r="N11" t="s">
        <v>35</v>
      </c>
      <c r="O11" t="s">
        <v>35</v>
      </c>
      <c r="P11" t="s">
        <v>35</v>
      </c>
      <c r="Q11" t="s">
        <v>35</v>
      </c>
      <c r="S11" t="s">
        <v>1393</v>
      </c>
    </row>
    <row r="12" spans="1:19">
      <c r="A12">
        <v>38</v>
      </c>
      <c r="B12" t="s">
        <v>574</v>
      </c>
      <c r="C12" t="s">
        <v>1393</v>
      </c>
      <c r="D12" t="s">
        <v>1393</v>
      </c>
      <c r="E12" t="s">
        <v>1393</v>
      </c>
      <c r="F12" t="s">
        <v>1393</v>
      </c>
      <c r="G12" t="s">
        <v>1393</v>
      </c>
      <c r="H12" t="s">
        <v>1393</v>
      </c>
      <c r="I12" t="s">
        <v>1393</v>
      </c>
      <c r="J12" t="s">
        <v>1393</v>
      </c>
      <c r="K12" t="s">
        <v>1393</v>
      </c>
      <c r="L12" t="s">
        <v>1393</v>
      </c>
      <c r="M12" t="s">
        <v>1393</v>
      </c>
      <c r="N12" t="s">
        <v>1393</v>
      </c>
      <c r="O12" t="s">
        <v>1393</v>
      </c>
      <c r="P12" t="s">
        <v>1393</v>
      </c>
      <c r="Q12" t="s">
        <v>1393</v>
      </c>
      <c r="S12" t="s">
        <v>1658</v>
      </c>
    </row>
    <row r="13" spans="1:19">
      <c r="A13">
        <v>38</v>
      </c>
      <c r="B13" t="s">
        <v>575</v>
      </c>
      <c r="C13" t="s">
        <v>1393</v>
      </c>
      <c r="D13" t="s">
        <v>1393</v>
      </c>
      <c r="E13" t="s">
        <v>1393</v>
      </c>
      <c r="F13" t="s">
        <v>1393</v>
      </c>
      <c r="G13" t="s">
        <v>1393</v>
      </c>
      <c r="H13" t="s">
        <v>1393</v>
      </c>
      <c r="I13" t="s">
        <v>1393</v>
      </c>
      <c r="J13" t="s">
        <v>1393</v>
      </c>
      <c r="K13" t="s">
        <v>1393</v>
      </c>
      <c r="L13" t="s">
        <v>1393</v>
      </c>
      <c r="M13" t="s">
        <v>1393</v>
      </c>
      <c r="N13" t="s">
        <v>1393</v>
      </c>
      <c r="O13" t="s">
        <v>1393</v>
      </c>
      <c r="P13" t="s">
        <v>1393</v>
      </c>
      <c r="Q13" t="s">
        <v>1393</v>
      </c>
      <c r="S13" t="s">
        <v>1659</v>
      </c>
    </row>
    <row r="14" spans="1:19">
      <c r="A14">
        <v>38</v>
      </c>
      <c r="B14" t="s">
        <v>576</v>
      </c>
      <c r="C14" t="s">
        <v>1393</v>
      </c>
      <c r="D14" t="s">
        <v>1393</v>
      </c>
      <c r="E14" t="s">
        <v>1393</v>
      </c>
      <c r="F14" t="s">
        <v>1393</v>
      </c>
      <c r="G14" t="s">
        <v>1393</v>
      </c>
      <c r="H14" t="s">
        <v>1393</v>
      </c>
      <c r="I14" t="s">
        <v>1393</v>
      </c>
      <c r="J14" t="s">
        <v>1393</v>
      </c>
      <c r="K14" t="s">
        <v>1393</v>
      </c>
      <c r="L14" t="s">
        <v>1393</v>
      </c>
      <c r="M14" t="s">
        <v>1393</v>
      </c>
      <c r="N14" t="s">
        <v>1393</v>
      </c>
      <c r="O14" t="s">
        <v>1393</v>
      </c>
      <c r="P14" t="s">
        <v>1393</v>
      </c>
      <c r="Q14" t="s">
        <v>1393</v>
      </c>
      <c r="S14" t="s">
        <v>1660</v>
      </c>
    </row>
    <row r="15" spans="1:19">
      <c r="A15">
        <v>38</v>
      </c>
      <c r="B15" t="s">
        <v>577</v>
      </c>
      <c r="C15" t="s">
        <v>1393</v>
      </c>
      <c r="D15" t="s">
        <v>1393</v>
      </c>
      <c r="E15" t="s">
        <v>1393</v>
      </c>
      <c r="F15" t="s">
        <v>1393</v>
      </c>
      <c r="G15" t="s">
        <v>1393</v>
      </c>
      <c r="H15" t="s">
        <v>1393</v>
      </c>
      <c r="I15" t="s">
        <v>1393</v>
      </c>
      <c r="J15" t="s">
        <v>1393</v>
      </c>
      <c r="K15" t="s">
        <v>1393</v>
      </c>
      <c r="L15" t="s">
        <v>1393</v>
      </c>
      <c r="M15" t="s">
        <v>1393</v>
      </c>
      <c r="N15" t="s">
        <v>1393</v>
      </c>
      <c r="O15" t="s">
        <v>1393</v>
      </c>
      <c r="P15" t="s">
        <v>1393</v>
      </c>
      <c r="Q15" t="s">
        <v>1393</v>
      </c>
      <c r="S15" t="s">
        <v>1661</v>
      </c>
    </row>
    <row r="16" spans="1:19">
      <c r="A16">
        <v>38</v>
      </c>
      <c r="B16" t="s">
        <v>578</v>
      </c>
      <c r="C16" t="s">
        <v>1393</v>
      </c>
      <c r="D16" t="s">
        <v>1393</v>
      </c>
      <c r="E16" t="s">
        <v>1393</v>
      </c>
      <c r="F16" t="s">
        <v>1393</v>
      </c>
      <c r="G16" t="s">
        <v>1393</v>
      </c>
      <c r="H16" t="s">
        <v>1393</v>
      </c>
      <c r="I16" t="s">
        <v>1393</v>
      </c>
      <c r="J16" t="s">
        <v>1393</v>
      </c>
      <c r="K16" t="s">
        <v>1393</v>
      </c>
      <c r="L16" t="s">
        <v>1393</v>
      </c>
      <c r="M16" t="s">
        <v>1393</v>
      </c>
      <c r="N16" t="s">
        <v>1393</v>
      </c>
      <c r="O16" t="s">
        <v>1393</v>
      </c>
      <c r="P16" t="s">
        <v>1393</v>
      </c>
      <c r="Q16" t="s">
        <v>1393</v>
      </c>
      <c r="S16" t="s">
        <v>1662</v>
      </c>
    </row>
    <row r="17" spans="1:19">
      <c r="A17">
        <v>38</v>
      </c>
      <c r="B17" t="s">
        <v>579</v>
      </c>
      <c r="C17" t="s">
        <v>1393</v>
      </c>
      <c r="D17" t="s">
        <v>1393</v>
      </c>
      <c r="E17" t="s">
        <v>1393</v>
      </c>
      <c r="F17" t="s">
        <v>1393</v>
      </c>
      <c r="G17" t="s">
        <v>1393</v>
      </c>
      <c r="H17" t="s">
        <v>1393</v>
      </c>
      <c r="I17" t="s">
        <v>1393</v>
      </c>
      <c r="J17" t="s">
        <v>1393</v>
      </c>
      <c r="K17" t="s">
        <v>1393</v>
      </c>
      <c r="L17" t="s">
        <v>1393</v>
      </c>
      <c r="M17" t="s">
        <v>1393</v>
      </c>
      <c r="N17" t="s">
        <v>1393</v>
      </c>
      <c r="O17" t="s">
        <v>1393</v>
      </c>
      <c r="P17" t="s">
        <v>1393</v>
      </c>
      <c r="Q17" t="s">
        <v>1393</v>
      </c>
      <c r="S17" t="s">
        <v>1663</v>
      </c>
    </row>
    <row r="18" spans="1:19">
      <c r="A18">
        <v>38</v>
      </c>
      <c r="B18" t="s">
        <v>580</v>
      </c>
      <c r="C18" t="s">
        <v>1393</v>
      </c>
      <c r="D18" t="s">
        <v>1393</v>
      </c>
      <c r="E18" t="s">
        <v>1393</v>
      </c>
      <c r="F18" t="s">
        <v>1393</v>
      </c>
      <c r="G18" t="s">
        <v>1393</v>
      </c>
      <c r="H18" t="s">
        <v>1393</v>
      </c>
      <c r="I18" t="s">
        <v>1393</v>
      </c>
      <c r="J18" t="s">
        <v>1393</v>
      </c>
      <c r="K18" t="s">
        <v>1393</v>
      </c>
      <c r="L18" t="s">
        <v>1393</v>
      </c>
      <c r="M18" t="s">
        <v>1393</v>
      </c>
      <c r="N18" t="s">
        <v>1393</v>
      </c>
      <c r="O18" t="s">
        <v>1393</v>
      </c>
      <c r="P18" t="s">
        <v>1393</v>
      </c>
      <c r="Q18" t="s">
        <v>1393</v>
      </c>
      <c r="S18" t="s">
        <v>1393</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tr">
        <f>'Cover Sheet'!B2</f>
        <v>SC Germany Consumer 2022-1</v>
      </c>
      <c r="C2" s="104"/>
      <c r="D2" s="106" t="str">
        <f>'Cover Sheet'!D2</f>
        <v>Calculation Date</v>
      </c>
      <c r="E2" s="107"/>
      <c r="F2" s="108">
        <f>'Cover Sheet'!F2</f>
        <v>45911</v>
      </c>
      <c r="G2" s="107"/>
      <c r="H2" s="107"/>
      <c r="I2" s="107"/>
      <c r="J2" s="109"/>
      <c r="K2" s="110"/>
      <c r="L2" s="134"/>
    </row>
    <row r="3" spans="1:13" ht="18">
      <c r="A3" s="103"/>
      <c r="B3" s="104" t="str">
        <f>'Cover Sheet'!B3</f>
        <v>Monthly Investor Report</v>
      </c>
      <c r="C3" s="104"/>
      <c r="D3" s="112" t="str">
        <f>'Cover Sheet'!D3</f>
        <v>Payment Date</v>
      </c>
      <c r="E3" s="113"/>
      <c r="F3" s="114">
        <f>'Cover Sheet'!F3</f>
        <v>45915</v>
      </c>
      <c r="G3" s="113"/>
      <c r="H3" s="113"/>
      <c r="I3" s="113"/>
      <c r="J3" s="115"/>
      <c r="K3" s="110"/>
      <c r="L3" s="135"/>
    </row>
    <row r="4" spans="1:13" ht="13">
      <c r="A4" s="103"/>
      <c r="B4" s="116"/>
      <c r="C4" s="158"/>
      <c r="D4" s="112" t="str">
        <f>'Cover Sheet'!D4</f>
        <v>Period  No</v>
      </c>
      <c r="E4" s="113"/>
      <c r="F4" s="117">
        <f>'Cover Sheet'!F4</f>
        <v>35</v>
      </c>
      <c r="G4" s="113"/>
      <c r="H4" s="118"/>
      <c r="I4" s="113"/>
      <c r="J4" s="119"/>
      <c r="K4" s="110"/>
      <c r="L4" s="134"/>
    </row>
    <row r="5" spans="1:13" ht="18">
      <c r="A5" s="103"/>
      <c r="B5" s="120" t="s">
        <v>44</v>
      </c>
      <c r="C5" s="120"/>
      <c r="D5" s="112" t="str">
        <f>'Cover Sheet'!D5</f>
        <v>Monthly Period</v>
      </c>
      <c r="E5" s="113"/>
      <c r="F5" s="121">
        <f>'Cover Sheet'!F5</f>
        <v>45915</v>
      </c>
      <c r="G5" s="113"/>
      <c r="H5" s="118"/>
      <c r="I5" s="113"/>
      <c r="J5" s="119"/>
      <c r="K5" s="110"/>
      <c r="L5" s="135"/>
    </row>
    <row r="6" spans="1:13" s="102" customFormat="1" ht="15" customHeight="1">
      <c r="A6" s="103"/>
      <c r="B6" s="122"/>
      <c r="C6" s="111"/>
      <c r="D6" s="112" t="str">
        <f>'Cover Sheet'!D6</f>
        <v>Interest Period</v>
      </c>
      <c r="E6" s="123" t="str">
        <f>'Cover Sheet'!E6</f>
        <v>from</v>
      </c>
      <c r="F6" s="114">
        <f>'Cover Sheet'!F6</f>
        <v>45883</v>
      </c>
      <c r="G6" s="123" t="str">
        <f>'Cover Sheet'!G6</f>
        <v>to</v>
      </c>
      <c r="H6" s="114">
        <f>'Cover Sheet'!H6</f>
        <v>45915</v>
      </c>
      <c r="I6" s="123" t="str">
        <f>'Cover Sheet'!I6</f>
        <v>=</v>
      </c>
      <c r="J6" s="124" t="str">
        <f>'Cover Sheet'!J6</f>
        <v>32 days</v>
      </c>
      <c r="K6" s="125"/>
      <c r="M6" s="126"/>
    </row>
    <row r="7" spans="1:13" ht="13">
      <c r="A7" s="103"/>
      <c r="D7" s="127" t="str">
        <f>'Cover Sheet'!D7</f>
        <v>Collection Period</v>
      </c>
      <c r="E7" s="128" t="str">
        <f>'Cover Sheet'!E7</f>
        <v>from</v>
      </c>
      <c r="F7" s="129" t="str">
        <f>'Cover Sheet'!F7</f>
        <v>01.08.2025</v>
      </c>
      <c r="G7" s="128" t="str">
        <f>'Cover Sheet'!G7</f>
        <v>to</v>
      </c>
      <c r="H7" s="129">
        <f>'Cover Sheet'!H7</f>
        <v>45900</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71"/>
      <c r="F13" s="133"/>
      <c r="K13" s="110"/>
    </row>
    <row r="14" spans="1:13">
      <c r="A14" s="103"/>
      <c r="D14" s="872"/>
      <c r="K14" s="110"/>
    </row>
    <row r="15" spans="1:13">
      <c r="A15" s="103"/>
      <c r="D15" s="872"/>
      <c r="K15" s="110"/>
    </row>
    <row r="16" spans="1:13">
      <c r="A16" s="103"/>
      <c r="D16" s="872"/>
      <c r="K16" s="110"/>
    </row>
    <row r="17" spans="1:11" ht="18">
      <c r="A17" s="103"/>
      <c r="B17" s="104" t="s">
        <v>11</v>
      </c>
      <c r="D17" s="872"/>
      <c r="F17" s="133"/>
      <c r="K17" s="110"/>
    </row>
    <row r="18" spans="1:11" ht="13">
      <c r="A18" s="103"/>
      <c r="B18" s="142" t="s">
        <v>179</v>
      </c>
      <c r="C18" s="136" t="s">
        <v>8</v>
      </c>
      <c r="D18" s="871"/>
      <c r="F18" s="135" t="s">
        <v>42</v>
      </c>
      <c r="K18" s="110"/>
    </row>
    <row r="19" spans="1:11">
      <c r="A19" s="103"/>
      <c r="B19" s="105" t="s">
        <v>13</v>
      </c>
      <c r="C19" s="873">
        <f>IF(ISNUMBER('5. Outstanding Notes'!C27),D19/'5. Outstanding Notes'!C27,"")</f>
        <v>2.4832819103809019E-2</v>
      </c>
      <c r="D19" s="874">
        <f>VLOOKUP("Liquidity_Reserve_bop",calcdata_22,2,FALSE)</f>
        <v>12655445.01</v>
      </c>
      <c r="F19" s="133"/>
      <c r="K19" s="110"/>
    </row>
    <row r="20" spans="1:11">
      <c r="A20" s="103"/>
      <c r="B20" s="105" t="s">
        <v>79</v>
      </c>
      <c r="D20" s="874">
        <f>VLOOKUP("Liquidity_Reserve_cashout",calcdata_22,2,FALSE)</f>
        <v>12655445.01</v>
      </c>
      <c r="F20" s="133"/>
      <c r="K20" s="110"/>
    </row>
    <row r="21" spans="1:11">
      <c r="A21" s="103"/>
      <c r="B21" s="105" t="s">
        <v>404</v>
      </c>
      <c r="D21" s="874">
        <f>MAX(0,(D19-D25))</f>
        <v>19445.009999999776</v>
      </c>
      <c r="F21" s="133"/>
      <c r="K21" s="110"/>
    </row>
    <row r="22" spans="1:11">
      <c r="A22" s="103"/>
      <c r="D22" s="874"/>
      <c r="F22" s="133"/>
      <c r="K22" s="110"/>
    </row>
    <row r="23" spans="1:11">
      <c r="A23" s="103"/>
      <c r="B23" s="105" t="s">
        <v>80</v>
      </c>
      <c r="D23" s="874">
        <f>VLOOKUP("Liquidity_Reserve_cashin",calcdata_22,2,FALSE)</f>
        <v>12636000</v>
      </c>
      <c r="F23" s="133"/>
      <c r="K23" s="110"/>
    </row>
    <row r="24" spans="1:11">
      <c r="A24" s="103"/>
      <c r="B24" s="105" t="s">
        <v>14</v>
      </c>
      <c r="C24" s="873">
        <f>IF(ISNUMBER(D24),D24/'5. Outstanding Notes'!C33,"")</f>
        <v>2.5558442696969771E-2</v>
      </c>
      <c r="D24" s="874">
        <f>VLOOKUP("Liquidity_Reserve_eop",calcdata_22,2,FALSE)</f>
        <v>12636000</v>
      </c>
      <c r="F24" s="133"/>
      <c r="K24" s="110"/>
    </row>
    <row r="25" spans="1:11">
      <c r="A25" s="103"/>
      <c r="B25" s="105" t="s">
        <v>325</v>
      </c>
      <c r="C25" s="873">
        <f>IF(ISNUMBER(D25),D25/'5. Outstanding Notes'!C33,"")</f>
        <v>2.5558442696969771E-2</v>
      </c>
      <c r="D25" s="874">
        <f>VLOOKUP("Liquidity_Reserve_fund",calcdata_22,2,FALSE)</f>
        <v>12636000</v>
      </c>
      <c r="F25" s="133"/>
      <c r="K25" s="110"/>
    </row>
    <row r="26" spans="1:11">
      <c r="A26" s="103"/>
      <c r="D26" s="872"/>
      <c r="F26" s="133"/>
      <c r="K26" s="110"/>
    </row>
    <row r="27" spans="1:11" s="958" customFormat="1" ht="13">
      <c r="A27" s="103"/>
      <c r="B27" s="59" t="s">
        <v>10</v>
      </c>
      <c r="C27" s="570" t="s">
        <v>8</v>
      </c>
      <c r="D27" s="893"/>
      <c r="E27" s="102"/>
      <c r="F27" s="959" t="str">
        <f>VLOOKUP("Com_Reserve_Trigger",calcdata_22,4,0)</f>
        <v>no</v>
      </c>
      <c r="K27" s="110"/>
    </row>
    <row r="28" spans="1:11" s="958" customFormat="1">
      <c r="A28" s="103"/>
      <c r="B28" s="102" t="s">
        <v>13</v>
      </c>
      <c r="C28" s="804" t="str">
        <f>IF(AND(ISNUMBER('5. Outstanding Notes'!C27),ISNUMBER(D28)),D28/'5. Outstanding Notes'!C27,"")</f>
        <v/>
      </c>
      <c r="D28" s="874" t="str">
        <f>VLOOKUP("Com_Reserve_bop",calcdata_22,4,0)</f>
        <v>n/a</v>
      </c>
      <c r="E28" s="102"/>
      <c r="F28" s="82"/>
      <c r="K28" s="110"/>
    </row>
    <row r="29" spans="1:11" s="958" customFormat="1">
      <c r="A29" s="103"/>
      <c r="B29" s="102" t="s">
        <v>79</v>
      </c>
      <c r="C29" s="804"/>
      <c r="D29" s="874" t="str">
        <f>VLOOKUP("Com_Reserve_cashout",calcdata_22,4,0)</f>
        <v>n/a</v>
      </c>
      <c r="E29" s="102"/>
      <c r="F29" s="82"/>
      <c r="K29" s="110"/>
    </row>
    <row r="30" spans="1:11" s="958" customFormat="1">
      <c r="A30" s="103"/>
      <c r="B30" s="102" t="s">
        <v>327</v>
      </c>
      <c r="C30" s="804"/>
      <c r="D30" s="874"/>
      <c r="E30" s="102"/>
      <c r="F30" s="82"/>
      <c r="K30" s="110"/>
    </row>
    <row r="31" spans="1:11" s="958" customFormat="1">
      <c r="A31" s="103"/>
      <c r="B31" s="102" t="s">
        <v>366</v>
      </c>
      <c r="C31" s="804"/>
      <c r="D31" s="874"/>
      <c r="E31" s="102"/>
      <c r="F31" s="82"/>
      <c r="K31" s="110"/>
    </row>
    <row r="32" spans="1:11" s="958" customFormat="1">
      <c r="A32" s="103"/>
      <c r="B32" s="102" t="s">
        <v>80</v>
      </c>
      <c r="C32" s="804"/>
      <c r="D32" s="874" t="str">
        <f>VLOOKUP("Com_Reserve_cashin",calcdata_22,4,0)</f>
        <v>n/a</v>
      </c>
      <c r="E32" s="102"/>
      <c r="F32" s="82"/>
      <c r="K32" s="110"/>
    </row>
    <row r="33" spans="1:11" s="958" customFormat="1">
      <c r="A33" s="103"/>
      <c r="B33" s="102" t="s">
        <v>14</v>
      </c>
      <c r="C33" s="804" t="str">
        <f>IF(AND(ISNUMBER('5. Outstanding Notes'!C33),ISNUMBER(D33)),D33/'5. Outstanding Notes'!C33,"")</f>
        <v/>
      </c>
      <c r="D33" s="874" t="str">
        <f>VLOOKUP("Com_Reserve_eop",calcdata_22,4,0)</f>
        <v>n/a</v>
      </c>
      <c r="E33" s="102"/>
      <c r="F33" s="82"/>
      <c r="K33" s="110"/>
    </row>
    <row r="34" spans="1:11" s="958" customFormat="1">
      <c r="A34" s="103"/>
      <c r="B34" s="102" t="s">
        <v>326</v>
      </c>
      <c r="C34" s="804"/>
      <c r="D34" s="874">
        <f>VLOOKUP("Com_Reserve_required",calcdata_22,2,0)</f>
        <v>0</v>
      </c>
      <c r="E34" s="102"/>
      <c r="F34" s="82"/>
      <c r="K34" s="110"/>
    </row>
    <row r="35" spans="1:11" s="958" customFormat="1">
      <c r="A35" s="103"/>
      <c r="B35" s="960"/>
      <c r="C35" s="102"/>
      <c r="D35" s="961"/>
      <c r="E35" s="102"/>
      <c r="F35" s="82"/>
      <c r="K35" s="110"/>
    </row>
    <row r="36" spans="1:11" s="958" customFormat="1" ht="13">
      <c r="A36" s="103"/>
      <c r="B36" s="59" t="s">
        <v>167</v>
      </c>
      <c r="C36" s="570" t="s">
        <v>8</v>
      </c>
      <c r="D36" s="896"/>
      <c r="E36" s="102"/>
      <c r="F36" s="959" t="str">
        <f>VLOOKUP("Setoff_Reserve_Trigger",calcdata_22,4,0)</f>
        <v>no</v>
      </c>
      <c r="K36" s="110"/>
    </row>
    <row r="37" spans="1:11" s="958" customFormat="1">
      <c r="A37" s="103"/>
      <c r="B37" s="102" t="s">
        <v>13</v>
      </c>
      <c r="C37" s="804" t="str">
        <f>IF(AND(ISNUMBER('5. Outstanding Notes'!C27),ISNUMBER(D37)),D37/'5. Outstanding Notes'!C27,"")</f>
        <v/>
      </c>
      <c r="D37" s="874" t="str">
        <f>VLOOKUP("Setoff_Reserve_bop",calcdata_22,4,0)</f>
        <v>n/a</v>
      </c>
      <c r="E37" s="102"/>
      <c r="F37" s="875"/>
      <c r="K37" s="110"/>
    </row>
    <row r="38" spans="1:11" s="958" customFormat="1">
      <c r="A38" s="103"/>
      <c r="B38" s="102" t="s">
        <v>79</v>
      </c>
      <c r="C38" s="102"/>
      <c r="D38" s="874" t="str">
        <f>VLOOKUP("Setoff_Reserve_cashout",calcdata_22,4,0)</f>
        <v>n/a</v>
      </c>
      <c r="E38" s="102"/>
      <c r="F38" s="139"/>
      <c r="K38" s="110"/>
    </row>
    <row r="39" spans="1:11" s="958" customFormat="1">
      <c r="A39" s="103"/>
      <c r="B39" s="102" t="s">
        <v>364</v>
      </c>
      <c r="C39" s="102"/>
      <c r="D39" s="874"/>
      <c r="E39" s="102"/>
      <c r="F39" s="139"/>
      <c r="K39" s="110"/>
    </row>
    <row r="40" spans="1:11" s="958" customFormat="1">
      <c r="A40" s="103"/>
      <c r="B40" s="102" t="s">
        <v>365</v>
      </c>
      <c r="C40" s="102"/>
      <c r="D40" s="874"/>
      <c r="E40" s="102"/>
      <c r="F40" s="139"/>
      <c r="K40" s="110"/>
    </row>
    <row r="41" spans="1:11" s="958" customFormat="1">
      <c r="A41" s="103"/>
      <c r="B41" s="102" t="s">
        <v>80</v>
      </c>
      <c r="C41" s="102"/>
      <c r="D41" s="874" t="str">
        <f>VLOOKUP("Setoff_Reserve_cashin",calcdata_22,4,0)</f>
        <v>n/a</v>
      </c>
      <c r="E41" s="102"/>
      <c r="F41" s="139"/>
      <c r="K41" s="110"/>
    </row>
    <row r="42" spans="1:11" s="958" customFormat="1">
      <c r="A42" s="103"/>
      <c r="B42" s="102" t="s">
        <v>14</v>
      </c>
      <c r="C42" s="804" t="str">
        <f>IF(AND(ISNUMBER('5. Outstanding Notes'!C33),ISNUMBER(D42)),D42/'5. Outstanding Notes'!C33,"")</f>
        <v/>
      </c>
      <c r="D42" s="874" t="str">
        <f>VLOOKUP("Setoff_Reserve_eop",calcdata_22,4,0)</f>
        <v>n/a</v>
      </c>
      <c r="E42" s="102"/>
      <c r="F42" s="139"/>
      <c r="K42" s="110"/>
    </row>
    <row r="43" spans="1:11" s="958" customFormat="1">
      <c r="A43" s="103"/>
      <c r="B43" s="102" t="s">
        <v>423</v>
      </c>
      <c r="C43" s="804"/>
      <c r="D43" s="874">
        <f>VLOOKUP("Setoff_Reserve_required",calcdata_22,2,0)</f>
        <v>0</v>
      </c>
      <c r="E43" s="102"/>
      <c r="F43" s="139"/>
      <c r="K43" s="110"/>
    </row>
    <row r="44" spans="1:11" s="958" customFormat="1">
      <c r="A44" s="103"/>
      <c r="B44" s="102"/>
      <c r="C44" s="102"/>
      <c r="D44" s="896"/>
      <c r="E44" s="102"/>
      <c r="F44" s="139"/>
      <c r="K44" s="110"/>
    </row>
    <row r="45" spans="1:11" s="958" customFormat="1">
      <c r="A45" s="103"/>
      <c r="B45" s="102" t="s">
        <v>454</v>
      </c>
      <c r="C45" s="102"/>
      <c r="D45" s="874"/>
      <c r="E45" s="102"/>
      <c r="F45" s="139"/>
      <c r="K45" s="110"/>
    </row>
    <row r="46" spans="1:11" s="958" customFormat="1">
      <c r="A46" s="103"/>
      <c r="D46" s="872"/>
      <c r="F46" s="133"/>
      <c r="K46" s="110"/>
    </row>
    <row r="47" spans="1:11" s="958" customFormat="1">
      <c r="A47" s="103"/>
      <c r="D47" s="872"/>
      <c r="F47" s="133"/>
      <c r="K47" s="110"/>
    </row>
    <row r="48" spans="1:11">
      <c r="A48" s="146"/>
      <c r="B48" s="148"/>
      <c r="C48" s="148"/>
      <c r="D48" s="148"/>
      <c r="E48" s="148"/>
      <c r="F48" s="148"/>
      <c r="G48" s="148"/>
      <c r="H48" s="148"/>
      <c r="I48" s="148"/>
      <c r="J48" s="148"/>
      <c r="K48" s="149"/>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754"/>
      <c r="M1" s="237"/>
    </row>
    <row r="2" spans="1:13" ht="18">
      <c r="A2" s="239"/>
      <c r="B2" s="240" t="str">
        <f>'Cover Sheet'!B2</f>
        <v>SC Germany Consumer 2022-1</v>
      </c>
      <c r="C2" s="240"/>
      <c r="D2" s="241" t="str">
        <f>'Cover Sheet'!D2</f>
        <v>Calculation Date</v>
      </c>
      <c r="E2" s="242"/>
      <c r="F2" s="243">
        <f>'Cover Sheet'!F2</f>
        <v>45911</v>
      </c>
      <c r="G2" s="242"/>
      <c r="H2" s="242"/>
      <c r="I2" s="242"/>
      <c r="J2" s="242"/>
      <c r="K2" s="242"/>
      <c r="L2" s="244"/>
      <c r="M2" s="314"/>
    </row>
    <row r="3" spans="1:13" ht="18">
      <c r="A3" s="239"/>
      <c r="B3" s="240" t="str">
        <f>'Cover Sheet'!B3</f>
        <v>Monthly Investor Report</v>
      </c>
      <c r="C3" s="240"/>
      <c r="D3" s="248" t="str">
        <f>'Cover Sheet'!D3</f>
        <v>Payment Date</v>
      </c>
      <c r="E3" s="249"/>
      <c r="F3" s="250">
        <f>'Cover Sheet'!F3</f>
        <v>45915</v>
      </c>
      <c r="G3" s="249"/>
      <c r="H3" s="249"/>
      <c r="I3" s="249"/>
      <c r="J3" s="249"/>
      <c r="K3" s="249"/>
      <c r="L3" s="251"/>
      <c r="M3" s="314"/>
    </row>
    <row r="4" spans="1:13">
      <c r="A4" s="239"/>
      <c r="B4" s="850"/>
      <c r="C4" s="328"/>
      <c r="D4" s="248" t="str">
        <f>'Cover Sheet'!D4</f>
        <v>Period  No</v>
      </c>
      <c r="E4" s="249"/>
      <c r="F4" s="254">
        <f>'Cover Sheet'!F4</f>
        <v>35</v>
      </c>
      <c r="G4" s="249"/>
      <c r="H4" s="255"/>
      <c r="I4" s="249"/>
      <c r="J4" s="260"/>
      <c r="K4" s="249"/>
      <c r="L4" s="256"/>
      <c r="M4" s="314"/>
    </row>
    <row r="5" spans="1:13" ht="18">
      <c r="A5" s="239"/>
      <c r="B5" s="329" t="s">
        <v>232</v>
      </c>
      <c r="C5" s="329"/>
      <c r="D5" s="248" t="str">
        <f>'Cover Sheet'!D5</f>
        <v>Monthly Period</v>
      </c>
      <c r="E5" s="249"/>
      <c r="F5" s="121">
        <f>'Cover Sheet'!F5</f>
        <v>45915</v>
      </c>
      <c r="G5" s="249"/>
      <c r="H5" s="255"/>
      <c r="I5" s="249"/>
      <c r="J5" s="260"/>
      <c r="K5" s="249"/>
      <c r="L5" s="256"/>
      <c r="M5" s="314"/>
    </row>
    <row r="6" spans="1:13" s="247" customFormat="1" ht="15" customHeight="1">
      <c r="A6" s="239"/>
      <c r="B6" s="258"/>
      <c r="C6" s="330"/>
      <c r="D6" s="248" t="str">
        <f>'Cover Sheet'!D6</f>
        <v>Interest Period</v>
      </c>
      <c r="E6" s="260" t="s">
        <v>34</v>
      </c>
      <c r="F6" s="250">
        <f>'Cover Sheet'!F6</f>
        <v>45883</v>
      </c>
      <c r="G6" s="260" t="str">
        <f>'Cover Sheet'!G6</f>
        <v>to</v>
      </c>
      <c r="H6" s="250">
        <f>'Cover Sheet'!H6</f>
        <v>45915</v>
      </c>
      <c r="I6" s="260" t="str">
        <f>'Cover Sheet'!I6</f>
        <v>=</v>
      </c>
      <c r="J6" s="816" t="str">
        <f>'Cover Sheet'!J6</f>
        <v>32 days</v>
      </c>
      <c r="K6" s="260"/>
      <c r="L6" s="372"/>
      <c r="M6" s="817"/>
    </row>
    <row r="7" spans="1:13">
      <c r="A7" s="239"/>
      <c r="D7" s="689" t="str">
        <f>'Cover Sheet'!D7</f>
        <v>Collection Period</v>
      </c>
      <c r="E7" s="690" t="s">
        <v>34</v>
      </c>
      <c r="F7" s="264" t="str">
        <f>'Cover Sheet'!F7</f>
        <v>01.08.2025</v>
      </c>
      <c r="G7" s="690" t="str">
        <f>'Cover Sheet'!G7</f>
        <v>to</v>
      </c>
      <c r="H7" s="264">
        <f>'Cover Sheet'!H7</f>
        <v>45900</v>
      </c>
      <c r="I7" s="265"/>
      <c r="J7" s="265"/>
      <c r="K7" s="265"/>
      <c r="L7" s="266"/>
      <c r="M7" s="314"/>
    </row>
    <row r="8" spans="1:13" ht="13">
      <c r="A8" s="239"/>
      <c r="D8" s="818"/>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H13" s="25"/>
      <c r="I13" s="25"/>
      <c r="J13" s="275"/>
      <c r="K13" s="25"/>
      <c r="L13" s="25"/>
      <c r="M13" s="314"/>
    </row>
    <row r="14" spans="1:13">
      <c r="A14" s="239"/>
      <c r="D14" s="820"/>
      <c r="H14" s="25"/>
      <c r="I14" s="25"/>
      <c r="J14" s="25"/>
      <c r="K14" s="25"/>
      <c r="L14" s="25"/>
      <c r="M14" s="314"/>
    </row>
    <row r="15" spans="1:13">
      <c r="A15" s="239"/>
      <c r="D15" s="820"/>
      <c r="H15" s="25"/>
      <c r="I15" s="25"/>
      <c r="J15" s="25"/>
      <c r="K15" s="25"/>
      <c r="L15" s="25"/>
      <c r="M15" s="314"/>
    </row>
    <row r="16" spans="1:13">
      <c r="A16" s="239"/>
      <c r="D16" s="821"/>
      <c r="H16" s="25"/>
      <c r="I16" s="25"/>
      <c r="J16" s="25"/>
      <c r="K16" s="25"/>
      <c r="L16" s="25"/>
      <c r="M16" s="314"/>
    </row>
    <row r="17" spans="1:23" ht="18">
      <c r="A17" s="239"/>
      <c r="B17" s="275" t="s">
        <v>170</v>
      </c>
      <c r="C17" s="822"/>
      <c r="D17" s="823"/>
      <c r="E17" s="823"/>
      <c r="F17" s="805"/>
      <c r="G17" s="805"/>
      <c r="H17" s="862"/>
      <c r="J17" s="823"/>
      <c r="K17" s="25"/>
      <c r="L17" s="823"/>
      <c r="M17" s="314"/>
    </row>
    <row r="18" spans="1:23" ht="18">
      <c r="A18" s="239"/>
      <c r="B18" s="240"/>
      <c r="C18" s="822"/>
      <c r="D18" s="822"/>
      <c r="E18" s="822"/>
      <c r="F18" s="819"/>
      <c r="G18" s="819"/>
      <c r="H18" s="822"/>
      <c r="J18" s="823"/>
      <c r="K18" s="25"/>
      <c r="L18" s="25"/>
      <c r="M18" s="314"/>
    </row>
    <row r="19" spans="1:23" ht="13.5" thickBot="1">
      <c r="A19" s="239"/>
      <c r="B19" s="863"/>
      <c r="K19" s="739"/>
      <c r="L19" s="800"/>
      <c r="M19" s="314"/>
    </row>
    <row r="20" spans="1:23" ht="15" thickBot="1">
      <c r="A20" s="239"/>
      <c r="B20" s="992" t="s">
        <v>110</v>
      </c>
      <c r="C20" s="992" t="s">
        <v>428</v>
      </c>
      <c r="D20" s="998" t="s">
        <v>246</v>
      </c>
      <c r="E20" s="999"/>
      <c r="F20" s="999"/>
      <c r="G20" s="1000"/>
      <c r="H20" s="992" t="s">
        <v>247</v>
      </c>
      <c r="I20" s="998" t="s">
        <v>246</v>
      </c>
      <c r="J20" s="999"/>
      <c r="K20" s="999"/>
      <c r="L20" s="1000"/>
      <c r="M20" s="827"/>
      <c r="O20" s="828"/>
      <c r="P20" s="25"/>
      <c r="Q20" s="829"/>
      <c r="R20" s="830"/>
      <c r="S20" s="830"/>
      <c r="T20" s="25"/>
      <c r="U20" s="25"/>
      <c r="V20" s="739"/>
      <c r="W20" s="831"/>
    </row>
    <row r="21" spans="1:23" ht="14.5">
      <c r="A21" s="239"/>
      <c r="B21" s="997"/>
      <c r="C21" s="997"/>
      <c r="D21" s="864" t="s">
        <v>248</v>
      </c>
      <c r="E21" s="864" t="s">
        <v>249</v>
      </c>
      <c r="F21" s="864" t="s">
        <v>250</v>
      </c>
      <c r="G21" s="865" t="s">
        <v>251</v>
      </c>
      <c r="H21" s="997"/>
      <c r="I21" s="864" t="s">
        <v>248</v>
      </c>
      <c r="J21" s="864" t="s">
        <v>249</v>
      </c>
      <c r="K21" s="864" t="s">
        <v>250</v>
      </c>
      <c r="L21" s="865" t="s">
        <v>251</v>
      </c>
      <c r="M21" s="314"/>
      <c r="N21" s="25"/>
      <c r="O21" s="25"/>
      <c r="P21" s="25"/>
      <c r="Q21" s="829"/>
      <c r="R21" s="830"/>
      <c r="S21" s="829"/>
      <c r="T21" s="25"/>
      <c r="U21" s="694"/>
      <c r="V21" s="25"/>
      <c r="W21" s="25"/>
    </row>
    <row r="22" spans="1:23" ht="13">
      <c r="A22" s="239"/>
      <c r="B22" s="866">
        <v>1</v>
      </c>
      <c r="C22" s="903">
        <f t="shared" ref="C22:C53" si="0">IF(B22&lt;=$F$4,VLOOKUP(CONCATENATE("delinquency_",$B22),delinquencies,2,FALSE),"")</f>
        <v>999999987.09000003</v>
      </c>
      <c r="D22" s="904">
        <f t="shared" ref="D22:D53" si="1">IF(B22&lt;=$F$4,VLOOKUP(CONCATENATE("delinquency_",$B22),delinquencies,3,FALSE),"")</f>
        <v>0</v>
      </c>
      <c r="E22" s="904">
        <f t="shared" ref="E22:E53" si="2">IF(B22&lt;=$F$4,VLOOKUP(CONCATENATE("delinquency_",$B22),delinquencies,4,FALSE),"")</f>
        <v>0</v>
      </c>
      <c r="F22" s="904">
        <f t="shared" ref="F22:F53" si="3">IF(B22&lt;=$F$4,VLOOKUP(CONCATENATE("delinquency_",$B22),delinquencies,5,FALSE),"")</f>
        <v>0</v>
      </c>
      <c r="G22" s="904">
        <f t="shared" ref="G22:G53" si="4">IF(B22&lt;=$F$4,VLOOKUP(CONCATENATE("delinquency_",$B22),delinquencies,6,FALSE),"")</f>
        <v>0</v>
      </c>
      <c r="H22" s="867">
        <f>IF(B22&lt;=$F$4,(C22-D22-E22-F22-G22)/C22,"")</f>
        <v>1</v>
      </c>
      <c r="I22" s="868">
        <f>IF($B22&lt;=$F$4,D22/$C22,"")</f>
        <v>0</v>
      </c>
      <c r="J22" s="868">
        <f t="shared" ref="J22:L22" si="5">IF($B22&lt;=$F$4,E22/$C22,"")</f>
        <v>0</v>
      </c>
      <c r="K22" s="868">
        <f t="shared" si="5"/>
        <v>0</v>
      </c>
      <c r="L22" s="869">
        <f t="shared" si="5"/>
        <v>0</v>
      </c>
      <c r="M22" s="314"/>
      <c r="N22" s="25"/>
      <c r="O22" s="25"/>
      <c r="P22" s="25"/>
      <c r="Q22" s="829"/>
      <c r="R22" s="830"/>
      <c r="S22" s="829"/>
      <c r="T22" s="25"/>
      <c r="U22" s="694"/>
      <c r="V22" s="25"/>
      <c r="W22" s="25"/>
    </row>
    <row r="23" spans="1:23" ht="13">
      <c r="A23" s="239"/>
      <c r="B23" s="419">
        <v>2</v>
      </c>
      <c r="C23" s="905">
        <f t="shared" si="0"/>
        <v>999999994.49000001</v>
      </c>
      <c r="D23" s="901">
        <f t="shared" si="1"/>
        <v>641380.18999999994</v>
      </c>
      <c r="E23" s="901">
        <f t="shared" si="2"/>
        <v>1894731.03</v>
      </c>
      <c r="F23" s="901">
        <f t="shared" si="3"/>
        <v>844156.63</v>
      </c>
      <c r="G23" s="901">
        <f t="shared" si="4"/>
        <v>61173.599999999999</v>
      </c>
      <c r="H23" s="510">
        <f t="shared" ref="H23:H86" si="6">IF(B23&lt;=$F$4,(C23-D23-E23-F23-G23)/C23,"")</f>
        <v>0.99655855853103759</v>
      </c>
      <c r="I23" s="224">
        <f t="shared" ref="I23:I86" si="7">IF($B23&lt;=$F$4,D23/$C23,"")</f>
        <v>6.4138019353400478E-4</v>
      </c>
      <c r="J23" s="224">
        <f t="shared" ref="J23:J86" si="8">IF($B23&lt;=$F$4,E23/$C23,"")</f>
        <v>1.894731040439968E-3</v>
      </c>
      <c r="K23" s="224">
        <f t="shared" ref="K23:K86" si="9">IF($B23&lt;=$F$4,F23/$C23,"")</f>
        <v>8.4415663465130307E-4</v>
      </c>
      <c r="L23" s="870">
        <f t="shared" ref="L23:L86" si="10">IF($B23&lt;=$F$4,G23/$C23,"")</f>
        <v>6.1173600337066536E-5</v>
      </c>
      <c r="M23" s="314"/>
      <c r="N23" s="25"/>
      <c r="O23" s="835"/>
      <c r="P23" s="25"/>
      <c r="Q23" s="829"/>
      <c r="R23" s="830"/>
      <c r="S23" s="830"/>
      <c r="T23" s="25"/>
      <c r="U23" s="25"/>
      <c r="V23" s="25"/>
      <c r="W23" s="25"/>
    </row>
    <row r="24" spans="1:23" ht="13">
      <c r="A24" s="239"/>
      <c r="B24" s="419">
        <v>3</v>
      </c>
      <c r="C24" s="905">
        <f t="shared" si="0"/>
        <v>999999997.66999996</v>
      </c>
      <c r="D24" s="901">
        <f t="shared" si="1"/>
        <v>2165080.7799999998</v>
      </c>
      <c r="E24" s="901">
        <f t="shared" si="2"/>
        <v>1060540.6299999999</v>
      </c>
      <c r="F24" s="901">
        <f t="shared" si="3"/>
        <v>2578767.3199999998</v>
      </c>
      <c r="G24" s="901">
        <f t="shared" si="4"/>
        <v>725701.01</v>
      </c>
      <c r="H24" s="510">
        <f t="shared" si="6"/>
        <v>0.99346991024478493</v>
      </c>
      <c r="I24" s="224">
        <f t="shared" si="7"/>
        <v>2.165080785044638E-3</v>
      </c>
      <c r="J24" s="224">
        <f t="shared" si="8"/>
        <v>1.0605406324710597E-3</v>
      </c>
      <c r="K24" s="224">
        <f t="shared" si="9"/>
        <v>2.5787673260085279E-3</v>
      </c>
      <c r="L24" s="870">
        <f t="shared" si="10"/>
        <v>7.2570101169088343E-4</v>
      </c>
      <c r="M24" s="836"/>
      <c r="Q24" s="829"/>
      <c r="R24" s="837"/>
      <c r="S24" s="837"/>
      <c r="U24" s="25"/>
      <c r="V24" s="739"/>
      <c r="W24" s="800"/>
    </row>
    <row r="25" spans="1:23" ht="13">
      <c r="A25" s="239"/>
      <c r="B25" s="419">
        <v>4</v>
      </c>
      <c r="C25" s="905">
        <f t="shared" si="0"/>
        <v>999999994</v>
      </c>
      <c r="D25" s="901">
        <f t="shared" si="1"/>
        <v>1781232.01</v>
      </c>
      <c r="E25" s="901">
        <f t="shared" si="2"/>
        <v>2899036.17</v>
      </c>
      <c r="F25" s="901">
        <f t="shared" si="3"/>
        <v>795324.06</v>
      </c>
      <c r="G25" s="901">
        <f t="shared" si="4"/>
        <v>2634984.34</v>
      </c>
      <c r="H25" s="510">
        <f t="shared" si="6"/>
        <v>0.99188942337133656</v>
      </c>
      <c r="I25" s="224">
        <f t="shared" si="7"/>
        <v>1.7812320206873921E-3</v>
      </c>
      <c r="J25" s="224">
        <f t="shared" si="8"/>
        <v>2.8990361873942171E-3</v>
      </c>
      <c r="K25" s="224">
        <f t="shared" si="9"/>
        <v>7.9532406477194446E-4</v>
      </c>
      <c r="L25" s="870">
        <f t="shared" si="10"/>
        <v>2.6349843558099058E-3</v>
      </c>
      <c r="M25" s="827"/>
      <c r="N25" s="838"/>
      <c r="O25" s="800"/>
      <c r="P25" s="838"/>
      <c r="Q25" s="839"/>
      <c r="R25" s="840"/>
      <c r="S25" s="837"/>
      <c r="T25" s="838"/>
      <c r="U25" s="25"/>
      <c r="V25" s="739"/>
      <c r="W25" s="831"/>
    </row>
    <row r="26" spans="1:23" ht="13">
      <c r="A26" s="239"/>
      <c r="B26" s="419">
        <v>5</v>
      </c>
      <c r="C26" s="905">
        <f t="shared" si="0"/>
        <v>999999989.13999999</v>
      </c>
      <c r="D26" s="901">
        <f t="shared" si="1"/>
        <v>860512.44</v>
      </c>
      <c r="E26" s="901">
        <f t="shared" si="2"/>
        <v>2266862.75</v>
      </c>
      <c r="F26" s="901">
        <f t="shared" si="3"/>
        <v>2762908.48</v>
      </c>
      <c r="G26" s="901">
        <f t="shared" si="4"/>
        <v>4198265.92</v>
      </c>
      <c r="H26" s="510">
        <f t="shared" si="6"/>
        <v>0.98991145030043837</v>
      </c>
      <c r="I26" s="224">
        <f t="shared" si="7"/>
        <v>8.6051244934516515E-4</v>
      </c>
      <c r="J26" s="224">
        <f t="shared" si="8"/>
        <v>2.2668627746181298E-3</v>
      </c>
      <c r="K26" s="224">
        <f t="shared" si="9"/>
        <v>2.7629085100051866E-3</v>
      </c>
      <c r="L26" s="870">
        <f t="shared" si="10"/>
        <v>4.1982659655931684E-3</v>
      </c>
      <c r="M26" s="314"/>
      <c r="Q26" s="829"/>
      <c r="R26" s="830"/>
      <c r="S26" s="829"/>
      <c r="T26" s="25"/>
      <c r="U26" s="694"/>
      <c r="V26" s="25"/>
      <c r="W26" s="25"/>
    </row>
    <row r="27" spans="1:23" ht="13">
      <c r="A27" s="239"/>
      <c r="B27" s="419">
        <v>6</v>
      </c>
      <c r="C27" s="905">
        <f t="shared" si="0"/>
        <v>999999997.64999998</v>
      </c>
      <c r="D27" s="901">
        <f t="shared" si="1"/>
        <v>2543997.92</v>
      </c>
      <c r="E27" s="901">
        <f t="shared" si="2"/>
        <v>3376601.62</v>
      </c>
      <c r="F27" s="901">
        <f t="shared" si="3"/>
        <v>2436455.5099999998</v>
      </c>
      <c r="G27" s="901">
        <f t="shared" si="4"/>
        <v>2844720.69</v>
      </c>
      <c r="H27" s="510">
        <f t="shared" si="6"/>
        <v>0.9887982242336758</v>
      </c>
      <c r="I27" s="224">
        <f t="shared" si="7"/>
        <v>2.5439979259783952E-3</v>
      </c>
      <c r="J27" s="224">
        <f t="shared" si="8"/>
        <v>3.3766016279350142E-3</v>
      </c>
      <c r="K27" s="224">
        <f t="shared" si="9"/>
        <v>2.4364555157256702E-3</v>
      </c>
      <c r="L27" s="870">
        <f t="shared" si="10"/>
        <v>2.8447206966850935E-3</v>
      </c>
      <c r="M27" s="314"/>
      <c r="Q27" s="829"/>
      <c r="R27" s="830"/>
      <c r="S27" s="829"/>
      <c r="T27" s="25"/>
      <c r="U27" s="694"/>
      <c r="V27" s="25"/>
      <c r="W27" s="25"/>
    </row>
    <row r="28" spans="1:23" ht="13">
      <c r="A28" s="239"/>
      <c r="B28" s="419">
        <v>7</v>
      </c>
      <c r="C28" s="905">
        <f t="shared" si="0"/>
        <v>999999996.75</v>
      </c>
      <c r="D28" s="901">
        <f t="shared" si="1"/>
        <v>954864.9</v>
      </c>
      <c r="E28" s="901">
        <f t="shared" si="2"/>
        <v>5145832.87</v>
      </c>
      <c r="F28" s="901">
        <f t="shared" si="3"/>
        <v>2763720.24</v>
      </c>
      <c r="G28" s="901">
        <f t="shared" si="4"/>
        <v>2757097.57</v>
      </c>
      <c r="H28" s="510">
        <f t="shared" si="6"/>
        <v>0.98837848438223008</v>
      </c>
      <c r="I28" s="224">
        <f t="shared" si="7"/>
        <v>9.5486490310331092E-4</v>
      </c>
      <c r="J28" s="224">
        <f t="shared" si="8"/>
        <v>5.1458328867239568E-3</v>
      </c>
      <c r="K28" s="224">
        <f t="shared" si="9"/>
        <v>2.7637202489820909E-3</v>
      </c>
      <c r="L28" s="870">
        <f t="shared" si="10"/>
        <v>2.757097578960567E-3</v>
      </c>
      <c r="M28" s="314"/>
      <c r="O28" s="835"/>
      <c r="Q28" s="829"/>
      <c r="R28" s="837"/>
      <c r="S28" s="837"/>
      <c r="U28" s="25"/>
      <c r="V28" s="25"/>
      <c r="W28" s="25"/>
    </row>
    <row r="29" spans="1:23" ht="13">
      <c r="A29" s="239"/>
      <c r="B29" s="419">
        <v>8</v>
      </c>
      <c r="C29" s="905">
        <f t="shared" si="0"/>
        <v>999999997.39999998</v>
      </c>
      <c r="D29" s="901">
        <f t="shared" si="1"/>
        <v>2864134.06</v>
      </c>
      <c r="E29" s="901">
        <f t="shared" si="2"/>
        <v>3671378.04</v>
      </c>
      <c r="F29" s="901">
        <f t="shared" si="3"/>
        <v>2672979.02</v>
      </c>
      <c r="G29" s="901">
        <f t="shared" si="4"/>
        <v>3346589.7</v>
      </c>
      <c r="H29" s="510">
        <f t="shared" si="6"/>
        <v>0.98744491914735688</v>
      </c>
      <c r="I29" s="224">
        <f t="shared" si="7"/>
        <v>2.8641340674467487E-3</v>
      </c>
      <c r="J29" s="224">
        <f t="shared" si="8"/>
        <v>3.6713780495455832E-3</v>
      </c>
      <c r="K29" s="224">
        <f t="shared" si="9"/>
        <v>2.6729790269497456E-3</v>
      </c>
      <c r="L29" s="870">
        <f t="shared" si="10"/>
        <v>3.3465897087011334E-3</v>
      </c>
      <c r="M29" s="314"/>
      <c r="Q29" s="829"/>
      <c r="R29" s="837"/>
      <c r="S29" s="837"/>
      <c r="U29" s="25"/>
      <c r="V29" s="25"/>
      <c r="W29" s="25"/>
    </row>
    <row r="30" spans="1:23" ht="13">
      <c r="A30" s="239"/>
      <c r="B30" s="419">
        <v>9</v>
      </c>
      <c r="C30" s="905">
        <f t="shared" si="0"/>
        <v>999999977.96000004</v>
      </c>
      <c r="D30" s="901">
        <f t="shared" si="1"/>
        <v>1065451.69</v>
      </c>
      <c r="E30" s="901">
        <f t="shared" si="2"/>
        <v>3999926.34</v>
      </c>
      <c r="F30" s="901">
        <f t="shared" si="3"/>
        <v>3994959.29</v>
      </c>
      <c r="G30" s="901">
        <f t="shared" si="4"/>
        <v>5266748.99</v>
      </c>
      <c r="H30" s="510">
        <f t="shared" si="6"/>
        <v>0.98567291337423091</v>
      </c>
      <c r="I30" s="224">
        <f t="shared" si="7"/>
        <v>1.0654517134825556E-3</v>
      </c>
      <c r="J30" s="224">
        <f t="shared" si="8"/>
        <v>3.9999264281583785E-3</v>
      </c>
      <c r="K30" s="224">
        <f t="shared" si="9"/>
        <v>3.9949593780489049E-3</v>
      </c>
      <c r="L30" s="870">
        <f t="shared" si="10"/>
        <v>5.2667491060791501E-3</v>
      </c>
      <c r="M30" s="827"/>
      <c r="N30" s="838"/>
      <c r="O30" s="800"/>
      <c r="P30" s="838"/>
      <c r="Q30" s="841"/>
      <c r="R30" s="840"/>
      <c r="S30" s="837"/>
      <c r="T30" s="838"/>
      <c r="U30" s="800"/>
      <c r="V30" s="25"/>
      <c r="W30" s="25"/>
    </row>
    <row r="31" spans="1:23" ht="13">
      <c r="A31" s="239"/>
      <c r="B31" s="419">
        <v>10</v>
      </c>
      <c r="C31" s="905">
        <f t="shared" si="0"/>
        <v>999999995.70000005</v>
      </c>
      <c r="D31" s="901">
        <f t="shared" si="1"/>
        <v>3250747.46</v>
      </c>
      <c r="E31" s="901">
        <f t="shared" si="2"/>
        <v>1215052.8799999999</v>
      </c>
      <c r="F31" s="901">
        <f t="shared" si="3"/>
        <v>4064701.73</v>
      </c>
      <c r="G31" s="901">
        <f t="shared" si="4"/>
        <v>5563315.0599999996</v>
      </c>
      <c r="H31" s="510">
        <f t="shared" si="6"/>
        <v>0.98590618280939657</v>
      </c>
      <c r="I31" s="224">
        <f t="shared" si="7"/>
        <v>3.2507474739782139E-3</v>
      </c>
      <c r="J31" s="224">
        <f t="shared" si="8"/>
        <v>1.2150528852247272E-3</v>
      </c>
      <c r="K31" s="224">
        <f t="shared" si="9"/>
        <v>4.0647017474782169E-3</v>
      </c>
      <c r="L31" s="870">
        <f t="shared" si="10"/>
        <v>5.5633150839222538E-3</v>
      </c>
      <c r="M31" s="314"/>
      <c r="Q31" s="829"/>
      <c r="R31" s="830"/>
      <c r="S31" s="829"/>
      <c r="T31" s="25"/>
      <c r="U31" s="694"/>
      <c r="V31" s="25"/>
      <c r="W31" s="25"/>
    </row>
    <row r="32" spans="1:23" ht="13">
      <c r="A32" s="239"/>
      <c r="B32" s="419">
        <v>11</v>
      </c>
      <c r="C32" s="905">
        <f t="shared" si="0"/>
        <v>999999981.96000004</v>
      </c>
      <c r="D32" s="901">
        <f t="shared" si="1"/>
        <v>1111463.21</v>
      </c>
      <c r="E32" s="901">
        <f t="shared" si="2"/>
        <v>3290646.07</v>
      </c>
      <c r="F32" s="901">
        <f t="shared" si="3"/>
        <v>3538383</v>
      </c>
      <c r="G32" s="901">
        <f t="shared" si="4"/>
        <v>6510756</v>
      </c>
      <c r="H32" s="510">
        <f t="shared" si="6"/>
        <v>0.98554875145929943</v>
      </c>
      <c r="I32" s="224">
        <f t="shared" si="7"/>
        <v>1.1114632300507966E-3</v>
      </c>
      <c r="J32" s="224">
        <f t="shared" si="8"/>
        <v>3.2906461293632557E-3</v>
      </c>
      <c r="K32" s="224">
        <f t="shared" si="9"/>
        <v>3.5383830638324302E-3</v>
      </c>
      <c r="L32" s="870">
        <f t="shared" si="10"/>
        <v>6.5107561174540399E-3</v>
      </c>
      <c r="M32" s="314"/>
      <c r="Q32" s="829"/>
      <c r="R32" s="830"/>
      <c r="S32" s="829"/>
      <c r="T32" s="25"/>
      <c r="U32" s="694"/>
      <c r="V32" s="25"/>
      <c r="W32" s="25"/>
    </row>
    <row r="33" spans="1:23" ht="13">
      <c r="A33" s="239"/>
      <c r="B33" s="419">
        <v>12</v>
      </c>
      <c r="C33" s="905">
        <f t="shared" si="0"/>
        <v>999530391.04999995</v>
      </c>
      <c r="D33" s="901">
        <f t="shared" si="1"/>
        <v>1104492.49</v>
      </c>
      <c r="E33" s="901">
        <f t="shared" si="2"/>
        <v>3745027.68</v>
      </c>
      <c r="F33" s="901">
        <f t="shared" si="3"/>
        <v>3444484.59</v>
      </c>
      <c r="G33" s="901">
        <f t="shared" si="4"/>
        <v>6265484.4199999999</v>
      </c>
      <c r="H33" s="510">
        <f t="shared" si="6"/>
        <v>0.98543367034122364</v>
      </c>
      <c r="I33" s="224">
        <f t="shared" si="7"/>
        <v>1.1050114132495142E-3</v>
      </c>
      <c r="J33" s="224">
        <f t="shared" si="8"/>
        <v>3.7467872048051222E-3</v>
      </c>
      <c r="K33" s="224">
        <f t="shared" si="9"/>
        <v>3.4461029107695183E-3</v>
      </c>
      <c r="L33" s="870">
        <f t="shared" si="10"/>
        <v>6.2684281299522577E-3</v>
      </c>
      <c r="M33" s="314"/>
      <c r="O33" s="835"/>
      <c r="Q33" s="829"/>
      <c r="R33" s="837"/>
      <c r="S33" s="837"/>
      <c r="U33" s="25"/>
      <c r="V33" s="25"/>
      <c r="W33" s="25"/>
    </row>
    <row r="34" spans="1:23" ht="13">
      <c r="A34" s="239"/>
      <c r="B34" s="419">
        <v>13</v>
      </c>
      <c r="C34" s="905">
        <f t="shared" si="0"/>
        <v>999580049.78999996</v>
      </c>
      <c r="D34" s="901">
        <f t="shared" si="1"/>
        <v>4151380.28</v>
      </c>
      <c r="E34" s="901">
        <f t="shared" si="2"/>
        <v>3804017.99</v>
      </c>
      <c r="F34" s="901">
        <f t="shared" si="3"/>
        <v>1411264.7</v>
      </c>
      <c r="G34" s="901">
        <f t="shared" si="4"/>
        <v>6179967.3399999999</v>
      </c>
      <c r="H34" s="510">
        <f t="shared" si="6"/>
        <v>0.98444683813640921</v>
      </c>
      <c r="I34" s="224">
        <f t="shared" si="7"/>
        <v>4.1531243854578291E-3</v>
      </c>
      <c r="J34" s="224">
        <f t="shared" si="8"/>
        <v>3.8056161593052799E-3</v>
      </c>
      <c r="K34" s="224">
        <f t="shared" si="9"/>
        <v>1.4118576098997675E-3</v>
      </c>
      <c r="L34" s="870">
        <f t="shared" si="10"/>
        <v>6.1825637089279028E-3</v>
      </c>
      <c r="M34" s="314"/>
      <c r="Q34" s="829"/>
      <c r="R34" s="837"/>
      <c r="S34" s="837"/>
      <c r="U34" s="25"/>
      <c r="V34" s="842"/>
      <c r="W34" s="800"/>
    </row>
    <row r="35" spans="1:23" ht="13">
      <c r="A35" s="239"/>
      <c r="B35" s="419">
        <v>14</v>
      </c>
      <c r="C35" s="905">
        <f t="shared" si="0"/>
        <v>972266109.07000005</v>
      </c>
      <c r="D35" s="901">
        <f t="shared" si="1"/>
        <v>1607009.74</v>
      </c>
      <c r="E35" s="901">
        <f t="shared" si="2"/>
        <v>4520145.3</v>
      </c>
      <c r="F35" s="901">
        <f t="shared" si="3"/>
        <v>4047145.59</v>
      </c>
      <c r="G35" s="901">
        <f t="shared" si="4"/>
        <v>6202633.3799999999</v>
      </c>
      <c r="H35" s="510">
        <f t="shared" si="6"/>
        <v>0.98315591394452184</v>
      </c>
      <c r="I35" s="224">
        <f t="shared" si="7"/>
        <v>1.6528496931124651E-3</v>
      </c>
      <c r="J35" s="224">
        <f t="shared" si="8"/>
        <v>4.6490824454671637E-3</v>
      </c>
      <c r="K35" s="224">
        <f t="shared" si="9"/>
        <v>4.162590418657304E-3</v>
      </c>
      <c r="L35" s="870">
        <f t="shared" si="10"/>
        <v>6.3795634982412308E-3</v>
      </c>
      <c r="M35" s="827"/>
      <c r="N35" s="838"/>
      <c r="O35" s="800"/>
      <c r="P35" s="838"/>
      <c r="Q35" s="841"/>
      <c r="R35" s="840"/>
      <c r="S35" s="837"/>
      <c r="U35" s="25"/>
      <c r="V35" s="25"/>
      <c r="W35" s="25"/>
    </row>
    <row r="36" spans="1:23" ht="13">
      <c r="A36" s="239"/>
      <c r="B36" s="419">
        <v>15</v>
      </c>
      <c r="C36" s="905">
        <f t="shared" si="0"/>
        <v>944785206.34000003</v>
      </c>
      <c r="D36" s="901">
        <f t="shared" si="1"/>
        <v>3552122.7</v>
      </c>
      <c r="E36" s="901">
        <f t="shared" si="2"/>
        <v>1608436.98</v>
      </c>
      <c r="F36" s="901">
        <f t="shared" si="3"/>
        <v>4962406.83</v>
      </c>
      <c r="G36" s="901">
        <f t="shared" si="4"/>
        <v>6386006.2400000002</v>
      </c>
      <c r="H36" s="510">
        <f t="shared" si="6"/>
        <v>0.98252621586449884</v>
      </c>
      <c r="I36" s="224">
        <f t="shared" si="7"/>
        <v>3.7597145638642621E-3</v>
      </c>
      <c r="J36" s="224">
        <f t="shared" si="8"/>
        <v>1.7024366694213156E-3</v>
      </c>
      <c r="K36" s="224">
        <f t="shared" si="9"/>
        <v>5.2524180064417499E-3</v>
      </c>
      <c r="L36" s="870">
        <f t="shared" si="10"/>
        <v>6.7592148957737455E-3</v>
      </c>
      <c r="M36" s="314"/>
      <c r="Q36" s="829"/>
      <c r="R36" s="830"/>
      <c r="S36" s="829"/>
      <c r="T36" s="25"/>
      <c r="U36" s="694"/>
      <c r="V36" s="25"/>
      <c r="W36" s="25"/>
    </row>
    <row r="37" spans="1:23" ht="13">
      <c r="A37" s="239"/>
      <c r="B37" s="419">
        <v>16</v>
      </c>
      <c r="C37" s="905">
        <f t="shared" si="0"/>
        <v>921970706.57000005</v>
      </c>
      <c r="D37" s="901">
        <f t="shared" si="1"/>
        <v>3147158.13</v>
      </c>
      <c r="E37" s="901">
        <f t="shared" si="2"/>
        <v>3933297.21</v>
      </c>
      <c r="F37" s="901">
        <f t="shared" si="3"/>
        <v>3839134.43</v>
      </c>
      <c r="G37" s="901">
        <f t="shared" si="4"/>
        <v>4811470.7699999996</v>
      </c>
      <c r="H37" s="510">
        <f t="shared" si="6"/>
        <v>0.98293757011161009</v>
      </c>
      <c r="I37" s="224">
        <f t="shared" si="7"/>
        <v>3.4135120645083683E-3</v>
      </c>
      <c r="J37" s="224">
        <f t="shared" si="8"/>
        <v>4.2661845782855862E-3</v>
      </c>
      <c r="K37" s="224">
        <f t="shared" si="9"/>
        <v>4.1640525047511546E-3</v>
      </c>
      <c r="L37" s="870">
        <f t="shared" si="10"/>
        <v>5.218680740844874E-3</v>
      </c>
      <c r="M37" s="314"/>
      <c r="Q37" s="829"/>
      <c r="R37" s="830"/>
      <c r="S37" s="829"/>
      <c r="T37" s="25"/>
      <c r="U37" s="694"/>
      <c r="V37" s="25"/>
      <c r="W37" s="25"/>
    </row>
    <row r="38" spans="1:23" ht="13">
      <c r="A38" s="239"/>
      <c r="B38" s="419">
        <v>17</v>
      </c>
      <c r="C38" s="905">
        <f t="shared" si="0"/>
        <v>890117850.69000006</v>
      </c>
      <c r="D38" s="901">
        <f t="shared" si="1"/>
        <v>1252628.08</v>
      </c>
      <c r="E38" s="901">
        <f t="shared" si="2"/>
        <v>4057655.83</v>
      </c>
      <c r="F38" s="901">
        <f t="shared" si="3"/>
        <v>3440436.28</v>
      </c>
      <c r="G38" s="901">
        <f t="shared" si="4"/>
        <v>7103166.5499999998</v>
      </c>
      <c r="H38" s="510">
        <f t="shared" si="6"/>
        <v>0.98218900258239916</v>
      </c>
      <c r="I38" s="224">
        <f t="shared" si="7"/>
        <v>1.4072609363231959E-3</v>
      </c>
      <c r="J38" s="224">
        <f t="shared" si="8"/>
        <v>4.5585602253168985E-3</v>
      </c>
      <c r="K38" s="224">
        <f t="shared" si="9"/>
        <v>3.865146932322555E-3</v>
      </c>
      <c r="L38" s="870">
        <f t="shared" si="10"/>
        <v>7.9800293236381888E-3</v>
      </c>
      <c r="M38" s="314"/>
      <c r="O38" s="835"/>
      <c r="Q38" s="829"/>
      <c r="R38" s="837"/>
      <c r="S38" s="837"/>
      <c r="U38" s="25"/>
      <c r="V38" s="25"/>
      <c r="W38" s="25"/>
    </row>
    <row r="39" spans="1:23" ht="13">
      <c r="A39" s="239"/>
      <c r="B39" s="419">
        <v>18</v>
      </c>
      <c r="C39" s="905">
        <f t="shared" si="0"/>
        <v>861730634.76999998</v>
      </c>
      <c r="D39" s="901">
        <f t="shared" si="1"/>
        <v>3912154.3</v>
      </c>
      <c r="E39" s="901">
        <f t="shared" si="2"/>
        <v>4270575.5199999996</v>
      </c>
      <c r="F39" s="901">
        <f t="shared" si="3"/>
        <v>1307688.81</v>
      </c>
      <c r="G39" s="901">
        <f t="shared" si="4"/>
        <v>6425133.1600000001</v>
      </c>
      <c r="H39" s="510">
        <f t="shared" si="6"/>
        <v>0.9815307113988726</v>
      </c>
      <c r="I39" s="224">
        <f t="shared" si="7"/>
        <v>4.5398807262366538E-3</v>
      </c>
      <c r="J39" s="224">
        <f t="shared" si="8"/>
        <v>4.9558125795769537E-3</v>
      </c>
      <c r="K39" s="224">
        <f t="shared" si="9"/>
        <v>1.5175145889399981E-3</v>
      </c>
      <c r="L39" s="870">
        <f t="shared" si="10"/>
        <v>7.4560807063739805E-3</v>
      </c>
      <c r="M39" s="314"/>
      <c r="Q39" s="829"/>
      <c r="R39" s="837"/>
      <c r="S39" s="837"/>
      <c r="U39" s="25"/>
      <c r="V39" s="25"/>
      <c r="W39" s="801"/>
    </row>
    <row r="40" spans="1:23" ht="13">
      <c r="A40" s="239"/>
      <c r="B40" s="419">
        <v>19</v>
      </c>
      <c r="C40" s="905">
        <f t="shared" si="0"/>
        <v>835033301.62</v>
      </c>
      <c r="D40" s="901">
        <f t="shared" si="1"/>
        <v>3897092.13</v>
      </c>
      <c r="E40" s="901">
        <f t="shared" si="2"/>
        <v>4002286.96</v>
      </c>
      <c r="F40" s="901">
        <f t="shared" si="3"/>
        <v>3502789.87</v>
      </c>
      <c r="G40" s="901">
        <f t="shared" si="4"/>
        <v>5126557.96</v>
      </c>
      <c r="H40" s="510">
        <f t="shared" si="6"/>
        <v>0.98020590689265485</v>
      </c>
      <c r="I40" s="224">
        <f t="shared" si="7"/>
        <v>4.6669900738563076E-3</v>
      </c>
      <c r="J40" s="224">
        <f t="shared" si="8"/>
        <v>4.7929668819619454E-3</v>
      </c>
      <c r="K40" s="224">
        <f t="shared" si="9"/>
        <v>4.1947906307502215E-3</v>
      </c>
      <c r="L40" s="870">
        <f t="shared" si="10"/>
        <v>6.1393455207765487E-3</v>
      </c>
      <c r="M40" s="827"/>
      <c r="O40" s="828"/>
      <c r="P40" s="25"/>
      <c r="Q40" s="829"/>
      <c r="R40" s="830"/>
      <c r="S40" s="830"/>
      <c r="T40" s="25"/>
      <c r="U40" s="25"/>
      <c r="V40" s="25"/>
      <c r="W40" s="25"/>
    </row>
    <row r="41" spans="1:23" ht="13">
      <c r="A41" s="239"/>
      <c r="B41" s="419">
        <v>20</v>
      </c>
      <c r="C41" s="905">
        <f t="shared" si="0"/>
        <v>808209422.54999995</v>
      </c>
      <c r="D41" s="901">
        <f t="shared" si="1"/>
        <v>3499175.3</v>
      </c>
      <c r="E41" s="901">
        <f t="shared" si="2"/>
        <v>1293454.3999999999</v>
      </c>
      <c r="F41" s="901">
        <f t="shared" si="3"/>
        <v>5482911.96</v>
      </c>
      <c r="G41" s="901">
        <f t="shared" si="4"/>
        <v>4674976.26</v>
      </c>
      <c r="H41" s="510">
        <f t="shared" si="6"/>
        <v>0.98150167827438928</v>
      </c>
      <c r="I41" s="224">
        <f t="shared" si="7"/>
        <v>4.3295403423529409E-3</v>
      </c>
      <c r="J41" s="224">
        <f t="shared" si="8"/>
        <v>1.6003951004666494E-3</v>
      </c>
      <c r="K41" s="224">
        <f t="shared" si="9"/>
        <v>6.7840238025198216E-3</v>
      </c>
      <c r="L41" s="870">
        <f t="shared" si="10"/>
        <v>5.7843624802713578E-3</v>
      </c>
      <c r="M41" s="314"/>
      <c r="N41" s="25"/>
      <c r="O41" s="25"/>
      <c r="P41" s="25"/>
      <c r="Q41" s="829"/>
      <c r="R41" s="830"/>
      <c r="S41" s="829"/>
      <c r="T41" s="25"/>
      <c r="U41" s="694"/>
      <c r="V41" s="25"/>
      <c r="W41" s="25"/>
    </row>
    <row r="42" spans="1:23" ht="13">
      <c r="A42" s="239"/>
      <c r="B42" s="419">
        <v>21</v>
      </c>
      <c r="C42" s="905">
        <f t="shared" si="0"/>
        <v>782196586.96000004</v>
      </c>
      <c r="D42" s="901">
        <f t="shared" si="1"/>
        <v>801151.12</v>
      </c>
      <c r="E42" s="901">
        <f t="shared" si="2"/>
        <v>3187482.48</v>
      </c>
      <c r="F42" s="901">
        <f t="shared" si="3"/>
        <v>3171427.94</v>
      </c>
      <c r="G42" s="901">
        <f t="shared" si="4"/>
        <v>5867506.4900000002</v>
      </c>
      <c r="H42" s="510">
        <f t="shared" si="6"/>
        <v>0.98334489277097004</v>
      </c>
      <c r="I42" s="224">
        <f t="shared" si="7"/>
        <v>1.0242324415063822E-3</v>
      </c>
      <c r="J42" s="224">
        <f t="shared" si="8"/>
        <v>4.0750401281960608E-3</v>
      </c>
      <c r="K42" s="224">
        <f t="shared" si="9"/>
        <v>4.0545151856590505E-3</v>
      </c>
      <c r="L42" s="870">
        <f t="shared" si="10"/>
        <v>7.5013194736683921E-3</v>
      </c>
      <c r="M42" s="314"/>
      <c r="N42" s="25"/>
      <c r="O42" s="25"/>
      <c r="P42" s="25"/>
      <c r="Q42" s="829"/>
      <c r="R42" s="830"/>
      <c r="S42" s="829"/>
      <c r="T42" s="25"/>
      <c r="U42" s="694"/>
      <c r="V42" s="25"/>
      <c r="W42" s="25"/>
    </row>
    <row r="43" spans="1:23" ht="13">
      <c r="A43" s="239"/>
      <c r="B43" s="419">
        <v>22</v>
      </c>
      <c r="C43" s="905">
        <f t="shared" si="0"/>
        <v>757456618.62</v>
      </c>
      <c r="D43" s="901">
        <f t="shared" si="1"/>
        <v>3983534.98</v>
      </c>
      <c r="E43" s="901">
        <f t="shared" si="2"/>
        <v>3944100.01</v>
      </c>
      <c r="F43" s="901">
        <f t="shared" si="3"/>
        <v>2703830.75</v>
      </c>
      <c r="G43" s="901">
        <f t="shared" si="4"/>
        <v>4044073.38</v>
      </c>
      <c r="H43" s="510">
        <f t="shared" si="6"/>
        <v>0.98062524142077312</v>
      </c>
      <c r="I43" s="224">
        <f t="shared" si="7"/>
        <v>5.2590932365969003E-3</v>
      </c>
      <c r="J43" s="224">
        <f t="shared" si="8"/>
        <v>5.2070308886939323E-3</v>
      </c>
      <c r="K43" s="224">
        <f t="shared" si="9"/>
        <v>3.5696179603342468E-3</v>
      </c>
      <c r="L43" s="870">
        <f t="shared" si="10"/>
        <v>5.3390164936017621E-3</v>
      </c>
      <c r="M43" s="314"/>
      <c r="N43" s="25"/>
      <c r="O43" s="835"/>
      <c r="P43" s="25"/>
      <c r="Q43" s="829"/>
      <c r="R43" s="830"/>
      <c r="S43" s="830"/>
      <c r="T43" s="25"/>
      <c r="U43" s="25"/>
      <c r="V43" s="25"/>
      <c r="W43" s="800"/>
    </row>
    <row r="44" spans="1:23" ht="13">
      <c r="A44" s="239"/>
      <c r="B44" s="419">
        <v>23</v>
      </c>
      <c r="C44" s="905">
        <f t="shared" si="0"/>
        <v>731399238.96000004</v>
      </c>
      <c r="D44" s="901">
        <f t="shared" si="1"/>
        <v>1386139.24</v>
      </c>
      <c r="E44" s="901">
        <f t="shared" si="2"/>
        <v>3071441.39</v>
      </c>
      <c r="F44" s="901">
        <f t="shared" si="3"/>
        <v>3509600.48</v>
      </c>
      <c r="G44" s="901">
        <f t="shared" si="4"/>
        <v>4911018.4400000004</v>
      </c>
      <c r="H44" s="510">
        <f t="shared" si="6"/>
        <v>0.98239238043464194</v>
      </c>
      <c r="I44" s="224">
        <f t="shared" si="7"/>
        <v>1.8951882448920725E-3</v>
      </c>
      <c r="J44" s="224">
        <f t="shared" si="8"/>
        <v>4.199404684051054E-3</v>
      </c>
      <c r="K44" s="224">
        <f t="shared" si="9"/>
        <v>4.7984743393914564E-3</v>
      </c>
      <c r="L44" s="870">
        <f t="shared" si="10"/>
        <v>6.7145522970233525E-3</v>
      </c>
      <c r="M44" s="314"/>
      <c r="O44" s="25"/>
      <c r="P44" s="25"/>
      <c r="Q44" s="829"/>
      <c r="R44" s="830"/>
      <c r="S44" s="830"/>
      <c r="T44" s="25"/>
      <c r="U44" s="25"/>
      <c r="V44" s="25"/>
      <c r="W44" s="805"/>
    </row>
    <row r="45" spans="1:23" ht="13">
      <c r="A45" s="239"/>
      <c r="B45" s="419">
        <v>24</v>
      </c>
      <c r="C45" s="905">
        <f t="shared" si="0"/>
        <v>707906332.38</v>
      </c>
      <c r="D45" s="901">
        <f t="shared" si="1"/>
        <v>3944594.97</v>
      </c>
      <c r="E45" s="901">
        <f t="shared" si="2"/>
        <v>1505322.97</v>
      </c>
      <c r="F45" s="901">
        <f t="shared" si="3"/>
        <v>3326455.77</v>
      </c>
      <c r="G45" s="901">
        <f t="shared" si="4"/>
        <v>5508688.6100000003</v>
      </c>
      <c r="H45" s="510">
        <f t="shared" si="6"/>
        <v>0.97982068860441851</v>
      </c>
      <c r="I45" s="224">
        <f t="shared" si="7"/>
        <v>5.5721990178250937E-3</v>
      </c>
      <c r="J45" s="224">
        <f t="shared" si="8"/>
        <v>2.1264437131662092E-3</v>
      </c>
      <c r="K45" s="224">
        <f t="shared" si="9"/>
        <v>4.6990055291868445E-3</v>
      </c>
      <c r="L45" s="870">
        <f t="shared" si="10"/>
        <v>7.7816631354032982E-3</v>
      </c>
      <c r="M45" s="827"/>
      <c r="O45" s="828"/>
      <c r="P45" s="25"/>
      <c r="Q45" s="829"/>
      <c r="R45" s="830"/>
      <c r="S45" s="830"/>
      <c r="T45" s="25"/>
      <c r="U45" s="25"/>
      <c r="V45" s="25"/>
      <c r="W45" s="694"/>
    </row>
    <row r="46" spans="1:23" ht="13">
      <c r="A46" s="239"/>
      <c r="B46" s="419">
        <v>25</v>
      </c>
      <c r="C46" s="905">
        <f t="shared" si="0"/>
        <v>686245897.63999999</v>
      </c>
      <c r="D46" s="901">
        <f t="shared" si="1"/>
        <v>3390577.89</v>
      </c>
      <c r="E46" s="901">
        <f t="shared" si="2"/>
        <v>1391601.05</v>
      </c>
      <c r="F46" s="901">
        <f t="shared" si="3"/>
        <v>3918207.71</v>
      </c>
      <c r="G46" s="901">
        <f t="shared" si="4"/>
        <v>5636807.7000000002</v>
      </c>
      <c r="H46" s="510">
        <f t="shared" si="6"/>
        <v>0.97910778862313697</v>
      </c>
      <c r="I46" s="224">
        <f t="shared" si="7"/>
        <v>4.9407623443144784E-3</v>
      </c>
      <c r="J46" s="224">
        <f t="shared" si="8"/>
        <v>2.0278460749794162E-3</v>
      </c>
      <c r="K46" s="224">
        <f t="shared" si="9"/>
        <v>5.7096264232321366E-3</v>
      </c>
      <c r="L46" s="870">
        <f t="shared" si="10"/>
        <v>8.2139765343370134E-3</v>
      </c>
      <c r="M46" s="314"/>
      <c r="N46" s="25"/>
      <c r="O46" s="25"/>
      <c r="P46" s="25"/>
      <c r="Q46" s="829"/>
      <c r="R46" s="830"/>
      <c r="S46" s="829"/>
      <c r="T46" s="25"/>
      <c r="U46" s="694"/>
      <c r="V46" s="25"/>
      <c r="W46" s="25"/>
    </row>
    <row r="47" spans="1:23" ht="13">
      <c r="A47" s="239"/>
      <c r="B47" s="419">
        <v>26</v>
      </c>
      <c r="C47" s="905">
        <f t="shared" si="0"/>
        <v>663524217.88999999</v>
      </c>
      <c r="D47" s="901">
        <f t="shared" si="1"/>
        <v>1466150.53</v>
      </c>
      <c r="E47" s="901">
        <f t="shared" si="2"/>
        <v>3395973.02</v>
      </c>
      <c r="F47" s="901">
        <f t="shared" si="3"/>
        <v>3296654.39</v>
      </c>
      <c r="G47" s="901">
        <f t="shared" si="4"/>
        <v>5973633.9500000002</v>
      </c>
      <c r="H47" s="510">
        <f t="shared" si="6"/>
        <v>0.97870098557225105</v>
      </c>
      <c r="I47" s="224">
        <f t="shared" si="7"/>
        <v>2.2096413220038047E-3</v>
      </c>
      <c r="J47" s="224">
        <f t="shared" si="8"/>
        <v>5.1180845075996751E-3</v>
      </c>
      <c r="K47" s="224">
        <f t="shared" si="9"/>
        <v>4.9684010034830774E-3</v>
      </c>
      <c r="L47" s="870">
        <f t="shared" si="10"/>
        <v>9.0028875946624731E-3</v>
      </c>
      <c r="M47" s="314"/>
      <c r="N47" s="25"/>
      <c r="O47" s="25"/>
      <c r="P47" s="25"/>
      <c r="Q47" s="829"/>
      <c r="R47" s="830"/>
      <c r="S47" s="829"/>
      <c r="T47" s="25"/>
      <c r="U47" s="694"/>
      <c r="V47" s="25"/>
      <c r="W47" s="25"/>
    </row>
    <row r="48" spans="1:23" ht="13">
      <c r="A48" s="239"/>
      <c r="B48" s="419">
        <v>27</v>
      </c>
      <c r="C48" s="905">
        <f t="shared" si="0"/>
        <v>643878808.33000004</v>
      </c>
      <c r="D48" s="901">
        <f t="shared" si="1"/>
        <v>3107631.11</v>
      </c>
      <c r="E48" s="901">
        <f t="shared" si="2"/>
        <v>3639798.12</v>
      </c>
      <c r="F48" s="901">
        <f t="shared" si="3"/>
        <v>3069164.05</v>
      </c>
      <c r="G48" s="901">
        <f t="shared" si="4"/>
        <v>3968949.41</v>
      </c>
      <c r="H48" s="510">
        <f t="shared" si="6"/>
        <v>0.97858984872362098</v>
      </c>
      <c r="I48" s="224">
        <f t="shared" si="7"/>
        <v>4.8264224102360581E-3</v>
      </c>
      <c r="J48" s="224">
        <f t="shared" si="8"/>
        <v>5.6529242349820201E-3</v>
      </c>
      <c r="K48" s="224">
        <f t="shared" si="9"/>
        <v>4.7666797078791193E-3</v>
      </c>
      <c r="L48" s="870">
        <f t="shared" si="10"/>
        <v>6.1641249232818962E-3</v>
      </c>
      <c r="M48" s="314"/>
      <c r="N48" s="25"/>
      <c r="O48" s="835"/>
      <c r="P48" s="25"/>
      <c r="Q48" s="829"/>
      <c r="R48" s="830"/>
      <c r="S48" s="830"/>
      <c r="T48" s="25"/>
      <c r="U48" s="25"/>
      <c r="V48" s="25"/>
      <c r="W48" s="25"/>
    </row>
    <row r="49" spans="1:23" ht="12.75" customHeight="1">
      <c r="A49" s="239"/>
      <c r="B49" s="419">
        <v>28</v>
      </c>
      <c r="C49" s="905">
        <f t="shared" si="0"/>
        <v>626981831.5</v>
      </c>
      <c r="D49" s="901">
        <f t="shared" si="1"/>
        <v>3293761.44</v>
      </c>
      <c r="E49" s="901">
        <f t="shared" si="2"/>
        <v>2798122.24</v>
      </c>
      <c r="F49" s="901">
        <f t="shared" si="3"/>
        <v>1103998</v>
      </c>
      <c r="G49" s="901">
        <f t="shared" si="4"/>
        <v>5832416.3399999999</v>
      </c>
      <c r="H49" s="510">
        <f t="shared" si="6"/>
        <v>0.97922061315743225</v>
      </c>
      <c r="I49" s="224">
        <f t="shared" si="7"/>
        <v>5.2533602642359824E-3</v>
      </c>
      <c r="J49" s="224">
        <f t="shared" si="8"/>
        <v>4.4628442156062703E-3</v>
      </c>
      <c r="K49" s="224">
        <f t="shared" si="9"/>
        <v>1.7608133833141224E-3</v>
      </c>
      <c r="L49" s="870">
        <f t="shared" si="10"/>
        <v>9.3023689794111686E-3</v>
      </c>
      <c r="M49" s="314"/>
      <c r="Q49" s="843"/>
      <c r="S49" s="844"/>
      <c r="U49" s="25"/>
      <c r="V49" s="25"/>
      <c r="W49" s="25"/>
    </row>
    <row r="50" spans="1:23" ht="12.75" customHeight="1">
      <c r="A50" s="239"/>
      <c r="B50" s="419">
        <v>29</v>
      </c>
      <c r="C50" s="905">
        <f t="shared" si="0"/>
        <v>605593470.44000006</v>
      </c>
      <c r="D50" s="901">
        <f t="shared" si="1"/>
        <v>1160188.31</v>
      </c>
      <c r="E50" s="901">
        <f t="shared" si="2"/>
        <v>3542024.69</v>
      </c>
      <c r="F50" s="901">
        <f t="shared" si="3"/>
        <v>2795788.79</v>
      </c>
      <c r="G50" s="901">
        <f t="shared" si="4"/>
        <v>5065881.92</v>
      </c>
      <c r="H50" s="510">
        <f t="shared" si="6"/>
        <v>0.97925360109832182</v>
      </c>
      <c r="I50" s="224">
        <f t="shared" si="7"/>
        <v>1.9157873501460534E-3</v>
      </c>
      <c r="J50" s="224">
        <f t="shared" si="8"/>
        <v>5.8488488778231148E-3</v>
      </c>
      <c r="K50" s="224">
        <f t="shared" si="9"/>
        <v>4.6166098653089693E-3</v>
      </c>
      <c r="L50" s="870">
        <f t="shared" si="10"/>
        <v>8.3651528084002173E-3</v>
      </c>
      <c r="M50" s="314"/>
      <c r="Q50" s="843"/>
      <c r="S50" s="844"/>
      <c r="U50" s="25"/>
      <c r="V50" s="25"/>
      <c r="W50" s="25"/>
    </row>
    <row r="51" spans="1:23" ht="12.75" customHeight="1">
      <c r="A51" s="239"/>
      <c r="B51" s="419">
        <v>30</v>
      </c>
      <c r="C51" s="905">
        <f t="shared" si="0"/>
        <v>586759359.30999994</v>
      </c>
      <c r="D51" s="901">
        <f t="shared" si="1"/>
        <v>3561389.21</v>
      </c>
      <c r="E51" s="901">
        <f t="shared" si="2"/>
        <v>4094315.86</v>
      </c>
      <c r="F51" s="901">
        <f t="shared" si="3"/>
        <v>2538333.86</v>
      </c>
      <c r="G51" s="901">
        <f t="shared" si="4"/>
        <v>3334621.15</v>
      </c>
      <c r="H51" s="510">
        <f t="shared" si="6"/>
        <v>0.9769434268659829</v>
      </c>
      <c r="I51" s="224">
        <f t="shared" si="7"/>
        <v>6.0695908015647474E-3</v>
      </c>
      <c r="J51" s="224">
        <f t="shared" si="8"/>
        <v>6.9778449973336822E-3</v>
      </c>
      <c r="K51" s="224">
        <f t="shared" si="9"/>
        <v>4.3260219368037953E-3</v>
      </c>
      <c r="L51" s="870">
        <f t="shared" si="10"/>
        <v>5.683115398314822E-3</v>
      </c>
      <c r="M51" s="314"/>
      <c r="Q51" s="843"/>
      <c r="S51" s="844"/>
      <c r="U51" s="25"/>
      <c r="V51" s="25"/>
      <c r="W51" s="25"/>
    </row>
    <row r="52" spans="1:23" ht="12.75" customHeight="1">
      <c r="A52" s="239"/>
      <c r="B52" s="419">
        <v>31</v>
      </c>
      <c r="C52" s="905">
        <f t="shared" si="0"/>
        <v>568467527.35000002</v>
      </c>
      <c r="D52" s="901">
        <f t="shared" si="1"/>
        <v>1353226.82</v>
      </c>
      <c r="E52" s="901">
        <f t="shared" si="2"/>
        <v>4782020.9400000004</v>
      </c>
      <c r="F52" s="901">
        <f t="shared" si="3"/>
        <v>3235669.96</v>
      </c>
      <c r="G52" s="901">
        <f t="shared" si="4"/>
        <v>3131024.25</v>
      </c>
      <c r="H52" s="510">
        <f t="shared" si="6"/>
        <v>0.9780076409495545</v>
      </c>
      <c r="I52" s="224">
        <f t="shared" si="7"/>
        <v>2.3804821821719136E-3</v>
      </c>
      <c r="J52" s="224">
        <f t="shared" si="8"/>
        <v>8.4121268321026826E-3</v>
      </c>
      <c r="K52" s="224">
        <f t="shared" si="9"/>
        <v>5.6919169597665145E-3</v>
      </c>
      <c r="L52" s="870">
        <f t="shared" si="10"/>
        <v>5.5078330764041306E-3</v>
      </c>
      <c r="M52" s="314"/>
      <c r="Q52" s="843"/>
      <c r="S52" s="844"/>
      <c r="U52" s="25"/>
      <c r="V52" s="25"/>
      <c r="W52" s="25"/>
    </row>
    <row r="53" spans="1:23" ht="12.75" customHeight="1">
      <c r="A53" s="239"/>
      <c r="B53" s="419">
        <v>32</v>
      </c>
      <c r="C53" s="905">
        <f t="shared" si="0"/>
        <v>549072459.41999996</v>
      </c>
      <c r="D53" s="901">
        <f t="shared" si="1"/>
        <v>3369880.96</v>
      </c>
      <c r="E53" s="901">
        <f t="shared" si="2"/>
        <v>1400342.46</v>
      </c>
      <c r="F53" s="901">
        <f t="shared" si="3"/>
        <v>4162366.24</v>
      </c>
      <c r="G53" s="901">
        <f t="shared" si="4"/>
        <v>3799518.95</v>
      </c>
      <c r="H53" s="510">
        <f t="shared" si="6"/>
        <v>0.97681160584260707</v>
      </c>
      <c r="I53" s="224">
        <f t="shared" si="7"/>
        <v>6.1374066431226513E-3</v>
      </c>
      <c r="J53" s="224">
        <f t="shared" si="8"/>
        <v>2.5503782533169111E-3</v>
      </c>
      <c r="K53" s="224">
        <f t="shared" si="9"/>
        <v>7.5807230331618163E-3</v>
      </c>
      <c r="L53" s="870">
        <f t="shared" si="10"/>
        <v>6.9198862277913822E-3</v>
      </c>
      <c r="M53" s="314"/>
      <c r="Q53" s="843"/>
      <c r="S53" s="844"/>
      <c r="U53" s="25"/>
      <c r="V53" s="25"/>
      <c r="W53" s="25"/>
    </row>
    <row r="54" spans="1:23" ht="12.75" customHeight="1">
      <c r="A54" s="239"/>
      <c r="B54" s="419">
        <v>33</v>
      </c>
      <c r="C54" s="905">
        <f t="shared" ref="C54:C85" si="11">IF(B54&lt;=$F$4,VLOOKUP(CONCATENATE("delinquency_",$B54),delinquencies,2,FALSE),"")</f>
        <v>530411090.52999997</v>
      </c>
      <c r="D54" s="901">
        <f t="shared" ref="D54:D85" si="12">IF(B54&lt;=$F$4,VLOOKUP(CONCATENATE("delinquency_",$B54),delinquencies,3,FALSE),"")</f>
        <v>2998541.33</v>
      </c>
      <c r="E54" s="901">
        <f t="shared" ref="E54:E85" si="13">IF(B54&lt;=$F$4,VLOOKUP(CONCATENATE("delinquency_",$B54),delinquencies,4,FALSE),"")</f>
        <v>3013054</v>
      </c>
      <c r="F54" s="901">
        <f t="shared" ref="F54:F85" si="14">IF(B54&lt;=$F$4,VLOOKUP(CONCATENATE("delinquency_",$B54),delinquencies,5,FALSE),"")</f>
        <v>1073391.29</v>
      </c>
      <c r="G54" s="901">
        <f t="shared" ref="G54:G85" si="15">IF(B54&lt;=$F$4,VLOOKUP(CONCATENATE("delinquency_",$B54),delinquencies,6,FALSE),"")</f>
        <v>5156200.43</v>
      </c>
      <c r="H54" s="510">
        <f t="shared" si="6"/>
        <v>0.97692132146451105</v>
      </c>
      <c r="I54" s="224">
        <f t="shared" si="7"/>
        <v>5.6532402574836493E-3</v>
      </c>
      <c r="J54" s="224">
        <f t="shared" si="8"/>
        <v>5.6806014312206056E-3</v>
      </c>
      <c r="K54" s="224">
        <f t="shared" si="9"/>
        <v>2.0236969195486479E-3</v>
      </c>
      <c r="L54" s="870">
        <f t="shared" si="10"/>
        <v>9.7211399272360537E-3</v>
      </c>
      <c r="M54" s="314"/>
      <c r="Q54" s="843"/>
      <c r="S54" s="844"/>
      <c r="U54" s="25"/>
      <c r="V54" s="25"/>
      <c r="W54" s="25"/>
    </row>
    <row r="55" spans="1:23" ht="12.75" customHeight="1">
      <c r="A55" s="239"/>
      <c r="B55" s="419">
        <v>34</v>
      </c>
      <c r="C55" s="905">
        <f t="shared" si="11"/>
        <v>512919477.87</v>
      </c>
      <c r="D55" s="901">
        <f t="shared" si="12"/>
        <v>3783568.7</v>
      </c>
      <c r="E55" s="901">
        <f t="shared" si="13"/>
        <v>1331662.3400000001</v>
      </c>
      <c r="F55" s="901">
        <f t="shared" si="14"/>
        <v>2439870.77</v>
      </c>
      <c r="G55" s="901">
        <f t="shared" si="15"/>
        <v>5215222.33</v>
      </c>
      <c r="H55" s="510">
        <f t="shared" si="6"/>
        <v>0.97510267265920325</v>
      </c>
      <c r="I55" s="224">
        <f t="shared" si="7"/>
        <v>7.376535427572415E-3</v>
      </c>
      <c r="J55" s="224">
        <f t="shared" si="8"/>
        <v>2.5962405357074611E-3</v>
      </c>
      <c r="K55" s="224">
        <f t="shared" si="9"/>
        <v>4.7568300196593194E-3</v>
      </c>
      <c r="L55" s="870">
        <f t="shared" si="10"/>
        <v>1.0167721357857663E-2</v>
      </c>
      <c r="M55" s="314"/>
      <c r="Q55" s="843"/>
      <c r="S55" s="844"/>
      <c r="U55" s="25"/>
      <c r="V55" s="25"/>
      <c r="W55" s="25"/>
    </row>
    <row r="56" spans="1:23" ht="12.75" customHeight="1">
      <c r="A56" s="239"/>
      <c r="B56" s="419">
        <v>35</v>
      </c>
      <c r="C56" s="905">
        <f t="shared" si="11"/>
        <v>493866831.41000003</v>
      </c>
      <c r="D56" s="901">
        <f t="shared" si="12"/>
        <v>1207173.79</v>
      </c>
      <c r="E56" s="901">
        <f t="shared" si="13"/>
        <v>2278356.2000000002</v>
      </c>
      <c r="F56" s="901">
        <f t="shared" si="14"/>
        <v>2759996.9</v>
      </c>
      <c r="G56" s="901">
        <f t="shared" si="15"/>
        <v>4425277.3499999996</v>
      </c>
      <c r="H56" s="510">
        <f t="shared" si="6"/>
        <v>0.97839335715351716</v>
      </c>
      <c r="I56" s="224">
        <f t="shared" si="7"/>
        <v>2.4443305628634622E-3</v>
      </c>
      <c r="J56" s="224">
        <f t="shared" si="8"/>
        <v>4.6133007019225122E-3</v>
      </c>
      <c r="K56" s="224">
        <f t="shared" si="9"/>
        <v>5.5885447745501592E-3</v>
      </c>
      <c r="L56" s="870">
        <f t="shared" si="10"/>
        <v>8.9604668071466571E-3</v>
      </c>
      <c r="M56" s="314"/>
      <c r="Q56" s="843"/>
      <c r="S56" s="844"/>
      <c r="U56" s="25"/>
      <c r="V56" s="25"/>
      <c r="W56" s="25"/>
    </row>
    <row r="57" spans="1:23" ht="12.75" customHeight="1">
      <c r="A57" s="239"/>
      <c r="B57" s="419">
        <v>36</v>
      </c>
      <c r="C57" s="905" t="str">
        <f t="shared" si="11"/>
        <v/>
      </c>
      <c r="D57" s="901" t="str">
        <f t="shared" si="12"/>
        <v/>
      </c>
      <c r="E57" s="901" t="str">
        <f t="shared" si="13"/>
        <v/>
      </c>
      <c r="F57" s="901" t="str">
        <f t="shared" si="14"/>
        <v/>
      </c>
      <c r="G57" s="901" t="str">
        <f t="shared" si="15"/>
        <v/>
      </c>
      <c r="H57" s="510" t="str">
        <f t="shared" si="6"/>
        <v/>
      </c>
      <c r="I57" s="224" t="str">
        <f t="shared" si="7"/>
        <v/>
      </c>
      <c r="J57" s="224" t="str">
        <f t="shared" si="8"/>
        <v/>
      </c>
      <c r="K57" s="224" t="str">
        <f t="shared" si="9"/>
        <v/>
      </c>
      <c r="L57" s="870" t="str">
        <f t="shared" si="10"/>
        <v/>
      </c>
      <c r="M57" s="314"/>
      <c r="Q57" s="843"/>
      <c r="S57" s="844"/>
      <c r="U57" s="25"/>
      <c r="V57" s="25"/>
      <c r="W57" s="25"/>
    </row>
    <row r="58" spans="1:23" ht="12.75" customHeight="1">
      <c r="A58" s="239"/>
      <c r="B58" s="419">
        <v>37</v>
      </c>
      <c r="C58" s="905" t="str">
        <f t="shared" si="11"/>
        <v/>
      </c>
      <c r="D58" s="901" t="str">
        <f t="shared" si="12"/>
        <v/>
      </c>
      <c r="E58" s="901" t="str">
        <f t="shared" si="13"/>
        <v/>
      </c>
      <c r="F58" s="901" t="str">
        <f t="shared" si="14"/>
        <v/>
      </c>
      <c r="G58" s="901" t="str">
        <f t="shared" si="15"/>
        <v/>
      </c>
      <c r="H58" s="510" t="str">
        <f t="shared" si="6"/>
        <v/>
      </c>
      <c r="I58" s="224" t="str">
        <f t="shared" si="7"/>
        <v/>
      </c>
      <c r="J58" s="224" t="str">
        <f t="shared" si="8"/>
        <v/>
      </c>
      <c r="K58" s="224" t="str">
        <f t="shared" si="9"/>
        <v/>
      </c>
      <c r="L58" s="870" t="str">
        <f t="shared" si="10"/>
        <v/>
      </c>
      <c r="M58" s="314"/>
      <c r="Q58" s="843"/>
      <c r="S58" s="844"/>
      <c r="U58" s="25"/>
      <c r="V58" s="25"/>
      <c r="W58" s="25"/>
    </row>
    <row r="59" spans="1:23" ht="12.75" customHeight="1">
      <c r="A59" s="239"/>
      <c r="B59" s="419">
        <v>38</v>
      </c>
      <c r="C59" s="905" t="str">
        <f t="shared" si="11"/>
        <v/>
      </c>
      <c r="D59" s="901" t="str">
        <f t="shared" si="12"/>
        <v/>
      </c>
      <c r="E59" s="901" t="str">
        <f t="shared" si="13"/>
        <v/>
      </c>
      <c r="F59" s="901" t="str">
        <f t="shared" si="14"/>
        <v/>
      </c>
      <c r="G59" s="901" t="str">
        <f t="shared" si="15"/>
        <v/>
      </c>
      <c r="H59" s="510" t="str">
        <f t="shared" si="6"/>
        <v/>
      </c>
      <c r="I59" s="224" t="str">
        <f t="shared" si="7"/>
        <v/>
      </c>
      <c r="J59" s="224" t="str">
        <f t="shared" si="8"/>
        <v/>
      </c>
      <c r="K59" s="224" t="str">
        <f t="shared" si="9"/>
        <v/>
      </c>
      <c r="L59" s="870" t="str">
        <f t="shared" si="10"/>
        <v/>
      </c>
      <c r="M59" s="314"/>
      <c r="Q59" s="843"/>
      <c r="S59" s="844"/>
      <c r="U59" s="25"/>
      <c r="V59" s="25"/>
      <c r="W59" s="25"/>
    </row>
    <row r="60" spans="1:23" ht="12.75" customHeight="1">
      <c r="A60" s="239"/>
      <c r="B60" s="419">
        <v>39</v>
      </c>
      <c r="C60" s="905" t="str">
        <f t="shared" si="11"/>
        <v/>
      </c>
      <c r="D60" s="901" t="str">
        <f t="shared" si="12"/>
        <v/>
      </c>
      <c r="E60" s="901" t="str">
        <f t="shared" si="13"/>
        <v/>
      </c>
      <c r="F60" s="901" t="str">
        <f t="shared" si="14"/>
        <v/>
      </c>
      <c r="G60" s="901" t="str">
        <f t="shared" si="15"/>
        <v/>
      </c>
      <c r="H60" s="510" t="str">
        <f t="shared" si="6"/>
        <v/>
      </c>
      <c r="I60" s="224" t="str">
        <f t="shared" si="7"/>
        <v/>
      </c>
      <c r="J60" s="224" t="str">
        <f t="shared" si="8"/>
        <v/>
      </c>
      <c r="K60" s="224" t="str">
        <f t="shared" si="9"/>
        <v/>
      </c>
      <c r="L60" s="870" t="str">
        <f t="shared" si="10"/>
        <v/>
      </c>
      <c r="M60" s="314"/>
      <c r="Q60" s="843"/>
      <c r="S60" s="844"/>
      <c r="U60" s="25"/>
      <c r="V60" s="25"/>
      <c r="W60" s="25"/>
    </row>
    <row r="61" spans="1:23" ht="12.75" customHeight="1">
      <c r="A61" s="239"/>
      <c r="B61" s="419">
        <v>40</v>
      </c>
      <c r="C61" s="905" t="str">
        <f t="shared" si="11"/>
        <v/>
      </c>
      <c r="D61" s="901" t="str">
        <f t="shared" si="12"/>
        <v/>
      </c>
      <c r="E61" s="901" t="str">
        <f t="shared" si="13"/>
        <v/>
      </c>
      <c r="F61" s="901" t="str">
        <f t="shared" si="14"/>
        <v/>
      </c>
      <c r="G61" s="901" t="str">
        <f t="shared" si="15"/>
        <v/>
      </c>
      <c r="H61" s="510" t="str">
        <f t="shared" si="6"/>
        <v/>
      </c>
      <c r="I61" s="224" t="str">
        <f t="shared" si="7"/>
        <v/>
      </c>
      <c r="J61" s="224" t="str">
        <f t="shared" si="8"/>
        <v/>
      </c>
      <c r="K61" s="224" t="str">
        <f t="shared" si="9"/>
        <v/>
      </c>
      <c r="L61" s="870" t="str">
        <f t="shared" si="10"/>
        <v/>
      </c>
      <c r="M61" s="314"/>
      <c r="Q61" s="843"/>
      <c r="S61" s="844"/>
      <c r="U61" s="25"/>
      <c r="V61" s="25"/>
      <c r="W61" s="25"/>
    </row>
    <row r="62" spans="1:23" ht="12.75" customHeight="1">
      <c r="A62" s="239"/>
      <c r="B62" s="419">
        <v>41</v>
      </c>
      <c r="C62" s="905" t="str">
        <f t="shared" si="11"/>
        <v/>
      </c>
      <c r="D62" s="901" t="str">
        <f t="shared" si="12"/>
        <v/>
      </c>
      <c r="E62" s="901" t="str">
        <f t="shared" si="13"/>
        <v/>
      </c>
      <c r="F62" s="901" t="str">
        <f t="shared" si="14"/>
        <v/>
      </c>
      <c r="G62" s="901" t="str">
        <f t="shared" si="15"/>
        <v/>
      </c>
      <c r="H62" s="510" t="str">
        <f t="shared" si="6"/>
        <v/>
      </c>
      <c r="I62" s="224" t="str">
        <f t="shared" si="7"/>
        <v/>
      </c>
      <c r="J62" s="224" t="str">
        <f t="shared" si="8"/>
        <v/>
      </c>
      <c r="K62" s="224" t="str">
        <f t="shared" si="9"/>
        <v/>
      </c>
      <c r="L62" s="870" t="str">
        <f t="shared" si="10"/>
        <v/>
      </c>
      <c r="M62" s="314"/>
      <c r="Q62" s="843"/>
      <c r="S62" s="844"/>
      <c r="U62" s="25"/>
      <c r="V62" s="25"/>
      <c r="W62" s="25"/>
    </row>
    <row r="63" spans="1:23" ht="12.75" customHeight="1">
      <c r="A63" s="239"/>
      <c r="B63" s="419">
        <v>42</v>
      </c>
      <c r="C63" s="905" t="str">
        <f t="shared" si="11"/>
        <v/>
      </c>
      <c r="D63" s="901" t="str">
        <f t="shared" si="12"/>
        <v/>
      </c>
      <c r="E63" s="901" t="str">
        <f t="shared" si="13"/>
        <v/>
      </c>
      <c r="F63" s="901" t="str">
        <f t="shared" si="14"/>
        <v/>
      </c>
      <c r="G63" s="901" t="str">
        <f t="shared" si="15"/>
        <v/>
      </c>
      <c r="H63" s="510" t="str">
        <f t="shared" si="6"/>
        <v/>
      </c>
      <c r="I63" s="224" t="str">
        <f t="shared" si="7"/>
        <v/>
      </c>
      <c r="J63" s="224" t="str">
        <f t="shared" si="8"/>
        <v/>
      </c>
      <c r="K63" s="224" t="str">
        <f t="shared" si="9"/>
        <v/>
      </c>
      <c r="L63" s="870" t="str">
        <f t="shared" si="10"/>
        <v/>
      </c>
      <c r="M63" s="314"/>
      <c r="Q63" s="843"/>
      <c r="S63" s="844"/>
      <c r="U63" s="25"/>
      <c r="V63" s="25"/>
      <c r="W63" s="25"/>
    </row>
    <row r="64" spans="1:23" ht="12.75" customHeight="1">
      <c r="A64" s="239"/>
      <c r="B64" s="419">
        <v>43</v>
      </c>
      <c r="C64" s="905" t="str">
        <f t="shared" si="11"/>
        <v/>
      </c>
      <c r="D64" s="901" t="str">
        <f t="shared" si="12"/>
        <v/>
      </c>
      <c r="E64" s="901" t="str">
        <f t="shared" si="13"/>
        <v/>
      </c>
      <c r="F64" s="901" t="str">
        <f t="shared" si="14"/>
        <v/>
      </c>
      <c r="G64" s="901" t="str">
        <f t="shared" si="15"/>
        <v/>
      </c>
      <c r="H64" s="510" t="str">
        <f t="shared" si="6"/>
        <v/>
      </c>
      <c r="I64" s="224" t="str">
        <f t="shared" si="7"/>
        <v/>
      </c>
      <c r="J64" s="224" t="str">
        <f t="shared" si="8"/>
        <v/>
      </c>
      <c r="K64" s="224" t="str">
        <f t="shared" si="9"/>
        <v/>
      </c>
      <c r="L64" s="870" t="str">
        <f t="shared" si="10"/>
        <v/>
      </c>
      <c r="M64" s="314"/>
      <c r="Q64" s="843"/>
      <c r="S64" s="844"/>
      <c r="U64" s="25"/>
      <c r="V64" s="25"/>
      <c r="W64" s="25"/>
    </row>
    <row r="65" spans="1:23" ht="12.75" customHeight="1">
      <c r="A65" s="239"/>
      <c r="B65" s="419">
        <v>44</v>
      </c>
      <c r="C65" s="905" t="str">
        <f t="shared" si="11"/>
        <v/>
      </c>
      <c r="D65" s="901" t="str">
        <f t="shared" si="12"/>
        <v/>
      </c>
      <c r="E65" s="901" t="str">
        <f t="shared" si="13"/>
        <v/>
      </c>
      <c r="F65" s="901" t="str">
        <f t="shared" si="14"/>
        <v/>
      </c>
      <c r="G65" s="901" t="str">
        <f t="shared" si="15"/>
        <v/>
      </c>
      <c r="H65" s="510" t="str">
        <f t="shared" si="6"/>
        <v/>
      </c>
      <c r="I65" s="224" t="str">
        <f t="shared" si="7"/>
        <v/>
      </c>
      <c r="J65" s="224" t="str">
        <f t="shared" si="8"/>
        <v/>
      </c>
      <c r="K65" s="224" t="str">
        <f t="shared" si="9"/>
        <v/>
      </c>
      <c r="L65" s="870" t="str">
        <f t="shared" si="10"/>
        <v/>
      </c>
      <c r="M65" s="314"/>
      <c r="Q65" s="843"/>
      <c r="S65" s="844"/>
      <c r="U65" s="25"/>
      <c r="V65" s="25"/>
      <c r="W65" s="25"/>
    </row>
    <row r="66" spans="1:23" ht="12.75" customHeight="1">
      <c r="A66" s="239"/>
      <c r="B66" s="419">
        <v>45</v>
      </c>
      <c r="C66" s="905" t="str">
        <f t="shared" si="11"/>
        <v/>
      </c>
      <c r="D66" s="901" t="str">
        <f t="shared" si="12"/>
        <v/>
      </c>
      <c r="E66" s="901" t="str">
        <f t="shared" si="13"/>
        <v/>
      </c>
      <c r="F66" s="901" t="str">
        <f t="shared" si="14"/>
        <v/>
      </c>
      <c r="G66" s="901" t="str">
        <f t="shared" si="15"/>
        <v/>
      </c>
      <c r="H66" s="510" t="str">
        <f t="shared" si="6"/>
        <v/>
      </c>
      <c r="I66" s="224" t="str">
        <f t="shared" si="7"/>
        <v/>
      </c>
      <c r="J66" s="224" t="str">
        <f t="shared" si="8"/>
        <v/>
      </c>
      <c r="K66" s="224" t="str">
        <f t="shared" si="9"/>
        <v/>
      </c>
      <c r="L66" s="870" t="str">
        <f t="shared" si="10"/>
        <v/>
      </c>
      <c r="M66" s="314"/>
      <c r="Q66" s="843"/>
      <c r="S66" s="844"/>
      <c r="U66" s="25"/>
      <c r="V66" s="25"/>
      <c r="W66" s="25"/>
    </row>
    <row r="67" spans="1:23" ht="12.75" customHeight="1">
      <c r="A67" s="239"/>
      <c r="B67" s="419">
        <v>46</v>
      </c>
      <c r="C67" s="905" t="str">
        <f t="shared" si="11"/>
        <v/>
      </c>
      <c r="D67" s="901" t="str">
        <f t="shared" si="12"/>
        <v/>
      </c>
      <c r="E67" s="901" t="str">
        <f t="shared" si="13"/>
        <v/>
      </c>
      <c r="F67" s="901" t="str">
        <f t="shared" si="14"/>
        <v/>
      </c>
      <c r="G67" s="901" t="str">
        <f t="shared" si="15"/>
        <v/>
      </c>
      <c r="H67" s="510" t="str">
        <f t="shared" si="6"/>
        <v/>
      </c>
      <c r="I67" s="224" t="str">
        <f t="shared" si="7"/>
        <v/>
      </c>
      <c r="J67" s="224" t="str">
        <f t="shared" si="8"/>
        <v/>
      </c>
      <c r="K67" s="224" t="str">
        <f t="shared" si="9"/>
        <v/>
      </c>
      <c r="L67" s="870" t="str">
        <f t="shared" si="10"/>
        <v/>
      </c>
      <c r="M67" s="314"/>
      <c r="Q67" s="843"/>
      <c r="S67" s="844"/>
      <c r="U67" s="25"/>
      <c r="V67" s="25"/>
      <c r="W67" s="25"/>
    </row>
    <row r="68" spans="1:23" ht="12.75" customHeight="1">
      <c r="A68" s="239"/>
      <c r="B68" s="419">
        <v>47</v>
      </c>
      <c r="C68" s="905" t="str">
        <f t="shared" si="11"/>
        <v/>
      </c>
      <c r="D68" s="901" t="str">
        <f t="shared" si="12"/>
        <v/>
      </c>
      <c r="E68" s="901" t="str">
        <f t="shared" si="13"/>
        <v/>
      </c>
      <c r="F68" s="901" t="str">
        <f t="shared" si="14"/>
        <v/>
      </c>
      <c r="G68" s="901" t="str">
        <f t="shared" si="15"/>
        <v/>
      </c>
      <c r="H68" s="510" t="str">
        <f t="shared" si="6"/>
        <v/>
      </c>
      <c r="I68" s="224" t="str">
        <f t="shared" si="7"/>
        <v/>
      </c>
      <c r="J68" s="224" t="str">
        <f t="shared" si="8"/>
        <v/>
      </c>
      <c r="K68" s="224" t="str">
        <f t="shared" si="9"/>
        <v/>
      </c>
      <c r="L68" s="870" t="str">
        <f t="shared" si="10"/>
        <v/>
      </c>
      <c r="M68" s="314"/>
      <c r="Q68" s="843"/>
      <c r="S68" s="844"/>
      <c r="U68" s="25"/>
      <c r="V68" s="25"/>
      <c r="W68" s="25"/>
    </row>
    <row r="69" spans="1:23" ht="12.75" customHeight="1">
      <c r="A69" s="239"/>
      <c r="B69" s="419">
        <v>48</v>
      </c>
      <c r="C69" s="905" t="str">
        <f t="shared" si="11"/>
        <v/>
      </c>
      <c r="D69" s="901" t="str">
        <f t="shared" si="12"/>
        <v/>
      </c>
      <c r="E69" s="901" t="str">
        <f t="shared" si="13"/>
        <v/>
      </c>
      <c r="F69" s="901" t="str">
        <f t="shared" si="14"/>
        <v/>
      </c>
      <c r="G69" s="901" t="str">
        <f t="shared" si="15"/>
        <v/>
      </c>
      <c r="H69" s="510" t="str">
        <f t="shared" si="6"/>
        <v/>
      </c>
      <c r="I69" s="224" t="str">
        <f t="shared" si="7"/>
        <v/>
      </c>
      <c r="J69" s="224" t="str">
        <f t="shared" si="8"/>
        <v/>
      </c>
      <c r="K69" s="224" t="str">
        <f t="shared" si="9"/>
        <v/>
      </c>
      <c r="L69" s="870" t="str">
        <f t="shared" si="10"/>
        <v/>
      </c>
      <c r="M69" s="314"/>
      <c r="Q69" s="843"/>
      <c r="S69" s="844"/>
      <c r="U69" s="25"/>
      <c r="V69" s="25"/>
      <c r="W69" s="25"/>
    </row>
    <row r="70" spans="1:23" ht="12.75" customHeight="1">
      <c r="A70" s="239"/>
      <c r="B70" s="419">
        <v>49</v>
      </c>
      <c r="C70" s="905" t="str">
        <f t="shared" si="11"/>
        <v/>
      </c>
      <c r="D70" s="901" t="str">
        <f t="shared" si="12"/>
        <v/>
      </c>
      <c r="E70" s="901" t="str">
        <f t="shared" si="13"/>
        <v/>
      </c>
      <c r="F70" s="901" t="str">
        <f t="shared" si="14"/>
        <v/>
      </c>
      <c r="G70" s="901" t="str">
        <f t="shared" si="15"/>
        <v/>
      </c>
      <c r="H70" s="510" t="str">
        <f t="shared" si="6"/>
        <v/>
      </c>
      <c r="I70" s="224" t="str">
        <f t="shared" si="7"/>
        <v/>
      </c>
      <c r="J70" s="224" t="str">
        <f t="shared" si="8"/>
        <v/>
      </c>
      <c r="K70" s="224" t="str">
        <f t="shared" si="9"/>
        <v/>
      </c>
      <c r="L70" s="870" t="str">
        <f t="shared" si="10"/>
        <v/>
      </c>
      <c r="M70" s="314"/>
      <c r="Q70" s="843"/>
      <c r="S70" s="844"/>
      <c r="U70" s="25"/>
      <c r="V70" s="25"/>
      <c r="W70" s="25"/>
    </row>
    <row r="71" spans="1:23" ht="12.75" customHeight="1">
      <c r="A71" s="239"/>
      <c r="B71" s="419">
        <v>50</v>
      </c>
      <c r="C71" s="905" t="str">
        <f t="shared" si="11"/>
        <v/>
      </c>
      <c r="D71" s="901" t="str">
        <f t="shared" si="12"/>
        <v/>
      </c>
      <c r="E71" s="901" t="str">
        <f t="shared" si="13"/>
        <v/>
      </c>
      <c r="F71" s="901" t="str">
        <f t="shared" si="14"/>
        <v/>
      </c>
      <c r="G71" s="901" t="str">
        <f t="shared" si="15"/>
        <v/>
      </c>
      <c r="H71" s="510" t="str">
        <f t="shared" si="6"/>
        <v/>
      </c>
      <c r="I71" s="224" t="str">
        <f t="shared" si="7"/>
        <v/>
      </c>
      <c r="J71" s="224" t="str">
        <f t="shared" si="8"/>
        <v/>
      </c>
      <c r="K71" s="224" t="str">
        <f t="shared" si="9"/>
        <v/>
      </c>
      <c r="L71" s="870" t="str">
        <f t="shared" si="10"/>
        <v/>
      </c>
      <c r="M71" s="314"/>
      <c r="Q71" s="843"/>
      <c r="S71" s="844"/>
      <c r="U71" s="25"/>
      <c r="V71" s="25"/>
      <c r="W71" s="25"/>
    </row>
    <row r="72" spans="1:23" ht="12.75" customHeight="1">
      <c r="A72" s="239"/>
      <c r="B72" s="419">
        <v>51</v>
      </c>
      <c r="C72" s="905" t="str">
        <f t="shared" si="11"/>
        <v/>
      </c>
      <c r="D72" s="901" t="str">
        <f t="shared" si="12"/>
        <v/>
      </c>
      <c r="E72" s="901" t="str">
        <f t="shared" si="13"/>
        <v/>
      </c>
      <c r="F72" s="901" t="str">
        <f t="shared" si="14"/>
        <v/>
      </c>
      <c r="G72" s="901" t="str">
        <f t="shared" si="15"/>
        <v/>
      </c>
      <c r="H72" s="510" t="str">
        <f t="shared" si="6"/>
        <v/>
      </c>
      <c r="I72" s="224" t="str">
        <f t="shared" si="7"/>
        <v/>
      </c>
      <c r="J72" s="224" t="str">
        <f t="shared" si="8"/>
        <v/>
      </c>
      <c r="K72" s="224" t="str">
        <f t="shared" si="9"/>
        <v/>
      </c>
      <c r="L72" s="870" t="str">
        <f t="shared" si="10"/>
        <v/>
      </c>
      <c r="M72" s="314"/>
      <c r="Q72" s="843"/>
      <c r="S72" s="844"/>
      <c r="U72" s="25"/>
      <c r="V72" s="25"/>
      <c r="W72" s="25"/>
    </row>
    <row r="73" spans="1:23" ht="12.75" customHeight="1">
      <c r="A73" s="239"/>
      <c r="B73" s="419">
        <v>52</v>
      </c>
      <c r="C73" s="905" t="str">
        <f t="shared" si="11"/>
        <v/>
      </c>
      <c r="D73" s="901" t="str">
        <f t="shared" si="12"/>
        <v/>
      </c>
      <c r="E73" s="901" t="str">
        <f t="shared" si="13"/>
        <v/>
      </c>
      <c r="F73" s="901" t="str">
        <f t="shared" si="14"/>
        <v/>
      </c>
      <c r="G73" s="901" t="str">
        <f t="shared" si="15"/>
        <v/>
      </c>
      <c r="H73" s="510" t="str">
        <f t="shared" si="6"/>
        <v/>
      </c>
      <c r="I73" s="224" t="str">
        <f t="shared" si="7"/>
        <v/>
      </c>
      <c r="J73" s="224" t="str">
        <f t="shared" si="8"/>
        <v/>
      </c>
      <c r="K73" s="224" t="str">
        <f t="shared" si="9"/>
        <v/>
      </c>
      <c r="L73" s="870" t="str">
        <f t="shared" si="10"/>
        <v/>
      </c>
      <c r="M73" s="314"/>
      <c r="Q73" s="843"/>
      <c r="S73" s="844"/>
      <c r="U73" s="25"/>
      <c r="V73" s="25"/>
      <c r="W73" s="25"/>
    </row>
    <row r="74" spans="1:23" ht="12.75" customHeight="1">
      <c r="A74" s="239"/>
      <c r="B74" s="419">
        <v>53</v>
      </c>
      <c r="C74" s="905" t="str">
        <f t="shared" si="11"/>
        <v/>
      </c>
      <c r="D74" s="901" t="str">
        <f t="shared" si="12"/>
        <v/>
      </c>
      <c r="E74" s="901" t="str">
        <f t="shared" si="13"/>
        <v/>
      </c>
      <c r="F74" s="901" t="str">
        <f t="shared" si="14"/>
        <v/>
      </c>
      <c r="G74" s="901" t="str">
        <f t="shared" si="15"/>
        <v/>
      </c>
      <c r="H74" s="510" t="str">
        <f t="shared" si="6"/>
        <v/>
      </c>
      <c r="I74" s="224" t="str">
        <f t="shared" si="7"/>
        <v/>
      </c>
      <c r="J74" s="224" t="str">
        <f t="shared" si="8"/>
        <v/>
      </c>
      <c r="K74" s="224" t="str">
        <f t="shared" si="9"/>
        <v/>
      </c>
      <c r="L74" s="870" t="str">
        <f t="shared" si="10"/>
        <v/>
      </c>
      <c r="M74" s="314"/>
      <c r="Q74" s="843"/>
      <c r="S74" s="844"/>
      <c r="U74" s="25"/>
      <c r="V74" s="25"/>
      <c r="W74" s="25"/>
    </row>
    <row r="75" spans="1:23" ht="12.75" customHeight="1">
      <c r="A75" s="239"/>
      <c r="B75" s="419">
        <v>54</v>
      </c>
      <c r="C75" s="905" t="str">
        <f t="shared" si="11"/>
        <v/>
      </c>
      <c r="D75" s="901" t="str">
        <f t="shared" si="12"/>
        <v/>
      </c>
      <c r="E75" s="901" t="str">
        <f t="shared" si="13"/>
        <v/>
      </c>
      <c r="F75" s="901" t="str">
        <f t="shared" si="14"/>
        <v/>
      </c>
      <c r="G75" s="901" t="str">
        <f t="shared" si="15"/>
        <v/>
      </c>
      <c r="H75" s="510" t="str">
        <f t="shared" si="6"/>
        <v/>
      </c>
      <c r="I75" s="224" t="str">
        <f t="shared" si="7"/>
        <v/>
      </c>
      <c r="J75" s="224" t="str">
        <f t="shared" si="8"/>
        <v/>
      </c>
      <c r="K75" s="224" t="str">
        <f t="shared" si="9"/>
        <v/>
      </c>
      <c r="L75" s="870" t="str">
        <f t="shared" si="10"/>
        <v/>
      </c>
      <c r="M75" s="314"/>
      <c r="Q75" s="843"/>
      <c r="S75" s="844"/>
      <c r="U75" s="25"/>
      <c r="V75" s="25"/>
      <c r="W75" s="25"/>
    </row>
    <row r="76" spans="1:23" ht="12.75" customHeight="1">
      <c r="A76" s="239"/>
      <c r="B76" s="419">
        <v>55</v>
      </c>
      <c r="C76" s="905" t="str">
        <f t="shared" si="11"/>
        <v/>
      </c>
      <c r="D76" s="901" t="str">
        <f t="shared" si="12"/>
        <v/>
      </c>
      <c r="E76" s="901" t="str">
        <f t="shared" si="13"/>
        <v/>
      </c>
      <c r="F76" s="901" t="str">
        <f t="shared" si="14"/>
        <v/>
      </c>
      <c r="G76" s="901" t="str">
        <f t="shared" si="15"/>
        <v/>
      </c>
      <c r="H76" s="510" t="str">
        <f t="shared" si="6"/>
        <v/>
      </c>
      <c r="I76" s="224" t="str">
        <f t="shared" si="7"/>
        <v/>
      </c>
      <c r="J76" s="224" t="str">
        <f t="shared" si="8"/>
        <v/>
      </c>
      <c r="K76" s="224" t="str">
        <f t="shared" si="9"/>
        <v/>
      </c>
      <c r="L76" s="870" t="str">
        <f t="shared" si="10"/>
        <v/>
      </c>
      <c r="M76" s="314"/>
      <c r="Q76" s="843"/>
      <c r="S76" s="844"/>
      <c r="U76" s="25"/>
      <c r="V76" s="25"/>
      <c r="W76" s="25"/>
    </row>
    <row r="77" spans="1:23" ht="12.75" customHeight="1">
      <c r="A77" s="239"/>
      <c r="B77" s="419">
        <v>56</v>
      </c>
      <c r="C77" s="905" t="str">
        <f t="shared" si="11"/>
        <v/>
      </c>
      <c r="D77" s="901" t="str">
        <f t="shared" si="12"/>
        <v/>
      </c>
      <c r="E77" s="901" t="str">
        <f t="shared" si="13"/>
        <v/>
      </c>
      <c r="F77" s="901" t="str">
        <f t="shared" si="14"/>
        <v/>
      </c>
      <c r="G77" s="901" t="str">
        <f t="shared" si="15"/>
        <v/>
      </c>
      <c r="H77" s="510" t="str">
        <f t="shared" si="6"/>
        <v/>
      </c>
      <c r="I77" s="224" t="str">
        <f t="shared" si="7"/>
        <v/>
      </c>
      <c r="J77" s="224" t="str">
        <f t="shared" si="8"/>
        <v/>
      </c>
      <c r="K77" s="224" t="str">
        <f t="shared" si="9"/>
        <v/>
      </c>
      <c r="L77" s="870" t="str">
        <f t="shared" si="10"/>
        <v/>
      </c>
      <c r="M77" s="314"/>
      <c r="Q77" s="843"/>
      <c r="S77" s="844"/>
      <c r="U77" s="25"/>
      <c r="V77" s="25"/>
      <c r="W77" s="25"/>
    </row>
    <row r="78" spans="1:23" ht="12.75" customHeight="1">
      <c r="A78" s="239"/>
      <c r="B78" s="419">
        <v>57</v>
      </c>
      <c r="C78" s="905" t="str">
        <f t="shared" si="11"/>
        <v/>
      </c>
      <c r="D78" s="901" t="str">
        <f t="shared" si="12"/>
        <v/>
      </c>
      <c r="E78" s="901" t="str">
        <f t="shared" si="13"/>
        <v/>
      </c>
      <c r="F78" s="901" t="str">
        <f t="shared" si="14"/>
        <v/>
      </c>
      <c r="G78" s="901" t="str">
        <f t="shared" si="15"/>
        <v/>
      </c>
      <c r="H78" s="510" t="str">
        <f t="shared" si="6"/>
        <v/>
      </c>
      <c r="I78" s="224" t="str">
        <f t="shared" si="7"/>
        <v/>
      </c>
      <c r="J78" s="224" t="str">
        <f t="shared" si="8"/>
        <v/>
      </c>
      <c r="K78" s="224" t="str">
        <f t="shared" si="9"/>
        <v/>
      </c>
      <c r="L78" s="870" t="str">
        <f t="shared" si="10"/>
        <v/>
      </c>
      <c r="M78" s="314"/>
      <c r="Q78" s="843"/>
      <c r="S78" s="844"/>
      <c r="U78" s="25"/>
      <c r="V78" s="25"/>
      <c r="W78" s="25"/>
    </row>
    <row r="79" spans="1:23" ht="12.75" customHeight="1">
      <c r="A79" s="239"/>
      <c r="B79" s="419">
        <v>58</v>
      </c>
      <c r="C79" s="905" t="str">
        <f t="shared" si="11"/>
        <v/>
      </c>
      <c r="D79" s="901" t="str">
        <f t="shared" si="12"/>
        <v/>
      </c>
      <c r="E79" s="901" t="str">
        <f t="shared" si="13"/>
        <v/>
      </c>
      <c r="F79" s="901" t="str">
        <f t="shared" si="14"/>
        <v/>
      </c>
      <c r="G79" s="901" t="str">
        <f t="shared" si="15"/>
        <v/>
      </c>
      <c r="H79" s="510" t="str">
        <f t="shared" si="6"/>
        <v/>
      </c>
      <c r="I79" s="224" t="str">
        <f t="shared" si="7"/>
        <v/>
      </c>
      <c r="J79" s="224" t="str">
        <f t="shared" si="8"/>
        <v/>
      </c>
      <c r="K79" s="224" t="str">
        <f t="shared" si="9"/>
        <v/>
      </c>
      <c r="L79" s="870" t="str">
        <f t="shared" si="10"/>
        <v/>
      </c>
      <c r="M79" s="314"/>
      <c r="Q79" s="843"/>
      <c r="S79" s="844"/>
      <c r="U79" s="25"/>
      <c r="V79" s="25"/>
      <c r="W79" s="25"/>
    </row>
    <row r="80" spans="1:23" ht="12.75" customHeight="1">
      <c r="A80" s="239"/>
      <c r="B80" s="419">
        <v>59</v>
      </c>
      <c r="C80" s="905" t="str">
        <f t="shared" si="11"/>
        <v/>
      </c>
      <c r="D80" s="901" t="str">
        <f t="shared" si="12"/>
        <v/>
      </c>
      <c r="E80" s="901" t="str">
        <f t="shared" si="13"/>
        <v/>
      </c>
      <c r="F80" s="901" t="str">
        <f t="shared" si="14"/>
        <v/>
      </c>
      <c r="G80" s="901" t="str">
        <f t="shared" si="15"/>
        <v/>
      </c>
      <c r="H80" s="510" t="str">
        <f t="shared" si="6"/>
        <v/>
      </c>
      <c r="I80" s="224" t="str">
        <f t="shared" si="7"/>
        <v/>
      </c>
      <c r="J80" s="224" t="str">
        <f t="shared" si="8"/>
        <v/>
      </c>
      <c r="K80" s="224" t="str">
        <f t="shared" si="9"/>
        <v/>
      </c>
      <c r="L80" s="870" t="str">
        <f t="shared" si="10"/>
        <v/>
      </c>
      <c r="M80" s="314"/>
      <c r="Q80" s="843"/>
      <c r="S80" s="844"/>
      <c r="U80" s="25"/>
      <c r="V80" s="25"/>
      <c r="W80" s="25"/>
    </row>
    <row r="81" spans="1:23" ht="12.75" customHeight="1">
      <c r="A81" s="239"/>
      <c r="B81" s="419">
        <v>60</v>
      </c>
      <c r="C81" s="905" t="str">
        <f t="shared" si="11"/>
        <v/>
      </c>
      <c r="D81" s="901" t="str">
        <f t="shared" si="12"/>
        <v/>
      </c>
      <c r="E81" s="901" t="str">
        <f t="shared" si="13"/>
        <v/>
      </c>
      <c r="F81" s="901" t="str">
        <f t="shared" si="14"/>
        <v/>
      </c>
      <c r="G81" s="901" t="str">
        <f t="shared" si="15"/>
        <v/>
      </c>
      <c r="H81" s="510" t="str">
        <f t="shared" si="6"/>
        <v/>
      </c>
      <c r="I81" s="224" t="str">
        <f t="shared" si="7"/>
        <v/>
      </c>
      <c r="J81" s="224" t="str">
        <f t="shared" si="8"/>
        <v/>
      </c>
      <c r="K81" s="224" t="str">
        <f t="shared" si="9"/>
        <v/>
      </c>
      <c r="L81" s="870" t="str">
        <f t="shared" si="10"/>
        <v/>
      </c>
      <c r="M81" s="314"/>
      <c r="Q81" s="843"/>
      <c r="S81" s="844"/>
      <c r="U81" s="25"/>
      <c r="V81" s="25"/>
      <c r="W81" s="25"/>
    </row>
    <row r="82" spans="1:23" ht="12.75" customHeight="1">
      <c r="A82" s="239"/>
      <c r="B82" s="419">
        <v>61</v>
      </c>
      <c r="C82" s="905" t="str">
        <f t="shared" si="11"/>
        <v/>
      </c>
      <c r="D82" s="901" t="str">
        <f t="shared" si="12"/>
        <v/>
      </c>
      <c r="E82" s="901" t="str">
        <f t="shared" si="13"/>
        <v/>
      </c>
      <c r="F82" s="901" t="str">
        <f t="shared" si="14"/>
        <v/>
      </c>
      <c r="G82" s="901" t="str">
        <f t="shared" si="15"/>
        <v/>
      </c>
      <c r="H82" s="510" t="str">
        <f t="shared" si="6"/>
        <v/>
      </c>
      <c r="I82" s="224" t="str">
        <f t="shared" si="7"/>
        <v/>
      </c>
      <c r="J82" s="224" t="str">
        <f t="shared" si="8"/>
        <v/>
      </c>
      <c r="K82" s="224" t="str">
        <f t="shared" si="9"/>
        <v/>
      </c>
      <c r="L82" s="870" t="str">
        <f t="shared" si="10"/>
        <v/>
      </c>
      <c r="M82" s="314"/>
      <c r="Q82" s="843"/>
      <c r="S82" s="844"/>
      <c r="U82" s="25"/>
      <c r="V82" s="25"/>
      <c r="W82" s="25"/>
    </row>
    <row r="83" spans="1:23" ht="12.75" customHeight="1">
      <c r="A83" s="239"/>
      <c r="B83" s="419">
        <v>62</v>
      </c>
      <c r="C83" s="905" t="str">
        <f t="shared" si="11"/>
        <v/>
      </c>
      <c r="D83" s="901" t="str">
        <f t="shared" si="12"/>
        <v/>
      </c>
      <c r="E83" s="901" t="str">
        <f t="shared" si="13"/>
        <v/>
      </c>
      <c r="F83" s="901" t="str">
        <f t="shared" si="14"/>
        <v/>
      </c>
      <c r="G83" s="901" t="str">
        <f t="shared" si="15"/>
        <v/>
      </c>
      <c r="H83" s="510" t="str">
        <f t="shared" si="6"/>
        <v/>
      </c>
      <c r="I83" s="224" t="str">
        <f t="shared" si="7"/>
        <v/>
      </c>
      <c r="J83" s="224" t="str">
        <f t="shared" si="8"/>
        <v/>
      </c>
      <c r="K83" s="224" t="str">
        <f t="shared" si="9"/>
        <v/>
      </c>
      <c r="L83" s="870" t="str">
        <f t="shared" si="10"/>
        <v/>
      </c>
      <c r="M83" s="314"/>
      <c r="Q83" s="843"/>
      <c r="S83" s="844"/>
      <c r="U83" s="25"/>
      <c r="V83" s="25"/>
      <c r="W83" s="25"/>
    </row>
    <row r="84" spans="1:23" ht="12.75" customHeight="1">
      <c r="A84" s="239"/>
      <c r="B84" s="419">
        <v>63</v>
      </c>
      <c r="C84" s="905" t="str">
        <f t="shared" si="11"/>
        <v/>
      </c>
      <c r="D84" s="901" t="str">
        <f t="shared" si="12"/>
        <v/>
      </c>
      <c r="E84" s="901" t="str">
        <f t="shared" si="13"/>
        <v/>
      </c>
      <c r="F84" s="901" t="str">
        <f t="shared" si="14"/>
        <v/>
      </c>
      <c r="G84" s="901" t="str">
        <f t="shared" si="15"/>
        <v/>
      </c>
      <c r="H84" s="510" t="str">
        <f t="shared" si="6"/>
        <v/>
      </c>
      <c r="I84" s="224" t="str">
        <f t="shared" si="7"/>
        <v/>
      </c>
      <c r="J84" s="224" t="str">
        <f t="shared" si="8"/>
        <v/>
      </c>
      <c r="K84" s="224" t="str">
        <f t="shared" si="9"/>
        <v/>
      </c>
      <c r="L84" s="870" t="str">
        <f t="shared" si="10"/>
        <v/>
      </c>
      <c r="M84" s="314"/>
      <c r="Q84" s="843"/>
      <c r="S84" s="844"/>
      <c r="U84" s="25"/>
      <c r="V84" s="25"/>
      <c r="W84" s="25"/>
    </row>
    <row r="85" spans="1:23" ht="12.75" customHeight="1">
      <c r="A85" s="239"/>
      <c r="B85" s="419">
        <v>64</v>
      </c>
      <c r="C85" s="905" t="str">
        <f t="shared" si="11"/>
        <v/>
      </c>
      <c r="D85" s="901" t="str">
        <f t="shared" si="12"/>
        <v/>
      </c>
      <c r="E85" s="901" t="str">
        <f t="shared" si="13"/>
        <v/>
      </c>
      <c r="F85" s="901" t="str">
        <f t="shared" si="14"/>
        <v/>
      </c>
      <c r="G85" s="901" t="str">
        <f t="shared" si="15"/>
        <v/>
      </c>
      <c r="H85" s="510" t="str">
        <f t="shared" si="6"/>
        <v/>
      </c>
      <c r="I85" s="224" t="str">
        <f t="shared" si="7"/>
        <v/>
      </c>
      <c r="J85" s="224" t="str">
        <f t="shared" si="8"/>
        <v/>
      </c>
      <c r="K85" s="224" t="str">
        <f t="shared" si="9"/>
        <v/>
      </c>
      <c r="L85" s="870" t="str">
        <f t="shared" si="10"/>
        <v/>
      </c>
      <c r="M85" s="314"/>
      <c r="Q85" s="843"/>
      <c r="S85" s="844"/>
      <c r="U85" s="25"/>
      <c r="V85" s="25"/>
      <c r="W85" s="25"/>
    </row>
    <row r="86" spans="1:23" ht="12.75" customHeight="1">
      <c r="A86" s="239"/>
      <c r="B86" s="419">
        <v>65</v>
      </c>
      <c r="C86" s="905" t="str">
        <f t="shared" ref="C86:C101" si="16">IF(B86&lt;=$F$4,VLOOKUP(CONCATENATE("delinquency_",$B86),delinquencies,2,FALSE),"")</f>
        <v/>
      </c>
      <c r="D86" s="901" t="str">
        <f t="shared" ref="D86:D101" si="17">IF(B86&lt;=$F$4,VLOOKUP(CONCATENATE("delinquency_",$B86),delinquencies,3,FALSE),"")</f>
        <v/>
      </c>
      <c r="E86" s="901" t="str">
        <f t="shared" ref="E86:E101" si="18">IF(B86&lt;=$F$4,VLOOKUP(CONCATENATE("delinquency_",$B86),delinquencies,4,FALSE),"")</f>
        <v/>
      </c>
      <c r="F86" s="901" t="str">
        <f t="shared" ref="F86:F101" si="19">IF(B86&lt;=$F$4,VLOOKUP(CONCATENATE("delinquency_",$B86),delinquencies,5,FALSE),"")</f>
        <v/>
      </c>
      <c r="G86" s="901" t="str">
        <f t="shared" ref="G86:G101" si="20">IF(B86&lt;=$F$4,VLOOKUP(CONCATENATE("delinquency_",$B86),delinquencies,6,FALSE),"")</f>
        <v/>
      </c>
      <c r="H86" s="510" t="str">
        <f t="shared" si="6"/>
        <v/>
      </c>
      <c r="I86" s="224" t="str">
        <f t="shared" si="7"/>
        <v/>
      </c>
      <c r="J86" s="224" t="str">
        <f t="shared" si="8"/>
        <v/>
      </c>
      <c r="K86" s="224" t="str">
        <f t="shared" si="9"/>
        <v/>
      </c>
      <c r="L86" s="870" t="str">
        <f t="shared" si="10"/>
        <v/>
      </c>
      <c r="M86" s="314"/>
      <c r="Q86" s="843"/>
      <c r="S86" s="844"/>
      <c r="U86" s="25"/>
      <c r="V86" s="25"/>
      <c r="W86" s="25"/>
    </row>
    <row r="87" spans="1:23" ht="12.75" customHeight="1">
      <c r="A87" s="239"/>
      <c r="B87" s="419">
        <v>66</v>
      </c>
      <c r="C87" s="905" t="str">
        <f t="shared" si="16"/>
        <v/>
      </c>
      <c r="D87" s="901" t="str">
        <f t="shared" si="17"/>
        <v/>
      </c>
      <c r="E87" s="901" t="str">
        <f t="shared" si="18"/>
        <v/>
      </c>
      <c r="F87" s="901" t="str">
        <f t="shared" si="19"/>
        <v/>
      </c>
      <c r="G87" s="901" t="str">
        <f t="shared" si="20"/>
        <v/>
      </c>
      <c r="H87" s="510" t="str">
        <f t="shared" ref="H87:H101" si="21">IF(B87&lt;=$F$4,(C87-D87-E87-F87-G87)/C87,"")</f>
        <v/>
      </c>
      <c r="I87" s="224" t="str">
        <f t="shared" ref="I87:I101" si="22">IF($B87&lt;=$F$4,D87/$C87,"")</f>
        <v/>
      </c>
      <c r="J87" s="224" t="str">
        <f t="shared" ref="J87:J101" si="23">IF($B87&lt;=$F$4,E87/$C87,"")</f>
        <v/>
      </c>
      <c r="K87" s="224" t="str">
        <f t="shared" ref="K87:K101" si="24">IF($B87&lt;=$F$4,F87/$C87,"")</f>
        <v/>
      </c>
      <c r="L87" s="870" t="str">
        <f t="shared" ref="L87:L101" si="25">IF($B87&lt;=$F$4,G87/$C87,"")</f>
        <v/>
      </c>
      <c r="M87" s="314"/>
      <c r="Q87" s="843"/>
      <c r="S87" s="844"/>
      <c r="U87" s="25"/>
      <c r="V87" s="25"/>
      <c r="W87" s="25"/>
    </row>
    <row r="88" spans="1:23" ht="12.75" customHeight="1">
      <c r="A88" s="239"/>
      <c r="B88" s="419">
        <v>67</v>
      </c>
      <c r="C88" s="905" t="str">
        <f t="shared" si="16"/>
        <v/>
      </c>
      <c r="D88" s="901" t="str">
        <f t="shared" si="17"/>
        <v/>
      </c>
      <c r="E88" s="901" t="str">
        <f t="shared" si="18"/>
        <v/>
      </c>
      <c r="F88" s="901" t="str">
        <f t="shared" si="19"/>
        <v/>
      </c>
      <c r="G88" s="901" t="str">
        <f t="shared" si="20"/>
        <v/>
      </c>
      <c r="H88" s="510" t="str">
        <f t="shared" si="21"/>
        <v/>
      </c>
      <c r="I88" s="224" t="str">
        <f t="shared" si="22"/>
        <v/>
      </c>
      <c r="J88" s="224" t="str">
        <f t="shared" si="23"/>
        <v/>
      </c>
      <c r="K88" s="224" t="str">
        <f t="shared" si="24"/>
        <v/>
      </c>
      <c r="L88" s="870" t="str">
        <f t="shared" si="25"/>
        <v/>
      </c>
      <c r="M88" s="314"/>
      <c r="Q88" s="843"/>
      <c r="S88" s="844"/>
      <c r="U88" s="25"/>
      <c r="V88" s="25"/>
      <c r="W88" s="25"/>
    </row>
    <row r="89" spans="1:23" ht="12.75" customHeight="1">
      <c r="A89" s="239"/>
      <c r="B89" s="419">
        <v>68</v>
      </c>
      <c r="C89" s="905" t="str">
        <f t="shared" si="16"/>
        <v/>
      </c>
      <c r="D89" s="901" t="str">
        <f t="shared" si="17"/>
        <v/>
      </c>
      <c r="E89" s="901" t="str">
        <f t="shared" si="18"/>
        <v/>
      </c>
      <c r="F89" s="901" t="str">
        <f t="shared" si="19"/>
        <v/>
      </c>
      <c r="G89" s="901" t="str">
        <f t="shared" si="20"/>
        <v/>
      </c>
      <c r="H89" s="510" t="str">
        <f t="shared" si="21"/>
        <v/>
      </c>
      <c r="I89" s="224" t="str">
        <f t="shared" si="22"/>
        <v/>
      </c>
      <c r="J89" s="224" t="str">
        <f t="shared" si="23"/>
        <v/>
      </c>
      <c r="K89" s="224" t="str">
        <f t="shared" si="24"/>
        <v/>
      </c>
      <c r="L89" s="870" t="str">
        <f t="shared" si="25"/>
        <v/>
      </c>
      <c r="M89" s="314"/>
      <c r="Q89" s="843"/>
      <c r="S89" s="844"/>
      <c r="U89" s="25"/>
      <c r="V89" s="25"/>
      <c r="W89" s="25"/>
    </row>
    <row r="90" spans="1:23" ht="12.75" customHeight="1">
      <c r="A90" s="239"/>
      <c r="B90" s="419">
        <v>69</v>
      </c>
      <c r="C90" s="905" t="str">
        <f t="shared" si="16"/>
        <v/>
      </c>
      <c r="D90" s="901" t="str">
        <f t="shared" si="17"/>
        <v/>
      </c>
      <c r="E90" s="901" t="str">
        <f t="shared" si="18"/>
        <v/>
      </c>
      <c r="F90" s="901" t="str">
        <f t="shared" si="19"/>
        <v/>
      </c>
      <c r="G90" s="901" t="str">
        <f t="shared" si="20"/>
        <v/>
      </c>
      <c r="H90" s="510" t="str">
        <f t="shared" si="21"/>
        <v/>
      </c>
      <c r="I90" s="224" t="str">
        <f t="shared" si="22"/>
        <v/>
      </c>
      <c r="J90" s="224" t="str">
        <f t="shared" si="23"/>
        <v/>
      </c>
      <c r="K90" s="224" t="str">
        <f t="shared" si="24"/>
        <v/>
      </c>
      <c r="L90" s="870" t="str">
        <f t="shared" si="25"/>
        <v/>
      </c>
      <c r="M90" s="314"/>
      <c r="Q90" s="843"/>
      <c r="S90" s="844"/>
      <c r="U90" s="25"/>
      <c r="V90" s="25"/>
      <c r="W90" s="25"/>
    </row>
    <row r="91" spans="1:23" ht="12.75" customHeight="1">
      <c r="A91" s="239"/>
      <c r="B91" s="419">
        <v>70</v>
      </c>
      <c r="C91" s="905" t="str">
        <f t="shared" si="16"/>
        <v/>
      </c>
      <c r="D91" s="901" t="str">
        <f t="shared" si="17"/>
        <v/>
      </c>
      <c r="E91" s="901" t="str">
        <f t="shared" si="18"/>
        <v/>
      </c>
      <c r="F91" s="901" t="str">
        <f t="shared" si="19"/>
        <v/>
      </c>
      <c r="G91" s="901" t="str">
        <f t="shared" si="20"/>
        <v/>
      </c>
      <c r="H91" s="510" t="str">
        <f t="shared" si="21"/>
        <v/>
      </c>
      <c r="I91" s="224" t="str">
        <f t="shared" si="22"/>
        <v/>
      </c>
      <c r="J91" s="224" t="str">
        <f t="shared" si="23"/>
        <v/>
      </c>
      <c r="K91" s="224" t="str">
        <f t="shared" si="24"/>
        <v/>
      </c>
      <c r="L91" s="870" t="str">
        <f t="shared" si="25"/>
        <v/>
      </c>
      <c r="M91" s="314"/>
      <c r="Q91" s="843"/>
      <c r="S91" s="844"/>
      <c r="U91" s="25"/>
      <c r="V91" s="25"/>
      <c r="W91" s="25"/>
    </row>
    <row r="92" spans="1:23" ht="12.75" customHeight="1">
      <c r="A92" s="239"/>
      <c r="B92" s="419">
        <v>71</v>
      </c>
      <c r="C92" s="905" t="str">
        <f t="shared" si="16"/>
        <v/>
      </c>
      <c r="D92" s="901" t="str">
        <f t="shared" si="17"/>
        <v/>
      </c>
      <c r="E92" s="901" t="str">
        <f t="shared" si="18"/>
        <v/>
      </c>
      <c r="F92" s="901" t="str">
        <f t="shared" si="19"/>
        <v/>
      </c>
      <c r="G92" s="901" t="str">
        <f t="shared" si="20"/>
        <v/>
      </c>
      <c r="H92" s="510" t="str">
        <f t="shared" si="21"/>
        <v/>
      </c>
      <c r="I92" s="224" t="str">
        <f t="shared" si="22"/>
        <v/>
      </c>
      <c r="J92" s="224" t="str">
        <f t="shared" si="23"/>
        <v/>
      </c>
      <c r="K92" s="224" t="str">
        <f t="shared" si="24"/>
        <v/>
      </c>
      <c r="L92" s="870" t="str">
        <f t="shared" si="25"/>
        <v/>
      </c>
      <c r="M92" s="314"/>
      <c r="Q92" s="843"/>
      <c r="S92" s="844"/>
      <c r="U92" s="25"/>
      <c r="V92" s="25"/>
      <c r="W92" s="25"/>
    </row>
    <row r="93" spans="1:23" ht="12.75" customHeight="1">
      <c r="A93" s="239"/>
      <c r="B93" s="419">
        <v>72</v>
      </c>
      <c r="C93" s="905" t="str">
        <f t="shared" si="16"/>
        <v/>
      </c>
      <c r="D93" s="901" t="str">
        <f t="shared" si="17"/>
        <v/>
      </c>
      <c r="E93" s="901" t="str">
        <f t="shared" si="18"/>
        <v/>
      </c>
      <c r="F93" s="901" t="str">
        <f t="shared" si="19"/>
        <v/>
      </c>
      <c r="G93" s="901" t="str">
        <f t="shared" si="20"/>
        <v/>
      </c>
      <c r="H93" s="510" t="str">
        <f t="shared" si="21"/>
        <v/>
      </c>
      <c r="I93" s="224" t="str">
        <f t="shared" si="22"/>
        <v/>
      </c>
      <c r="J93" s="224" t="str">
        <f t="shared" si="23"/>
        <v/>
      </c>
      <c r="K93" s="224" t="str">
        <f t="shared" si="24"/>
        <v/>
      </c>
      <c r="L93" s="870" t="str">
        <f t="shared" si="25"/>
        <v/>
      </c>
      <c r="M93" s="314"/>
      <c r="Q93" s="843"/>
      <c r="S93" s="844"/>
      <c r="U93" s="25"/>
      <c r="V93" s="25"/>
      <c r="W93" s="25"/>
    </row>
    <row r="94" spans="1:23" ht="12.75" customHeight="1">
      <c r="A94" s="239"/>
      <c r="B94" s="419">
        <v>73</v>
      </c>
      <c r="C94" s="905" t="str">
        <f t="shared" si="16"/>
        <v/>
      </c>
      <c r="D94" s="901" t="str">
        <f t="shared" si="17"/>
        <v/>
      </c>
      <c r="E94" s="901" t="str">
        <f t="shared" si="18"/>
        <v/>
      </c>
      <c r="F94" s="901" t="str">
        <f t="shared" si="19"/>
        <v/>
      </c>
      <c r="G94" s="901" t="str">
        <f t="shared" si="20"/>
        <v/>
      </c>
      <c r="H94" s="510" t="str">
        <f t="shared" si="21"/>
        <v/>
      </c>
      <c r="I94" s="224" t="str">
        <f t="shared" si="22"/>
        <v/>
      </c>
      <c r="J94" s="224" t="str">
        <f t="shared" si="23"/>
        <v/>
      </c>
      <c r="K94" s="224" t="str">
        <f t="shared" si="24"/>
        <v/>
      </c>
      <c r="L94" s="870" t="str">
        <f t="shared" si="25"/>
        <v/>
      </c>
      <c r="M94" s="314"/>
      <c r="Q94" s="843"/>
      <c r="S94" s="844"/>
      <c r="U94" s="25"/>
      <c r="V94" s="25"/>
      <c r="W94" s="25"/>
    </row>
    <row r="95" spans="1:23" ht="12.75" customHeight="1">
      <c r="A95" s="239"/>
      <c r="B95" s="419">
        <v>74</v>
      </c>
      <c r="C95" s="905" t="str">
        <f t="shared" si="16"/>
        <v/>
      </c>
      <c r="D95" s="901" t="str">
        <f t="shared" si="17"/>
        <v/>
      </c>
      <c r="E95" s="901" t="str">
        <f t="shared" si="18"/>
        <v/>
      </c>
      <c r="F95" s="901" t="str">
        <f t="shared" si="19"/>
        <v/>
      </c>
      <c r="G95" s="901" t="str">
        <f t="shared" si="20"/>
        <v/>
      </c>
      <c r="H95" s="510" t="str">
        <f t="shared" si="21"/>
        <v/>
      </c>
      <c r="I95" s="224" t="str">
        <f t="shared" si="22"/>
        <v/>
      </c>
      <c r="J95" s="224" t="str">
        <f t="shared" si="23"/>
        <v/>
      </c>
      <c r="K95" s="224" t="str">
        <f t="shared" si="24"/>
        <v/>
      </c>
      <c r="L95" s="870" t="str">
        <f t="shared" si="25"/>
        <v/>
      </c>
      <c r="M95" s="314"/>
      <c r="Q95" s="843"/>
      <c r="S95" s="844"/>
      <c r="U95" s="25"/>
      <c r="V95" s="25"/>
      <c r="W95" s="25"/>
    </row>
    <row r="96" spans="1:23" ht="12.75" customHeight="1">
      <c r="A96" s="239"/>
      <c r="B96" s="419">
        <v>75</v>
      </c>
      <c r="C96" s="905" t="str">
        <f t="shared" si="16"/>
        <v/>
      </c>
      <c r="D96" s="901" t="str">
        <f t="shared" si="17"/>
        <v/>
      </c>
      <c r="E96" s="901" t="str">
        <f t="shared" si="18"/>
        <v/>
      </c>
      <c r="F96" s="901" t="str">
        <f t="shared" si="19"/>
        <v/>
      </c>
      <c r="G96" s="901" t="str">
        <f t="shared" si="20"/>
        <v/>
      </c>
      <c r="H96" s="510" t="str">
        <f t="shared" si="21"/>
        <v/>
      </c>
      <c r="I96" s="224" t="str">
        <f t="shared" si="22"/>
        <v/>
      </c>
      <c r="J96" s="224" t="str">
        <f t="shared" si="23"/>
        <v/>
      </c>
      <c r="K96" s="224" t="str">
        <f t="shared" si="24"/>
        <v/>
      </c>
      <c r="L96" s="870" t="str">
        <f t="shared" si="25"/>
        <v/>
      </c>
      <c r="M96" s="314"/>
      <c r="Q96" s="843"/>
      <c r="S96" s="844"/>
      <c r="U96" s="25"/>
      <c r="V96" s="25"/>
      <c r="W96" s="25"/>
    </row>
    <row r="97" spans="1:23" ht="12.75" customHeight="1">
      <c r="A97" s="239"/>
      <c r="B97" s="419">
        <v>76</v>
      </c>
      <c r="C97" s="905" t="str">
        <f t="shared" si="16"/>
        <v/>
      </c>
      <c r="D97" s="901" t="str">
        <f t="shared" si="17"/>
        <v/>
      </c>
      <c r="E97" s="901" t="str">
        <f t="shared" si="18"/>
        <v/>
      </c>
      <c r="F97" s="901" t="str">
        <f t="shared" si="19"/>
        <v/>
      </c>
      <c r="G97" s="901" t="str">
        <f t="shared" si="20"/>
        <v/>
      </c>
      <c r="H97" s="510" t="str">
        <f t="shared" si="21"/>
        <v/>
      </c>
      <c r="I97" s="224" t="str">
        <f t="shared" si="22"/>
        <v/>
      </c>
      <c r="J97" s="224" t="str">
        <f t="shared" si="23"/>
        <v/>
      </c>
      <c r="K97" s="224" t="str">
        <f t="shared" si="24"/>
        <v/>
      </c>
      <c r="L97" s="870" t="str">
        <f t="shared" si="25"/>
        <v/>
      </c>
      <c r="M97" s="314"/>
      <c r="Q97" s="843"/>
      <c r="S97" s="844"/>
      <c r="U97" s="25"/>
      <c r="V97" s="25"/>
      <c r="W97" s="25"/>
    </row>
    <row r="98" spans="1:23" ht="12.75" customHeight="1">
      <c r="A98" s="239"/>
      <c r="B98" s="419">
        <v>77</v>
      </c>
      <c r="C98" s="905" t="str">
        <f t="shared" si="16"/>
        <v/>
      </c>
      <c r="D98" s="901" t="str">
        <f t="shared" si="17"/>
        <v/>
      </c>
      <c r="E98" s="901" t="str">
        <f t="shared" si="18"/>
        <v/>
      </c>
      <c r="F98" s="901" t="str">
        <f t="shared" si="19"/>
        <v/>
      </c>
      <c r="G98" s="901" t="str">
        <f t="shared" si="20"/>
        <v/>
      </c>
      <c r="H98" s="510" t="str">
        <f t="shared" si="21"/>
        <v/>
      </c>
      <c r="I98" s="224" t="str">
        <f t="shared" si="22"/>
        <v/>
      </c>
      <c r="J98" s="224" t="str">
        <f t="shared" si="23"/>
        <v/>
      </c>
      <c r="K98" s="224" t="str">
        <f t="shared" si="24"/>
        <v/>
      </c>
      <c r="L98" s="870" t="str">
        <f t="shared" si="25"/>
        <v/>
      </c>
      <c r="M98" s="314"/>
      <c r="Q98" s="843"/>
      <c r="S98" s="844"/>
      <c r="U98" s="25"/>
      <c r="V98" s="25"/>
      <c r="W98" s="25"/>
    </row>
    <row r="99" spans="1:23" ht="12.75" customHeight="1">
      <c r="A99" s="239"/>
      <c r="B99" s="419">
        <v>78</v>
      </c>
      <c r="C99" s="905" t="str">
        <f t="shared" si="16"/>
        <v/>
      </c>
      <c r="D99" s="901" t="str">
        <f t="shared" si="17"/>
        <v/>
      </c>
      <c r="E99" s="901" t="str">
        <f t="shared" si="18"/>
        <v/>
      </c>
      <c r="F99" s="901" t="str">
        <f t="shared" si="19"/>
        <v/>
      </c>
      <c r="G99" s="901" t="str">
        <f t="shared" si="20"/>
        <v/>
      </c>
      <c r="H99" s="510" t="str">
        <f t="shared" si="21"/>
        <v/>
      </c>
      <c r="I99" s="224" t="str">
        <f t="shared" si="22"/>
        <v/>
      </c>
      <c r="J99" s="224" t="str">
        <f t="shared" si="23"/>
        <v/>
      </c>
      <c r="K99" s="224" t="str">
        <f t="shared" si="24"/>
        <v/>
      </c>
      <c r="L99" s="870" t="str">
        <f t="shared" si="25"/>
        <v/>
      </c>
      <c r="M99" s="314"/>
      <c r="Q99" s="843"/>
      <c r="S99" s="844"/>
      <c r="U99" s="25"/>
      <c r="V99" s="25"/>
      <c r="W99" s="25"/>
    </row>
    <row r="100" spans="1:23" ht="12.75" customHeight="1">
      <c r="A100" s="239"/>
      <c r="B100" s="419">
        <v>79</v>
      </c>
      <c r="C100" s="905" t="str">
        <f t="shared" si="16"/>
        <v/>
      </c>
      <c r="D100" s="901" t="str">
        <f t="shared" si="17"/>
        <v/>
      </c>
      <c r="E100" s="901" t="str">
        <f t="shared" si="18"/>
        <v/>
      </c>
      <c r="F100" s="901" t="str">
        <f t="shared" si="19"/>
        <v/>
      </c>
      <c r="G100" s="901" t="str">
        <f t="shared" si="20"/>
        <v/>
      </c>
      <c r="H100" s="510" t="str">
        <f t="shared" si="21"/>
        <v/>
      </c>
      <c r="I100" s="224" t="str">
        <f t="shared" si="22"/>
        <v/>
      </c>
      <c r="J100" s="224" t="str">
        <f t="shared" si="23"/>
        <v/>
      </c>
      <c r="K100" s="224" t="str">
        <f t="shared" si="24"/>
        <v/>
      </c>
      <c r="L100" s="870" t="str">
        <f t="shared" si="25"/>
        <v/>
      </c>
      <c r="M100" s="314"/>
      <c r="Q100" s="843"/>
      <c r="S100" s="844"/>
      <c r="U100" s="25"/>
      <c r="V100" s="25"/>
      <c r="W100" s="25"/>
    </row>
    <row r="101" spans="1:23">
      <c r="A101" s="239"/>
      <c r="B101" s="846">
        <v>80</v>
      </c>
      <c r="C101" s="906" t="str">
        <f t="shared" si="16"/>
        <v/>
      </c>
      <c r="D101" s="906" t="str">
        <f t="shared" si="17"/>
        <v/>
      </c>
      <c r="E101" s="906" t="str">
        <f t="shared" si="18"/>
        <v/>
      </c>
      <c r="F101" s="906" t="str">
        <f t="shared" si="19"/>
        <v/>
      </c>
      <c r="G101" s="906" t="str">
        <f t="shared" si="20"/>
        <v/>
      </c>
      <c r="H101" s="471" t="str">
        <f t="shared" si="21"/>
        <v/>
      </c>
      <c r="I101" s="471" t="str">
        <f t="shared" si="22"/>
        <v/>
      </c>
      <c r="J101" s="471" t="str">
        <f t="shared" si="23"/>
        <v/>
      </c>
      <c r="K101" s="471" t="str">
        <f t="shared" si="24"/>
        <v/>
      </c>
      <c r="L101" s="472" t="str">
        <f t="shared" si="25"/>
        <v/>
      </c>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 r="A2" s="239"/>
      <c r="B2" s="240" t="str">
        <f>'Cover Sheet'!B2</f>
        <v>SC Germany Consumer 2022-1</v>
      </c>
      <c r="C2" s="240"/>
      <c r="D2" s="241" t="str">
        <f>'Cover Sheet'!D2</f>
        <v>Calculation Date</v>
      </c>
      <c r="E2" s="242"/>
      <c r="F2" s="243">
        <f>'Cover Sheet'!F2</f>
        <v>45911</v>
      </c>
      <c r="G2" s="242"/>
      <c r="H2" s="242"/>
      <c r="I2" s="242"/>
      <c r="J2" s="242"/>
      <c r="K2" s="242"/>
      <c r="L2" s="244"/>
      <c r="M2" s="246"/>
    </row>
    <row r="3" spans="1:13" ht="18">
      <c r="A3" s="239"/>
      <c r="B3" s="240" t="str">
        <f>'Cover Sheet'!B3</f>
        <v>Monthly Investor Report</v>
      </c>
      <c r="C3" s="240"/>
      <c r="D3" s="248" t="str">
        <f>'Cover Sheet'!D3</f>
        <v>Payment Date</v>
      </c>
      <c r="E3" s="249"/>
      <c r="F3" s="250">
        <f>'Cover Sheet'!F3</f>
        <v>45915</v>
      </c>
      <c r="G3" s="249"/>
      <c r="H3" s="249"/>
      <c r="I3" s="249"/>
      <c r="J3" s="249"/>
      <c r="K3" s="249"/>
      <c r="L3" s="251"/>
      <c r="M3" s="246"/>
    </row>
    <row r="4" spans="1:13">
      <c r="A4" s="239"/>
      <c r="B4" s="850"/>
      <c r="C4" s="328"/>
      <c r="D4" s="248" t="str">
        <f>'Cover Sheet'!D4</f>
        <v>Period  No</v>
      </c>
      <c r="E4" s="249"/>
      <c r="F4" s="254">
        <f>'Cover Sheet'!F4</f>
        <v>35</v>
      </c>
      <c r="G4" s="249"/>
      <c r="H4" s="255"/>
      <c r="I4" s="249"/>
      <c r="J4" s="260"/>
      <c r="K4" s="249"/>
      <c r="L4" s="256"/>
      <c r="M4" s="246"/>
    </row>
    <row r="5" spans="1:13" ht="18">
      <c r="A5" s="239"/>
      <c r="B5" s="329" t="s">
        <v>233</v>
      </c>
      <c r="C5" s="329"/>
      <c r="D5" s="248" t="str">
        <f>'Cover Sheet'!D5</f>
        <v>Monthly Period</v>
      </c>
      <c r="E5" s="249"/>
      <c r="F5" s="121">
        <f>'Cover Sheet'!F5</f>
        <v>45915</v>
      </c>
      <c r="G5" s="249"/>
      <c r="H5" s="255"/>
      <c r="I5" s="249"/>
      <c r="J5" s="260"/>
      <c r="K5" s="249"/>
      <c r="L5" s="256"/>
      <c r="M5" s="246"/>
    </row>
    <row r="6" spans="1:13" s="247" customFormat="1" ht="15" customHeight="1">
      <c r="A6" s="239"/>
      <c r="B6" s="258"/>
      <c r="C6" s="330"/>
      <c r="D6" s="248" t="str">
        <f>'Cover Sheet'!D6</f>
        <v>Interest Period</v>
      </c>
      <c r="E6" s="260" t="s">
        <v>34</v>
      </c>
      <c r="F6" s="250">
        <f>'Cover Sheet'!F6</f>
        <v>45883</v>
      </c>
      <c r="G6" s="260" t="str">
        <f>'Cover Sheet'!G6</f>
        <v>to</v>
      </c>
      <c r="H6" s="250">
        <f>'Cover Sheet'!H6</f>
        <v>45915</v>
      </c>
      <c r="I6" s="260" t="str">
        <f>'Cover Sheet'!I6</f>
        <v>=</v>
      </c>
      <c r="J6" s="816" t="str">
        <f>'Cover Sheet'!J6</f>
        <v>32 days</v>
      </c>
      <c r="K6" s="260"/>
      <c r="L6" s="372"/>
      <c r="M6" s="327"/>
    </row>
    <row r="7" spans="1:13">
      <c r="A7" s="239"/>
      <c r="D7" s="689" t="str">
        <f>'Cover Sheet'!D7</f>
        <v>Collection Period</v>
      </c>
      <c r="E7" s="690" t="s">
        <v>34</v>
      </c>
      <c r="F7" s="264" t="str">
        <f>'Cover Sheet'!F7</f>
        <v>01.08.2025</v>
      </c>
      <c r="G7" s="690" t="str">
        <f>'Cover Sheet'!G7</f>
        <v>to</v>
      </c>
      <c r="H7" s="264">
        <f>'Cover Sheet'!H7</f>
        <v>45900</v>
      </c>
      <c r="I7" s="265"/>
      <c r="J7" s="265"/>
      <c r="K7" s="265"/>
      <c r="L7" s="266"/>
      <c r="M7" s="246"/>
    </row>
    <row r="8" spans="1:13" ht="13">
      <c r="A8" s="239"/>
      <c r="D8" s="818"/>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19"/>
      <c r="F13" s="240"/>
      <c r="H13" s="25"/>
      <c r="I13" s="25"/>
      <c r="J13" s="275"/>
      <c r="K13" s="25"/>
      <c r="L13" s="25"/>
      <c r="M13" s="246"/>
    </row>
    <row r="14" spans="1:13">
      <c r="A14" s="239"/>
      <c r="D14" s="820"/>
      <c r="H14" s="25"/>
      <c r="I14" s="25"/>
      <c r="J14" s="25"/>
      <c r="K14" s="25"/>
      <c r="L14" s="25"/>
      <c r="M14" s="246"/>
    </row>
    <row r="15" spans="1:13">
      <c r="A15" s="239"/>
      <c r="D15" s="820"/>
      <c r="H15" s="25"/>
      <c r="I15" s="25"/>
      <c r="J15" s="25"/>
      <c r="K15" s="25"/>
      <c r="L15" s="25"/>
      <c r="M15" s="246"/>
    </row>
    <row r="16" spans="1:13">
      <c r="A16" s="239"/>
      <c r="D16" s="821"/>
      <c r="H16" s="25"/>
      <c r="I16" s="25"/>
      <c r="J16" s="25"/>
      <c r="K16" s="25"/>
      <c r="L16" s="25"/>
      <c r="M16" s="246"/>
    </row>
    <row r="17" spans="1:13" ht="31.5" customHeight="1">
      <c r="A17" s="239"/>
      <c r="B17" s="240" t="s">
        <v>171</v>
      </c>
      <c r="D17" s="328"/>
      <c r="F17" s="805" t="s">
        <v>169</v>
      </c>
      <c r="G17" s="819"/>
      <c r="H17" s="823" t="s">
        <v>61</v>
      </c>
      <c r="I17" s="25"/>
      <c r="J17" s="823"/>
      <c r="K17" s="25"/>
      <c r="L17" s="823"/>
      <c r="M17" s="246"/>
    </row>
    <row r="18" spans="1:13" ht="13">
      <c r="A18" s="239"/>
      <c r="B18" s="851"/>
      <c r="D18" s="852"/>
      <c r="F18" s="833"/>
      <c r="G18" s="838"/>
      <c r="H18" s="25"/>
      <c r="I18" s="25"/>
      <c r="J18" s="25"/>
      <c r="K18" s="25"/>
      <c r="L18" s="25"/>
      <c r="M18" s="246"/>
    </row>
    <row r="19" spans="1:13" ht="13">
      <c r="A19" s="239"/>
      <c r="B19" s="853" t="s">
        <v>172</v>
      </c>
      <c r="D19" s="852"/>
      <c r="F19" s="833"/>
      <c r="G19" s="838"/>
      <c r="H19" s="25"/>
      <c r="I19" s="739"/>
      <c r="J19" s="800"/>
      <c r="K19" s="739"/>
      <c r="L19" s="800"/>
      <c r="M19" s="246"/>
    </row>
    <row r="20" spans="1:13" ht="13">
      <c r="A20" s="239"/>
      <c r="B20" s="25" t="s">
        <v>173</v>
      </c>
      <c r="D20" s="852"/>
      <c r="F20" s="820">
        <f>VLOOKUP("GrossDefault_current",calcdata_22,2,FALSE)</f>
        <v>1631518.43</v>
      </c>
      <c r="G20" s="838"/>
      <c r="H20" s="25"/>
      <c r="I20" s="739"/>
      <c r="J20" s="25"/>
      <c r="K20" s="739"/>
      <c r="L20" s="831"/>
      <c r="M20" s="246"/>
    </row>
    <row r="21" spans="1:13">
      <c r="A21" s="239"/>
      <c r="B21" s="25" t="s">
        <v>81</v>
      </c>
      <c r="D21" s="328"/>
      <c r="F21" s="820">
        <f>VLOOKUP("Recoveries_current",calcdata_22,2,FALSE)</f>
        <v>184720.33</v>
      </c>
      <c r="H21" s="25"/>
      <c r="I21" s="25"/>
      <c r="J21" s="694"/>
      <c r="K21" s="25"/>
      <c r="L21" s="25"/>
      <c r="M21" s="246"/>
    </row>
    <row r="22" spans="1:13" ht="13">
      <c r="A22" s="239"/>
      <c r="B22" s="25" t="s">
        <v>174</v>
      </c>
      <c r="D22" s="854"/>
      <c r="E22" s="838"/>
      <c r="F22" s="820">
        <f>F20-F21</f>
        <v>1446798.0999999999</v>
      </c>
      <c r="G22" s="838"/>
      <c r="H22" s="859"/>
      <c r="I22" s="25"/>
      <c r="J22" s="694"/>
      <c r="K22" s="25"/>
      <c r="L22" s="25"/>
      <c r="M22" s="246"/>
    </row>
    <row r="23" spans="1:13">
      <c r="A23" s="239"/>
      <c r="B23" s="25" t="s">
        <v>175</v>
      </c>
      <c r="D23" s="855"/>
      <c r="F23" s="856"/>
      <c r="H23" s="859">
        <f>VLOOKUP("default_new",Assets,3,0)</f>
        <v>114</v>
      </c>
      <c r="I23" s="25"/>
      <c r="J23" s="694"/>
      <c r="K23" s="25"/>
      <c r="L23" s="25"/>
      <c r="M23" s="246"/>
    </row>
    <row r="24" spans="1:13" ht="13">
      <c r="A24" s="239"/>
      <c r="B24" s="851"/>
      <c r="D24" s="855"/>
      <c r="F24" s="856"/>
      <c r="H24" s="857"/>
      <c r="I24" s="739"/>
      <c r="J24" s="800"/>
      <c r="K24" s="739"/>
      <c r="L24" s="800"/>
      <c r="M24" s="246"/>
    </row>
    <row r="25" spans="1:13" ht="13">
      <c r="A25" s="239"/>
      <c r="B25" s="853" t="s">
        <v>176</v>
      </c>
      <c r="D25" s="855"/>
      <c r="F25" s="856"/>
      <c r="H25" s="858"/>
      <c r="I25" s="739"/>
      <c r="J25" s="694"/>
      <c r="K25" s="739"/>
      <c r="L25" s="831"/>
      <c r="M25" s="246"/>
    </row>
    <row r="26" spans="1:13" ht="13">
      <c r="A26" s="239"/>
      <c r="B26" s="25" t="s">
        <v>177</v>
      </c>
      <c r="C26" s="838"/>
      <c r="D26" s="854"/>
      <c r="E26" s="838"/>
      <c r="F26" s="820">
        <f>VLOOKUP("Cum_GrossDefault",calcdata_22,2,FALSE)</f>
        <v>67871559.180000022</v>
      </c>
      <c r="G26" s="838"/>
      <c r="H26" s="800"/>
      <c r="I26" s="25"/>
      <c r="J26" s="694"/>
      <c r="K26" s="25"/>
      <c r="L26" s="25"/>
      <c r="M26" s="246"/>
    </row>
    <row r="27" spans="1:13" ht="13">
      <c r="A27" s="239"/>
      <c r="B27" s="25" t="s">
        <v>82</v>
      </c>
      <c r="D27" s="855"/>
      <c r="F27" s="820">
        <f>VLOOKUP("Cum_Recoveries",calcdata_22,2,FALSE)</f>
        <v>3240931.7200000007</v>
      </c>
      <c r="H27" s="805"/>
      <c r="I27" s="25"/>
      <c r="J27" s="694"/>
      <c r="K27" s="25"/>
      <c r="L27" s="25"/>
      <c r="M27" s="246"/>
    </row>
    <row r="28" spans="1:13">
      <c r="A28" s="239"/>
      <c r="B28" s="25" t="s">
        <v>462</v>
      </c>
      <c r="D28" s="855"/>
      <c r="F28" s="820">
        <f>F26-F27</f>
        <v>64630627.460000023</v>
      </c>
      <c r="H28" s="694"/>
      <c r="I28" s="25"/>
      <c r="J28" s="25"/>
      <c r="K28" s="25"/>
      <c r="L28" s="25"/>
      <c r="M28" s="246"/>
    </row>
    <row r="29" spans="1:13">
      <c r="A29" s="239"/>
      <c r="B29" s="25" t="s">
        <v>178</v>
      </c>
      <c r="D29" s="328"/>
      <c r="F29" s="328"/>
      <c r="H29" s="859">
        <f>VLOOKUP(F4-1,'3.3 Defaults &amp; Recoveries p.p.'!B:C,2,0)+H23</f>
        <v>4195</v>
      </c>
      <c r="I29" s="25"/>
      <c r="J29" s="25"/>
      <c r="K29" s="25"/>
      <c r="L29" s="25"/>
      <c r="M29" s="246"/>
    </row>
    <row r="30" spans="1:13">
      <c r="A30" s="239"/>
      <c r="D30" s="328"/>
      <c r="F30" s="328"/>
      <c r="H30" s="25"/>
      <c r="I30" s="25"/>
      <c r="J30" s="694"/>
      <c r="K30" s="25"/>
      <c r="L30" s="25"/>
      <c r="M30" s="246"/>
    </row>
    <row r="31" spans="1:13">
      <c r="A31" s="239"/>
      <c r="D31" s="855"/>
      <c r="F31" s="328"/>
      <c r="H31" s="25"/>
      <c r="I31" s="25"/>
      <c r="J31" s="25"/>
      <c r="K31" s="25"/>
      <c r="L31" s="25"/>
      <c r="M31" s="246"/>
    </row>
    <row r="32" spans="1:13" ht="18">
      <c r="A32" s="239"/>
      <c r="B32" s="240" t="s">
        <v>234</v>
      </c>
      <c r="D32" s="855"/>
      <c r="F32" s="328"/>
      <c r="H32" s="25"/>
      <c r="I32" s="25"/>
      <c r="J32" s="800"/>
      <c r="K32" s="25"/>
      <c r="L32" s="801"/>
      <c r="M32" s="246"/>
    </row>
    <row r="33" spans="1:13">
      <c r="A33" s="239"/>
      <c r="D33" s="855"/>
      <c r="F33" s="328"/>
      <c r="H33" s="25"/>
      <c r="I33" s="25"/>
      <c r="J33" s="25"/>
      <c r="K33" s="25"/>
      <c r="L33" s="25"/>
      <c r="M33" s="246"/>
    </row>
    <row r="34" spans="1:13" ht="13">
      <c r="A34" s="239"/>
      <c r="B34" s="853" t="s">
        <v>235</v>
      </c>
      <c r="D34" s="855"/>
      <c r="H34" s="25"/>
      <c r="I34" s="25"/>
      <c r="J34" s="25"/>
      <c r="K34" s="25"/>
      <c r="L34" s="25"/>
      <c r="M34" s="246"/>
    </row>
    <row r="35" spans="1:13">
      <c r="A35" s="239"/>
      <c r="B35" s="33" t="s">
        <v>331</v>
      </c>
      <c r="D35" s="855"/>
      <c r="F35" s="856">
        <f>VLOOKUP("A_PDL_bop",calcdata_22,2,FALSE)</f>
        <v>0</v>
      </c>
      <c r="H35" s="25"/>
      <c r="I35" s="25"/>
      <c r="J35" s="25"/>
      <c r="K35" s="25"/>
      <c r="L35" s="25"/>
      <c r="M35" s="246"/>
    </row>
    <row r="36" spans="1:13" ht="13">
      <c r="A36" s="239"/>
      <c r="B36" s="33" t="s">
        <v>332</v>
      </c>
      <c r="D36" s="855"/>
      <c r="F36" s="856">
        <f>VLOOKUP("A_debited_PDL",calcdata_22,2,FALSE)</f>
        <v>0</v>
      </c>
      <c r="H36" s="25"/>
      <c r="I36" s="25"/>
      <c r="J36" s="800"/>
      <c r="K36" s="25"/>
      <c r="L36" s="800"/>
      <c r="M36" s="246"/>
    </row>
    <row r="37" spans="1:13" ht="13">
      <c r="A37" s="239"/>
      <c r="B37" s="33" t="s">
        <v>333</v>
      </c>
      <c r="D37" s="855"/>
      <c r="F37" s="856">
        <f>VLOOKUP("A_credited_PDL",calcdata_22,2,FALSE)</f>
        <v>0</v>
      </c>
      <c r="H37" s="25"/>
      <c r="I37" s="25"/>
      <c r="J37" s="800"/>
      <c r="K37" s="25"/>
      <c r="L37" s="800"/>
      <c r="M37" s="246"/>
    </row>
    <row r="38" spans="1:13" ht="13">
      <c r="A38" s="239"/>
      <c r="B38" s="33" t="s">
        <v>334</v>
      </c>
      <c r="D38" s="855"/>
      <c r="F38" s="856">
        <f>VLOOKUP("A_PDL_eop",calcdata_22,2,FALSE)</f>
        <v>0</v>
      </c>
      <c r="H38" s="25"/>
      <c r="I38" s="25"/>
      <c r="J38" s="805"/>
      <c r="K38" s="25"/>
      <c r="L38" s="805"/>
      <c r="M38" s="246"/>
    </row>
    <row r="39" spans="1:13" ht="13">
      <c r="A39" s="239"/>
      <c r="D39" s="855"/>
      <c r="F39" s="856"/>
      <c r="H39" s="25"/>
      <c r="I39" s="25"/>
      <c r="J39" s="806"/>
      <c r="K39" s="25"/>
      <c r="L39" s="694"/>
      <c r="M39" s="246"/>
    </row>
    <row r="40" spans="1:13" ht="13">
      <c r="A40" s="239"/>
      <c r="B40" s="853" t="s">
        <v>290</v>
      </c>
      <c r="D40" s="855"/>
      <c r="H40" s="25"/>
      <c r="I40" s="25"/>
      <c r="J40" s="25"/>
      <c r="K40" s="25"/>
      <c r="L40" s="25"/>
      <c r="M40" s="246"/>
    </row>
    <row r="41" spans="1:13">
      <c r="A41" s="239"/>
      <c r="B41" s="33" t="s">
        <v>335</v>
      </c>
      <c r="D41" s="855"/>
      <c r="F41" s="856">
        <f>VLOOKUP("B_PDL_bop",calcdata_22,2,FALSE)</f>
        <v>0</v>
      </c>
      <c r="H41" s="25"/>
      <c r="I41" s="25"/>
      <c r="J41" s="25"/>
      <c r="K41" s="25"/>
      <c r="L41" s="25"/>
      <c r="M41" s="246"/>
    </row>
    <row r="42" spans="1:13" ht="13">
      <c r="A42" s="239"/>
      <c r="B42" s="33" t="s">
        <v>336</v>
      </c>
      <c r="D42" s="855"/>
      <c r="F42" s="856">
        <f>VLOOKUP("B_debited_PDL",calcdata_22,2,FALSE)</f>
        <v>0</v>
      </c>
      <c r="H42" s="25"/>
      <c r="I42" s="25"/>
      <c r="J42" s="800"/>
      <c r="K42" s="25"/>
      <c r="L42" s="800"/>
      <c r="M42" s="246"/>
    </row>
    <row r="43" spans="1:13" ht="13">
      <c r="A43" s="239"/>
      <c r="B43" s="33" t="s">
        <v>337</v>
      </c>
      <c r="D43" s="855"/>
      <c r="F43" s="856">
        <f>VLOOKUP("B_credited_PDL",calcdata_22,2,FALSE)</f>
        <v>0</v>
      </c>
      <c r="H43" s="25"/>
      <c r="I43" s="25"/>
      <c r="J43" s="805"/>
      <c r="K43" s="25"/>
      <c r="L43" s="805"/>
      <c r="M43" s="246"/>
    </row>
    <row r="44" spans="1:13" ht="13">
      <c r="A44" s="239"/>
      <c r="B44" s="33" t="s">
        <v>338</v>
      </c>
      <c r="D44" s="855"/>
      <c r="F44" s="856">
        <f>VLOOKUP("B_PDL_eop",calcdata_22,2,FALSE)</f>
        <v>0</v>
      </c>
      <c r="H44" s="25"/>
      <c r="I44" s="25"/>
      <c r="J44" s="805"/>
      <c r="K44" s="25"/>
      <c r="L44" s="805"/>
      <c r="M44" s="246"/>
    </row>
    <row r="45" spans="1:13" ht="13">
      <c r="A45" s="239"/>
      <c r="D45" s="855"/>
      <c r="F45" s="856"/>
      <c r="H45" s="25"/>
      <c r="I45" s="25"/>
      <c r="J45" s="806"/>
      <c r="K45" s="25"/>
      <c r="L45" s="694"/>
      <c r="M45" s="246"/>
    </row>
    <row r="46" spans="1:13" ht="13">
      <c r="A46" s="239"/>
      <c r="B46" s="853" t="s">
        <v>291</v>
      </c>
      <c r="D46" s="855"/>
      <c r="H46" s="25"/>
      <c r="I46" s="25"/>
      <c r="J46" s="25"/>
      <c r="K46" s="25"/>
      <c r="L46" s="25"/>
      <c r="M46" s="246"/>
    </row>
    <row r="47" spans="1:13">
      <c r="A47" s="239"/>
      <c r="B47" s="33" t="s">
        <v>339</v>
      </c>
      <c r="D47" s="855"/>
      <c r="F47" s="856">
        <f>VLOOKUP("C_PDL_bop",calcdata_22,2,FALSE)</f>
        <v>0</v>
      </c>
      <c r="H47" s="25"/>
      <c r="I47" s="25"/>
      <c r="J47" s="25"/>
      <c r="K47" s="25"/>
      <c r="L47" s="25"/>
      <c r="M47" s="246"/>
    </row>
    <row r="48" spans="1:13" ht="13">
      <c r="A48" s="239"/>
      <c r="B48" s="33" t="s">
        <v>340</v>
      </c>
      <c r="D48" s="855"/>
      <c r="F48" s="856">
        <f>VLOOKUP("C_debited_PDL",calcdata_22,2,FALSE)</f>
        <v>0</v>
      </c>
      <c r="H48" s="25"/>
      <c r="I48" s="25"/>
      <c r="J48" s="800"/>
      <c r="K48" s="25"/>
      <c r="L48" s="800"/>
      <c r="M48" s="246"/>
    </row>
    <row r="49" spans="1:13" ht="13">
      <c r="A49" s="239"/>
      <c r="B49" s="33" t="s">
        <v>341</v>
      </c>
      <c r="D49" s="855"/>
      <c r="F49" s="856">
        <f>VLOOKUP("C_credited_PDL",calcdata_22,2,FALSE)</f>
        <v>0</v>
      </c>
      <c r="H49" s="25"/>
      <c r="I49" s="25"/>
      <c r="J49" s="805"/>
      <c r="K49" s="25"/>
      <c r="L49" s="805"/>
      <c r="M49" s="246"/>
    </row>
    <row r="50" spans="1:13" ht="13">
      <c r="A50" s="239"/>
      <c r="B50" s="33" t="s">
        <v>342</v>
      </c>
      <c r="D50" s="855"/>
      <c r="F50" s="856">
        <f>VLOOKUP("C_PDL_eop",calcdata_22,2,FALSE)</f>
        <v>0</v>
      </c>
      <c r="H50" s="25"/>
      <c r="I50" s="25"/>
      <c r="J50" s="805"/>
      <c r="K50" s="25"/>
      <c r="L50" s="805"/>
      <c r="M50" s="246"/>
    </row>
    <row r="51" spans="1:13" ht="13">
      <c r="A51" s="239"/>
      <c r="D51" s="855"/>
      <c r="F51" s="856"/>
      <c r="H51" s="25"/>
      <c r="I51" s="25"/>
      <c r="J51" s="806"/>
      <c r="K51" s="25"/>
      <c r="L51" s="694"/>
      <c r="M51" s="246"/>
    </row>
    <row r="52" spans="1:13" ht="13">
      <c r="A52" s="239"/>
      <c r="B52" s="853" t="s">
        <v>292</v>
      </c>
      <c r="D52" s="855"/>
      <c r="H52" s="25"/>
      <c r="I52" s="25"/>
      <c r="J52" s="25"/>
      <c r="K52" s="25"/>
      <c r="L52" s="25"/>
      <c r="M52" s="246"/>
    </row>
    <row r="53" spans="1:13">
      <c r="A53" s="239"/>
      <c r="B53" s="33" t="s">
        <v>343</v>
      </c>
      <c r="D53" s="855"/>
      <c r="F53" s="856">
        <f>VLOOKUP("D_PDL_bop",calcdata_22,2,FALSE)</f>
        <v>0</v>
      </c>
      <c r="H53" s="25"/>
      <c r="I53" s="25"/>
      <c r="J53" s="25"/>
      <c r="K53" s="25"/>
      <c r="L53" s="25"/>
      <c r="M53" s="246"/>
    </row>
    <row r="54" spans="1:13" ht="13">
      <c r="A54" s="239"/>
      <c r="B54" s="33" t="s">
        <v>344</v>
      </c>
      <c r="D54" s="855"/>
      <c r="F54" s="856">
        <f>VLOOKUP("D_debited_PDL",calcdata_22,2,FALSE)</f>
        <v>0</v>
      </c>
      <c r="H54" s="25"/>
      <c r="I54" s="25"/>
      <c r="J54" s="800"/>
      <c r="K54" s="25"/>
      <c r="L54" s="800"/>
      <c r="M54" s="246"/>
    </row>
    <row r="55" spans="1:13" ht="13">
      <c r="A55" s="239"/>
      <c r="B55" s="33" t="s">
        <v>345</v>
      </c>
      <c r="D55" s="855"/>
      <c r="F55" s="856">
        <f>VLOOKUP("D_credited_PDL",calcdata_22,2,FALSE)</f>
        <v>0</v>
      </c>
      <c r="H55" s="25"/>
      <c r="I55" s="25"/>
      <c r="J55" s="805"/>
      <c r="K55" s="25"/>
      <c r="L55" s="805"/>
      <c r="M55" s="246"/>
    </row>
    <row r="56" spans="1:13" ht="13">
      <c r="A56" s="239"/>
      <c r="B56" s="33" t="s">
        <v>346</v>
      </c>
      <c r="D56" s="855"/>
      <c r="F56" s="856">
        <f>VLOOKUP("D_PDL_eop",calcdata_22,2,FALSE)</f>
        <v>0</v>
      </c>
      <c r="H56" s="25"/>
      <c r="I56" s="25"/>
      <c r="J56" s="805"/>
      <c r="K56" s="25"/>
      <c r="L56" s="805"/>
      <c r="M56" s="246"/>
    </row>
    <row r="57" spans="1:13" ht="13">
      <c r="A57" s="239"/>
      <c r="D57" s="855"/>
      <c r="F57" s="856"/>
      <c r="H57" s="25"/>
      <c r="I57" s="25"/>
      <c r="J57" s="806"/>
      <c r="K57" s="25"/>
      <c r="L57" s="694"/>
      <c r="M57" s="246"/>
    </row>
    <row r="58" spans="1:13" ht="13">
      <c r="A58" s="239"/>
      <c r="B58" s="853" t="s">
        <v>293</v>
      </c>
      <c r="D58" s="855"/>
      <c r="H58" s="25"/>
      <c r="I58" s="25"/>
      <c r="J58" s="25"/>
      <c r="K58" s="25"/>
      <c r="L58" s="25"/>
      <c r="M58" s="246"/>
    </row>
    <row r="59" spans="1:13">
      <c r="A59" s="239"/>
      <c r="B59" s="33" t="s">
        <v>347</v>
      </c>
      <c r="D59" s="855"/>
      <c r="F59" s="856">
        <f>VLOOKUP("E_PDL_bop",calcdata_22,2,FALSE)</f>
        <v>0</v>
      </c>
      <c r="H59" s="25"/>
      <c r="I59" s="25"/>
      <c r="J59" s="25"/>
      <c r="K59" s="25"/>
      <c r="L59" s="25"/>
      <c r="M59" s="246"/>
    </row>
    <row r="60" spans="1:13" ht="13">
      <c r="A60" s="239"/>
      <c r="B60" s="33" t="s">
        <v>348</v>
      </c>
      <c r="D60" s="855"/>
      <c r="F60" s="856">
        <f>VLOOKUP("E_debited_PDL",calcdata_22,2,FALSE)</f>
        <v>0</v>
      </c>
      <c r="H60" s="25"/>
      <c r="I60" s="25"/>
      <c r="J60" s="800"/>
      <c r="K60" s="25"/>
      <c r="L60" s="800"/>
      <c r="M60" s="246"/>
    </row>
    <row r="61" spans="1:13" ht="13">
      <c r="A61" s="239"/>
      <c r="B61" s="33" t="s">
        <v>349</v>
      </c>
      <c r="D61" s="855"/>
      <c r="F61" s="856">
        <f>VLOOKUP("E_credited_PDL",calcdata_22,2,FALSE)</f>
        <v>0</v>
      </c>
      <c r="H61" s="25"/>
      <c r="I61" s="25"/>
      <c r="J61" s="805"/>
      <c r="K61" s="25"/>
      <c r="L61" s="805"/>
      <c r="M61" s="246"/>
    </row>
    <row r="62" spans="1:13" ht="13">
      <c r="A62" s="239"/>
      <c r="B62" s="33" t="s">
        <v>350</v>
      </c>
      <c r="D62" s="855"/>
      <c r="F62" s="856">
        <f>VLOOKUP("E_PDL_eop",calcdata_22,2,FALSE)</f>
        <v>0</v>
      </c>
      <c r="H62" s="25"/>
      <c r="I62" s="25"/>
      <c r="J62" s="805"/>
      <c r="K62" s="25"/>
      <c r="L62" s="805"/>
      <c r="M62" s="246"/>
    </row>
    <row r="63" spans="1:13" ht="13">
      <c r="A63" s="239"/>
      <c r="D63" s="855"/>
      <c r="F63" s="856"/>
      <c r="H63" s="25"/>
      <c r="I63" s="25"/>
      <c r="J63" s="806"/>
      <c r="K63" s="25"/>
      <c r="L63" s="694"/>
      <c r="M63" s="246"/>
    </row>
    <row r="64" spans="1:13" ht="13">
      <c r="A64" s="239"/>
      <c r="B64" s="853" t="s">
        <v>294</v>
      </c>
      <c r="D64" s="855"/>
      <c r="H64" s="25"/>
      <c r="I64" s="25"/>
      <c r="J64" s="25"/>
      <c r="K64" s="25"/>
      <c r="L64" s="25"/>
      <c r="M64" s="246"/>
    </row>
    <row r="65" spans="1:13">
      <c r="A65" s="239"/>
      <c r="B65" s="33" t="s">
        <v>351</v>
      </c>
      <c r="D65" s="855"/>
      <c r="F65" s="856">
        <f>VLOOKUP("F_PDL_bop",calcdata_22,2,FALSE)</f>
        <v>0</v>
      </c>
      <c r="H65" s="25"/>
      <c r="I65" s="25"/>
      <c r="J65" s="25"/>
      <c r="K65" s="25"/>
      <c r="L65" s="25"/>
      <c r="M65" s="246"/>
    </row>
    <row r="66" spans="1:13" ht="13">
      <c r="A66" s="239"/>
      <c r="B66" s="33" t="s">
        <v>352</v>
      </c>
      <c r="D66" s="855"/>
      <c r="F66" s="856">
        <f>VLOOKUP("F_debited_PDL",calcdata_22,2,FALSE)</f>
        <v>0</v>
      </c>
      <c r="H66" s="25"/>
      <c r="I66" s="25"/>
      <c r="J66" s="800"/>
      <c r="K66" s="25"/>
      <c r="L66" s="800"/>
      <c r="M66" s="246"/>
    </row>
    <row r="67" spans="1:13" ht="13">
      <c r="A67" s="239"/>
      <c r="B67" s="33" t="s">
        <v>353</v>
      </c>
      <c r="D67" s="855"/>
      <c r="F67" s="856">
        <f>VLOOKUP("F_credited_PDL",calcdata_22,2,FALSE)</f>
        <v>0</v>
      </c>
      <c r="H67" s="25"/>
      <c r="I67" s="25"/>
      <c r="J67" s="805"/>
      <c r="K67" s="25"/>
      <c r="L67" s="805"/>
      <c r="M67" s="246"/>
    </row>
    <row r="68" spans="1:13" ht="13">
      <c r="A68" s="239"/>
      <c r="B68" s="33" t="s">
        <v>354</v>
      </c>
      <c r="D68" s="855"/>
      <c r="F68" s="856">
        <f>VLOOKUP("F_PDL_eop",calcdata_22,2,FALSE)</f>
        <v>0</v>
      </c>
      <c r="H68" s="25"/>
      <c r="I68" s="25"/>
      <c r="J68" s="805"/>
      <c r="K68" s="25"/>
      <c r="L68" s="805"/>
      <c r="M68" s="246"/>
    </row>
    <row r="69" spans="1:13" ht="13">
      <c r="A69" s="239"/>
      <c r="D69" s="855"/>
      <c r="F69" s="856"/>
      <c r="H69" s="25"/>
      <c r="I69" s="25"/>
      <c r="J69" s="806"/>
      <c r="K69" s="25"/>
      <c r="L69" s="694"/>
      <c r="M69" s="246"/>
    </row>
    <row r="70" spans="1:13" ht="13">
      <c r="A70" s="239"/>
      <c r="B70" s="853" t="s">
        <v>295</v>
      </c>
      <c r="D70" s="855"/>
      <c r="H70" s="25"/>
      <c r="I70" s="25"/>
      <c r="J70" s="25"/>
      <c r="K70" s="25"/>
      <c r="L70" s="25"/>
      <c r="M70" s="246"/>
    </row>
    <row r="71" spans="1:13">
      <c r="A71" s="239"/>
      <c r="B71" s="33" t="s">
        <v>355</v>
      </c>
      <c r="D71" s="855"/>
      <c r="F71" s="856">
        <f>VLOOKUP("G_PDL_bop",calcdata_22,2,FALSE)</f>
        <v>21500088.569999997</v>
      </c>
      <c r="H71" s="25"/>
      <c r="I71" s="25"/>
      <c r="J71" s="25"/>
      <c r="K71" s="25"/>
      <c r="L71" s="25"/>
      <c r="M71" s="246"/>
    </row>
    <row r="72" spans="1:13" ht="13">
      <c r="A72" s="239"/>
      <c r="B72" s="33" t="s">
        <v>425</v>
      </c>
      <c r="D72" s="855"/>
      <c r="F72" s="856">
        <f>VLOOKUP("G_debited_PDL",calcdata_22,2,FALSE)</f>
        <v>1631518.43</v>
      </c>
      <c r="H72" s="25"/>
      <c r="I72" s="25"/>
      <c r="J72" s="800"/>
      <c r="K72" s="25"/>
      <c r="L72" s="800"/>
      <c r="M72" s="246"/>
    </row>
    <row r="73" spans="1:13" ht="13">
      <c r="A73" s="239"/>
      <c r="B73" s="33" t="s">
        <v>426</v>
      </c>
      <c r="D73" s="855"/>
      <c r="F73" s="856">
        <f>VLOOKUP("G_credited_PDL",calcdata_22,2,FALSE)</f>
        <v>501270.80999999866</v>
      </c>
      <c r="H73" s="25"/>
      <c r="I73" s="25"/>
      <c r="J73" s="805"/>
      <c r="K73" s="25"/>
      <c r="L73" s="805"/>
      <c r="M73" s="246"/>
    </row>
    <row r="74" spans="1:13" ht="13">
      <c r="A74" s="239"/>
      <c r="B74" s="33" t="s">
        <v>427</v>
      </c>
      <c r="D74" s="855"/>
      <c r="F74" s="856">
        <f>VLOOKUP("G_PDL_eop",calcdata_22,2,FALSE)</f>
        <v>22630336.189999998</v>
      </c>
      <c r="H74" s="25"/>
      <c r="I74" s="25"/>
      <c r="J74" s="805"/>
      <c r="K74" s="25"/>
      <c r="L74" s="805"/>
      <c r="M74" s="246"/>
    </row>
    <row r="75" spans="1:13" ht="12.75" customHeight="1">
      <c r="A75" s="239"/>
      <c r="D75" s="860"/>
      <c r="F75" s="328"/>
      <c r="H75" s="25"/>
      <c r="I75" s="25"/>
      <c r="J75" s="25"/>
      <c r="K75" s="25"/>
      <c r="L75" s="25"/>
      <c r="M75" s="246"/>
    </row>
    <row r="76" spans="1:13">
      <c r="A76" s="315"/>
      <c r="B76" s="318"/>
      <c r="C76" s="318"/>
      <c r="D76" s="861"/>
      <c r="E76" s="318"/>
      <c r="F76" s="318"/>
      <c r="G76" s="318"/>
      <c r="H76" s="40"/>
      <c r="I76" s="40"/>
      <c r="J76" s="40"/>
      <c r="K76" s="40"/>
      <c r="L76" s="40"/>
      <c r="M76" s="319"/>
    </row>
    <row r="78" spans="1:13">
      <c r="H78" s="270"/>
    </row>
    <row r="79" spans="1:13">
      <c r="H79" s="270"/>
    </row>
    <row r="81" spans="2:8">
      <c r="C81" s="814"/>
      <c r="D81" s="815"/>
      <c r="F81" s="815"/>
      <c r="H81" s="270"/>
    </row>
    <row r="82" spans="2:8">
      <c r="C82" s="814"/>
      <c r="D82" s="815"/>
      <c r="F82" s="815"/>
    </row>
    <row r="84" spans="2:8">
      <c r="C84" s="814"/>
      <c r="D84" s="814"/>
      <c r="E84" s="814"/>
      <c r="F84" s="814"/>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977"/>
      <c r="M1" s="237"/>
    </row>
    <row r="2" spans="1:13" ht="18">
      <c r="A2" s="239"/>
      <c r="B2" s="240" t="str">
        <f>'Cover Sheet'!B2</f>
        <v>SC Germany Consumer 2022-1</v>
      </c>
      <c r="C2" s="240"/>
      <c r="D2" s="241" t="str">
        <f>'Cover Sheet'!D2</f>
        <v>Calculation Date</v>
      </c>
      <c r="E2" s="242"/>
      <c r="F2" s="243">
        <f>'Cover Sheet'!F2</f>
        <v>45911</v>
      </c>
      <c r="G2" s="242"/>
      <c r="H2" s="242"/>
      <c r="I2" s="242"/>
      <c r="J2" s="242"/>
      <c r="K2" s="242"/>
      <c r="L2" s="244"/>
      <c r="M2" s="314"/>
    </row>
    <row r="3" spans="1:13" ht="18">
      <c r="A3" s="239"/>
      <c r="B3" s="240" t="str">
        <f>'Cover Sheet'!B3</f>
        <v>Monthly Investor Report</v>
      </c>
      <c r="C3" s="240"/>
      <c r="D3" s="248" t="str">
        <f>'Cover Sheet'!D3</f>
        <v>Payment Date</v>
      </c>
      <c r="E3" s="249"/>
      <c r="F3" s="250">
        <f>'Cover Sheet'!F3</f>
        <v>45915</v>
      </c>
      <c r="G3" s="249"/>
      <c r="H3" s="249"/>
      <c r="I3" s="249"/>
      <c r="J3" s="249"/>
      <c r="K3" s="249"/>
      <c r="L3" s="251"/>
      <c r="M3" s="314"/>
    </row>
    <row r="4" spans="1:13">
      <c r="A4" s="239"/>
      <c r="B4" s="850"/>
      <c r="C4" s="328"/>
      <c r="D4" s="248" t="str">
        <f>'Cover Sheet'!D4</f>
        <v>Period  No</v>
      </c>
      <c r="E4" s="249"/>
      <c r="F4" s="254">
        <f>'Cover Sheet'!F4</f>
        <v>35</v>
      </c>
      <c r="G4" s="249"/>
      <c r="H4" s="255"/>
      <c r="I4" s="249"/>
      <c r="J4" s="260"/>
      <c r="K4" s="249"/>
      <c r="L4" s="256"/>
      <c r="M4" s="314"/>
    </row>
    <row r="5" spans="1:13" ht="18">
      <c r="A5" s="239"/>
      <c r="B5" s="329" t="s">
        <v>368</v>
      </c>
      <c r="C5" s="329"/>
      <c r="D5" s="248" t="str">
        <f>'Cover Sheet'!D5</f>
        <v>Monthly Period</v>
      </c>
      <c r="E5" s="249"/>
      <c r="F5" s="121">
        <f>'Cover Sheet'!F5</f>
        <v>45915</v>
      </c>
      <c r="G5" s="249"/>
      <c r="H5" s="255"/>
      <c r="I5" s="249"/>
      <c r="J5" s="260"/>
      <c r="K5" s="249"/>
      <c r="L5" s="256"/>
      <c r="M5" s="314"/>
    </row>
    <row r="6" spans="1:13" s="247" customFormat="1" ht="15" customHeight="1">
      <c r="A6" s="239"/>
      <c r="B6" s="258"/>
      <c r="C6" s="330"/>
      <c r="D6" s="248" t="str">
        <f>'Cover Sheet'!D6</f>
        <v>Interest Period</v>
      </c>
      <c r="E6" s="260" t="s">
        <v>34</v>
      </c>
      <c r="F6" s="250">
        <f>'Cover Sheet'!F6</f>
        <v>45883</v>
      </c>
      <c r="G6" s="260" t="str">
        <f>'Cover Sheet'!G6</f>
        <v>to</v>
      </c>
      <c r="H6" s="250">
        <f>'Cover Sheet'!H6</f>
        <v>45915</v>
      </c>
      <c r="I6" s="260" t="str">
        <f>'Cover Sheet'!I6</f>
        <v>=</v>
      </c>
      <c r="J6" s="816" t="str">
        <f>'Cover Sheet'!J6</f>
        <v>32 days</v>
      </c>
      <c r="K6" s="260"/>
      <c r="L6" s="372"/>
      <c r="M6" s="817"/>
    </row>
    <row r="7" spans="1:13">
      <c r="A7" s="239"/>
      <c r="D7" s="689" t="str">
        <f>'Cover Sheet'!D7</f>
        <v>Collection Period</v>
      </c>
      <c r="E7" s="690" t="s">
        <v>34</v>
      </c>
      <c r="F7" s="264" t="str">
        <f>'Cover Sheet'!F7</f>
        <v>01.08.2025</v>
      </c>
      <c r="G7" s="690" t="str">
        <f>'Cover Sheet'!G7</f>
        <v>to</v>
      </c>
      <c r="H7" s="264">
        <f>'Cover Sheet'!H7</f>
        <v>45900</v>
      </c>
      <c r="I7" s="265"/>
      <c r="J7" s="265"/>
      <c r="K7" s="265"/>
      <c r="L7" s="266"/>
      <c r="M7" s="314"/>
    </row>
    <row r="8" spans="1:13" ht="13">
      <c r="A8" s="239"/>
      <c r="D8" s="818"/>
      <c r="E8" s="267"/>
      <c r="F8" s="245"/>
      <c r="H8" s="268"/>
      <c r="J8" s="268"/>
      <c r="L8" s="975"/>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L13" s="976"/>
      <c r="M13" s="314"/>
    </row>
    <row r="14" spans="1:13">
      <c r="A14" s="239"/>
      <c r="D14" s="820"/>
      <c r="H14" s="25"/>
      <c r="I14" s="25"/>
      <c r="J14" s="25"/>
      <c r="L14" s="25"/>
      <c r="M14" s="314"/>
    </row>
    <row r="15" spans="1:13">
      <c r="A15" s="239"/>
      <c r="D15" s="820"/>
      <c r="H15" s="25"/>
      <c r="I15" s="25"/>
      <c r="J15" s="25"/>
      <c r="K15" s="25"/>
      <c r="L15" s="25"/>
      <c r="M15" s="314"/>
    </row>
    <row r="16" spans="1:13" ht="13" thickBot="1">
      <c r="A16" s="239"/>
      <c r="D16" s="821"/>
      <c r="H16" s="25"/>
      <c r="I16" s="25"/>
      <c r="J16" s="25"/>
      <c r="K16" s="25"/>
      <c r="L16" s="974"/>
      <c r="M16" s="314"/>
    </row>
    <row r="17" spans="1:23" ht="18.5" thickBot="1">
      <c r="A17" s="239"/>
      <c r="B17" s="275" t="s">
        <v>363</v>
      </c>
      <c r="C17" s="822"/>
      <c r="D17" s="823"/>
      <c r="E17" s="823"/>
      <c r="F17" s="805"/>
      <c r="G17" s="805"/>
      <c r="H17" s="25"/>
      <c r="I17" s="1001" t="s">
        <v>471</v>
      </c>
      <c r="J17" s="1002"/>
      <c r="K17" s="1003"/>
      <c r="L17" s="824">
        <f>IF(AND($F$4&gt;12,$F$4&lt;37),AVERAGE(VLOOKUP($F$4,$B$21:$L$100,11,FALSE),VLOOKUP(($F$4)-1,$B$21:$L$100,11,FALSE),VLOOKUP(($F$4)-2,$B$21:$L$100,11,FALSE)),"n/a")</f>
        <v>3.2089769931346163E-3</v>
      </c>
      <c r="M17" s="314"/>
    </row>
    <row r="18" spans="1:23" ht="18">
      <c r="A18" s="239"/>
      <c r="B18" s="240"/>
      <c r="C18" s="822"/>
      <c r="D18" s="822"/>
      <c r="E18" s="822"/>
      <c r="F18" s="819"/>
      <c r="G18" s="819"/>
      <c r="H18" s="822"/>
      <c r="J18" s="823"/>
      <c r="K18" s="25"/>
      <c r="L18" s="973"/>
      <c r="M18" s="314"/>
    </row>
    <row r="19" spans="1:23" ht="13.5" thickBot="1">
      <c r="A19" s="239"/>
      <c r="B19" s="978"/>
      <c r="G19" s="819"/>
      <c r="H19" s="822"/>
      <c r="J19" s="823"/>
      <c r="K19" s="25"/>
      <c r="L19" s="974"/>
      <c r="M19" s="314"/>
    </row>
    <row r="20" spans="1:23" ht="44" thickBot="1">
      <c r="A20" s="239"/>
      <c r="B20" s="825" t="s">
        <v>110</v>
      </c>
      <c r="C20" s="825" t="s">
        <v>330</v>
      </c>
      <c r="D20" s="825" t="s">
        <v>358</v>
      </c>
      <c r="E20" s="825" t="s">
        <v>356</v>
      </c>
      <c r="F20" s="825" t="s">
        <v>357</v>
      </c>
      <c r="G20" s="825" t="s">
        <v>362</v>
      </c>
      <c r="H20" s="825" t="s">
        <v>359</v>
      </c>
      <c r="I20" s="825" t="s">
        <v>360</v>
      </c>
      <c r="J20" s="825" t="s">
        <v>361</v>
      </c>
      <c r="K20" s="825" t="s">
        <v>461</v>
      </c>
      <c r="L20" s="826" t="s">
        <v>468</v>
      </c>
      <c r="M20" s="827"/>
      <c r="O20" s="828"/>
      <c r="P20" s="25"/>
      <c r="Q20" s="829"/>
      <c r="R20" s="830"/>
      <c r="S20" s="830"/>
      <c r="T20" s="25"/>
      <c r="U20" s="25"/>
      <c r="V20" s="739"/>
      <c r="W20" s="831"/>
    </row>
    <row r="21" spans="1:23">
      <c r="A21" s="239"/>
      <c r="B21" s="419">
        <v>1</v>
      </c>
      <c r="C21" s="832">
        <f t="shared" ref="C21:C52" si="0">IF(B21&lt;=$F$4,VLOOKUP(CONCATENATE("defaults_",$B21),defaults,2,0),"")</f>
        <v>0</v>
      </c>
      <c r="D21" s="907">
        <f t="shared" ref="D21:D52" si="1">IF(B21&lt;=$F$4,VLOOKUP(CONCATENATE("defaults_",$B21),defaults,3,0),"")</f>
        <v>0</v>
      </c>
      <c r="E21" s="907">
        <f t="shared" ref="E21:E52" si="2">IF(B21&lt;=$F$4,VLOOKUP(CONCATENATE("defaults_",$B21),defaults,4,0),"")</f>
        <v>0</v>
      </c>
      <c r="F21" s="907">
        <f t="shared" ref="F21:F52" si="3">IF(B21&lt;=$F$4,VLOOKUP(CONCATENATE("defaults_",$B21),defaults,5,0),"")</f>
        <v>1025743449.63</v>
      </c>
      <c r="G21" s="833">
        <f t="shared" ref="G21:G52" si="4">IF(B21&lt;=$F$4,VLOOKUP(CONCATENATE("defaults_",$B21),defaults,6,0),"")</f>
        <v>0</v>
      </c>
      <c r="H21" s="908">
        <f t="shared" ref="H21:H52" si="5">IF(B21&lt;=$F$4,VLOOKUP(CONCATENATE("defaults_",$B21),defaults,7,0),"")</f>
        <v>0</v>
      </c>
      <c r="I21" s="909">
        <f t="shared" ref="I21:I52" si="6">IF(B21&lt;=$F$4,VLOOKUP(CONCATENATE("defaults_",$B21),defaults,8,0),"")</f>
        <v>0</v>
      </c>
      <c r="J21" s="908">
        <f t="shared" ref="J21:J52" si="7">IF(B21&lt;=$F$4,VLOOKUP(CONCATENATE("defaults_",$B21),defaults,9,0),"")</f>
        <v>0</v>
      </c>
      <c r="K21" s="833">
        <f t="shared" ref="K21:K52" si="8">IF(B21&lt;=$F$4,VLOOKUP(CONCATENATE("defaults_",$B21),defaults,10,0),"")</f>
        <v>0</v>
      </c>
      <c r="L21" s="834" t="s">
        <v>231</v>
      </c>
      <c r="M21" s="314"/>
      <c r="N21" s="25"/>
      <c r="O21" s="25"/>
      <c r="P21" s="25"/>
      <c r="Q21" s="829"/>
      <c r="R21" s="830"/>
      <c r="S21" s="829"/>
      <c r="T21" s="25"/>
      <c r="U21" s="694"/>
      <c r="V21" s="25"/>
      <c r="W21" s="25"/>
    </row>
    <row r="22" spans="1:23">
      <c r="A22" s="239"/>
      <c r="B22" s="419">
        <v>2</v>
      </c>
      <c r="C22" s="832">
        <f t="shared" si="0"/>
        <v>2</v>
      </c>
      <c r="D22" s="907">
        <f t="shared" si="1"/>
        <v>24148.21</v>
      </c>
      <c r="E22" s="907">
        <f t="shared" si="2"/>
        <v>24148.21</v>
      </c>
      <c r="F22" s="907">
        <f t="shared" si="3"/>
        <v>1053455078.49</v>
      </c>
      <c r="G22" s="833">
        <f t="shared" si="4"/>
        <v>2.2922866378520404E-5</v>
      </c>
      <c r="H22" s="908">
        <f t="shared" si="5"/>
        <v>-106.57</v>
      </c>
      <c r="I22" s="909">
        <f t="shared" si="6"/>
        <v>-106.57</v>
      </c>
      <c r="J22" s="908">
        <f t="shared" si="7"/>
        <v>24254.78</v>
      </c>
      <c r="K22" s="833">
        <f t="shared" si="8"/>
        <v>2.3024028736722476E-5</v>
      </c>
      <c r="L22" s="834">
        <f>IF($B22&lt;=$F$4,($D22-$H22)/'3.1 Delinquency Data'!C22,"")</f>
        <v>2.4254780313129211E-5</v>
      </c>
      <c r="M22" s="314"/>
      <c r="N22" s="25"/>
      <c r="O22" s="835"/>
      <c r="P22" s="25"/>
      <c r="Q22" s="829"/>
      <c r="R22" s="830"/>
      <c r="S22" s="830"/>
      <c r="T22" s="25"/>
      <c r="U22" s="25"/>
      <c r="V22" s="25"/>
      <c r="W22" s="25"/>
    </row>
    <row r="23" spans="1:23" ht="13">
      <c r="A23" s="239"/>
      <c r="B23" s="419">
        <v>3</v>
      </c>
      <c r="C23" s="832">
        <f t="shared" si="0"/>
        <v>7</v>
      </c>
      <c r="D23" s="907">
        <f t="shared" si="1"/>
        <v>94815.96</v>
      </c>
      <c r="E23" s="907">
        <f t="shared" si="2"/>
        <v>118964.17</v>
      </c>
      <c r="F23" s="907">
        <f t="shared" si="3"/>
        <v>1074979593.0599999</v>
      </c>
      <c r="G23" s="833">
        <f t="shared" si="4"/>
        <v>1.1066644498930502E-4</v>
      </c>
      <c r="H23" s="908">
        <f t="shared" si="5"/>
        <v>-379.46</v>
      </c>
      <c r="I23" s="909">
        <f t="shared" si="6"/>
        <v>-486.03</v>
      </c>
      <c r="J23" s="908">
        <f t="shared" si="7"/>
        <v>119450.2</v>
      </c>
      <c r="K23" s="833">
        <f t="shared" si="8"/>
        <v>1.1111857450240256E-4</v>
      </c>
      <c r="L23" s="834">
        <f>IF($B23&lt;=$F$4,($D23-$H23)/'3.1 Delinquency Data'!C23,"")</f>
        <v>9.519542052452678E-5</v>
      </c>
      <c r="M23" s="836"/>
      <c r="Q23" s="829"/>
      <c r="R23" s="837"/>
      <c r="S23" s="837"/>
      <c r="U23" s="25"/>
      <c r="V23" s="739"/>
      <c r="W23" s="800"/>
    </row>
    <row r="24" spans="1:23" ht="13">
      <c r="A24" s="239"/>
      <c r="B24" s="419">
        <v>4</v>
      </c>
      <c r="C24" s="832">
        <f t="shared" si="0"/>
        <v>38</v>
      </c>
      <c r="D24" s="907">
        <f t="shared" si="1"/>
        <v>475812.17</v>
      </c>
      <c r="E24" s="907">
        <f t="shared" si="2"/>
        <v>594776.34</v>
      </c>
      <c r="F24" s="907">
        <f t="shared" si="3"/>
        <v>1107170504.99</v>
      </c>
      <c r="G24" s="833">
        <f t="shared" si="4"/>
        <v>5.3720392416466319E-4</v>
      </c>
      <c r="H24" s="908">
        <f t="shared" si="5"/>
        <v>-692.74</v>
      </c>
      <c r="I24" s="909">
        <f t="shared" si="6"/>
        <v>-1178.77</v>
      </c>
      <c r="J24" s="908">
        <f t="shared" si="7"/>
        <v>595955.11</v>
      </c>
      <c r="K24" s="833">
        <f t="shared" si="8"/>
        <v>5.3826859306135735E-4</v>
      </c>
      <c r="L24" s="834">
        <f>IF($B24&lt;=$F$4,($D24-$H24)/'3.1 Delinquency Data'!C24,"")</f>
        <v>4.7650491111025646E-4</v>
      </c>
      <c r="M24" s="827"/>
      <c r="N24" s="838"/>
      <c r="O24" s="800"/>
      <c r="P24" s="838"/>
      <c r="Q24" s="839"/>
      <c r="R24" s="840"/>
      <c r="S24" s="837"/>
      <c r="T24" s="838"/>
      <c r="U24" s="25"/>
      <c r="V24" s="739"/>
      <c r="W24" s="831"/>
    </row>
    <row r="25" spans="1:23">
      <c r="A25" s="239"/>
      <c r="B25" s="419">
        <v>5</v>
      </c>
      <c r="C25" s="832">
        <f t="shared" si="0"/>
        <v>112</v>
      </c>
      <c r="D25" s="907">
        <f t="shared" si="1"/>
        <v>1667952.86</v>
      </c>
      <c r="E25" s="907">
        <f t="shared" si="2"/>
        <v>2262729.2000000002</v>
      </c>
      <c r="F25" s="907">
        <f t="shared" si="3"/>
        <v>1137282305.76</v>
      </c>
      <c r="G25" s="833">
        <f t="shared" si="4"/>
        <v>1.9895932509808186E-3</v>
      </c>
      <c r="H25" s="908">
        <f t="shared" si="5"/>
        <v>-1099.7</v>
      </c>
      <c r="I25" s="909">
        <f t="shared" si="6"/>
        <v>-2278.4699999999998</v>
      </c>
      <c r="J25" s="908">
        <f t="shared" si="7"/>
        <v>2265007.67</v>
      </c>
      <c r="K25" s="833">
        <f t="shared" si="8"/>
        <v>1.9915966849465634E-3</v>
      </c>
      <c r="L25" s="834">
        <f>IF($B25&lt;=$F$4,($D25-$H25)/'3.1 Delinquency Data'!C25,"")</f>
        <v>1.6690525700143156E-3</v>
      </c>
      <c r="M25" s="314"/>
      <c r="Q25" s="829"/>
      <c r="R25" s="830"/>
      <c r="S25" s="829"/>
      <c r="T25" s="25"/>
      <c r="U25" s="694"/>
      <c r="V25" s="25"/>
      <c r="W25" s="25"/>
    </row>
    <row r="26" spans="1:23">
      <c r="A26" s="239"/>
      <c r="B26" s="419">
        <v>6</v>
      </c>
      <c r="C26" s="832">
        <f t="shared" si="0"/>
        <v>227</v>
      </c>
      <c r="D26" s="907">
        <f t="shared" si="1"/>
        <v>1799199.77</v>
      </c>
      <c r="E26" s="907">
        <f t="shared" si="2"/>
        <v>4061928.97</v>
      </c>
      <c r="F26" s="907">
        <f t="shared" si="3"/>
        <v>1168653134.6600001</v>
      </c>
      <c r="G26" s="833">
        <f t="shared" si="4"/>
        <v>3.4757353140388819E-3</v>
      </c>
      <c r="H26" s="908">
        <f t="shared" si="5"/>
        <v>-2884.83</v>
      </c>
      <c r="I26" s="909">
        <f t="shared" si="6"/>
        <v>-5163.3</v>
      </c>
      <c r="J26" s="908">
        <f t="shared" si="7"/>
        <v>4067092.27</v>
      </c>
      <c r="K26" s="833">
        <f t="shared" si="8"/>
        <v>3.4801534770051773E-3</v>
      </c>
      <c r="L26" s="834">
        <f>IF($B26&lt;=$F$4,($D26-$H26)/'3.1 Delinquency Data'!C26,"")</f>
        <v>1.8020846195706392E-3</v>
      </c>
      <c r="M26" s="314"/>
      <c r="Q26" s="829"/>
      <c r="R26" s="830"/>
      <c r="S26" s="829"/>
      <c r="T26" s="25"/>
      <c r="U26" s="694"/>
      <c r="V26" s="25"/>
      <c r="W26" s="25"/>
    </row>
    <row r="27" spans="1:23">
      <c r="A27" s="239"/>
      <c r="B27" s="419">
        <v>7</v>
      </c>
      <c r="C27" s="832">
        <f t="shared" si="0"/>
        <v>323</v>
      </c>
      <c r="D27" s="907">
        <f t="shared" si="1"/>
        <v>1624372.99</v>
      </c>
      <c r="E27" s="907">
        <f t="shared" si="2"/>
        <v>5686301.96</v>
      </c>
      <c r="F27" s="907">
        <f t="shared" si="3"/>
        <v>1197463525.4400001</v>
      </c>
      <c r="G27" s="833">
        <f t="shared" si="4"/>
        <v>4.7486222663112891E-3</v>
      </c>
      <c r="H27" s="908">
        <f t="shared" si="5"/>
        <v>36361.46</v>
      </c>
      <c r="I27" s="909">
        <f t="shared" si="6"/>
        <v>31198.16</v>
      </c>
      <c r="J27" s="908">
        <f t="shared" si="7"/>
        <v>5655103.7999999998</v>
      </c>
      <c r="K27" s="833">
        <f t="shared" si="8"/>
        <v>4.7225687295335932E-3</v>
      </c>
      <c r="L27" s="834">
        <f>IF($B27&lt;=$F$4,($D27-$H27)/'3.1 Delinquency Data'!C27,"")</f>
        <v>1.5880115337318272E-3</v>
      </c>
      <c r="M27" s="314"/>
      <c r="O27" s="835"/>
      <c r="Q27" s="829"/>
      <c r="R27" s="837"/>
      <c r="S27" s="837"/>
      <c r="U27" s="25"/>
      <c r="V27" s="25"/>
      <c r="W27" s="25"/>
    </row>
    <row r="28" spans="1:23">
      <c r="A28" s="239"/>
      <c r="B28" s="419">
        <v>8</v>
      </c>
      <c r="C28" s="832">
        <f t="shared" si="0"/>
        <v>421</v>
      </c>
      <c r="D28" s="907">
        <f t="shared" si="1"/>
        <v>1702373.25</v>
      </c>
      <c r="E28" s="907">
        <f t="shared" si="2"/>
        <v>7388675.21</v>
      </c>
      <c r="F28" s="907">
        <f t="shared" si="3"/>
        <v>1228561846.1800001</v>
      </c>
      <c r="G28" s="833">
        <f t="shared" si="4"/>
        <v>6.0140848692101278E-3</v>
      </c>
      <c r="H28" s="908">
        <f t="shared" si="5"/>
        <v>27481.56</v>
      </c>
      <c r="I28" s="909">
        <f t="shared" si="6"/>
        <v>58679.72</v>
      </c>
      <c r="J28" s="908">
        <f t="shared" si="7"/>
        <v>7329995.4900000002</v>
      </c>
      <c r="K28" s="833">
        <f t="shared" si="8"/>
        <v>5.96632193388664E-3</v>
      </c>
      <c r="L28" s="834">
        <f>IF($B28&lt;=$F$4,($D28-$H28)/'3.1 Delinquency Data'!C28,"")</f>
        <v>1.6748916954433979E-3</v>
      </c>
      <c r="M28" s="314"/>
      <c r="Q28" s="829"/>
      <c r="R28" s="837"/>
      <c r="S28" s="837"/>
      <c r="U28" s="25"/>
      <c r="V28" s="25"/>
      <c r="W28" s="25"/>
    </row>
    <row r="29" spans="1:23" ht="13">
      <c r="A29" s="239"/>
      <c r="B29" s="419">
        <v>9</v>
      </c>
      <c r="C29" s="832">
        <f t="shared" si="0"/>
        <v>570</v>
      </c>
      <c r="D29" s="907">
        <f t="shared" si="1"/>
        <v>2535440.2799999998</v>
      </c>
      <c r="E29" s="907">
        <f t="shared" si="2"/>
        <v>9924115.4900000002</v>
      </c>
      <c r="F29" s="907">
        <f t="shared" si="3"/>
        <v>1260638751.6800001</v>
      </c>
      <c r="G29" s="833">
        <f t="shared" si="4"/>
        <v>7.8722913100795523E-3</v>
      </c>
      <c r="H29" s="908">
        <f t="shared" si="5"/>
        <v>25687.07</v>
      </c>
      <c r="I29" s="909">
        <f t="shared" si="6"/>
        <v>84366.79</v>
      </c>
      <c r="J29" s="908">
        <f t="shared" si="7"/>
        <v>9839748.6999999993</v>
      </c>
      <c r="K29" s="833">
        <f t="shared" si="8"/>
        <v>7.8053674669979652E-3</v>
      </c>
      <c r="L29" s="834">
        <f>IF($B29&lt;=$F$4,($D29-$H29)/'3.1 Delinquency Data'!C29,"")</f>
        <v>2.5097532165253584E-3</v>
      </c>
      <c r="M29" s="827"/>
      <c r="N29" s="838"/>
      <c r="O29" s="800"/>
      <c r="P29" s="838"/>
      <c r="Q29" s="841"/>
      <c r="R29" s="840"/>
      <c r="S29" s="837"/>
      <c r="T29" s="838"/>
      <c r="U29" s="800"/>
      <c r="V29" s="25"/>
      <c r="W29" s="25"/>
    </row>
    <row r="30" spans="1:23">
      <c r="A30" s="239"/>
      <c r="B30" s="419">
        <v>10</v>
      </c>
      <c r="C30" s="832">
        <f t="shared" si="0"/>
        <v>740</v>
      </c>
      <c r="D30" s="907">
        <f t="shared" si="1"/>
        <v>3245825.94</v>
      </c>
      <c r="E30" s="907">
        <f t="shared" si="2"/>
        <v>13169941.43</v>
      </c>
      <c r="F30" s="907">
        <f t="shared" si="3"/>
        <v>1295485477.6800001</v>
      </c>
      <c r="G30" s="833">
        <f t="shared" si="4"/>
        <v>1.0166027838139245E-2</v>
      </c>
      <c r="H30" s="908">
        <f t="shared" si="5"/>
        <v>10937.11</v>
      </c>
      <c r="I30" s="909">
        <f t="shared" si="6"/>
        <v>95303.9</v>
      </c>
      <c r="J30" s="908">
        <f t="shared" si="7"/>
        <v>13074637.529999999</v>
      </c>
      <c r="K30" s="833">
        <f t="shared" si="8"/>
        <v>1.0092461671908902E-2</v>
      </c>
      <c r="L30" s="834">
        <f>IF($B30&lt;=$F$4,($D30-$H30)/'3.1 Delinquency Data'!C30,"")</f>
        <v>3.2348889012969511E-3</v>
      </c>
      <c r="M30" s="314"/>
      <c r="Q30" s="829"/>
      <c r="R30" s="830"/>
      <c r="S30" s="829"/>
      <c r="T30" s="25"/>
      <c r="U30" s="694"/>
      <c r="V30" s="25"/>
      <c r="W30" s="25"/>
    </row>
    <row r="31" spans="1:23">
      <c r="A31" s="239"/>
      <c r="B31" s="419">
        <v>11</v>
      </c>
      <c r="C31" s="832">
        <f t="shared" si="0"/>
        <v>897</v>
      </c>
      <c r="D31" s="907">
        <f t="shared" si="1"/>
        <v>2496894.42</v>
      </c>
      <c r="E31" s="907">
        <f t="shared" si="2"/>
        <v>15666835.85</v>
      </c>
      <c r="F31" s="907">
        <f t="shared" si="3"/>
        <v>1327946409.3199999</v>
      </c>
      <c r="G31" s="833">
        <f t="shared" si="4"/>
        <v>1.1797792245262739E-2</v>
      </c>
      <c r="H31" s="908">
        <f t="shared" si="5"/>
        <v>46365.93</v>
      </c>
      <c r="I31" s="909">
        <f t="shared" si="6"/>
        <v>141669.82999999999</v>
      </c>
      <c r="J31" s="908">
        <f t="shared" si="7"/>
        <v>15525166.02</v>
      </c>
      <c r="K31" s="833">
        <f t="shared" si="8"/>
        <v>1.1691108851260006E-2</v>
      </c>
      <c r="L31" s="834">
        <f>IF($B31&lt;=$F$4,($D31-$H31)/'3.1 Delinquency Data'!C31,"")</f>
        <v>2.4505285005372722E-3</v>
      </c>
      <c r="M31" s="314"/>
      <c r="Q31" s="829"/>
      <c r="R31" s="830"/>
      <c r="S31" s="829"/>
      <c r="T31" s="25"/>
      <c r="U31" s="694"/>
      <c r="V31" s="25"/>
      <c r="W31" s="25"/>
    </row>
    <row r="32" spans="1:23">
      <c r="A32" s="239"/>
      <c r="B32" s="419">
        <v>12</v>
      </c>
      <c r="C32" s="832">
        <f t="shared" si="0"/>
        <v>1003</v>
      </c>
      <c r="D32" s="907">
        <f t="shared" si="1"/>
        <v>1298353.1499999999</v>
      </c>
      <c r="E32" s="907">
        <f t="shared" si="2"/>
        <v>16965189</v>
      </c>
      <c r="F32" s="907">
        <f t="shared" si="3"/>
        <v>1356346723.3699999</v>
      </c>
      <c r="G32" s="833">
        <f t="shared" si="4"/>
        <v>1.250800308482187E-2</v>
      </c>
      <c r="H32" s="908">
        <f t="shared" si="5"/>
        <v>68363.63</v>
      </c>
      <c r="I32" s="909">
        <f t="shared" si="6"/>
        <v>210033.46</v>
      </c>
      <c r="J32" s="908">
        <f t="shared" si="7"/>
        <v>16755155.539999999</v>
      </c>
      <c r="K32" s="833">
        <f t="shared" si="8"/>
        <v>1.2353150747745293E-2</v>
      </c>
      <c r="L32" s="834">
        <f>IF($B32&lt;=$F$4,($D32-$H32)/'3.1 Delinquency Data'!C32,"")</f>
        <v>1.2299895421890113E-3</v>
      </c>
      <c r="M32" s="314"/>
      <c r="O32" s="835"/>
      <c r="Q32" s="829"/>
      <c r="R32" s="837"/>
      <c r="S32" s="837"/>
      <c r="U32" s="25"/>
      <c r="V32" s="25"/>
      <c r="W32" s="25"/>
    </row>
    <row r="33" spans="1:23" ht="13">
      <c r="A33" s="239"/>
      <c r="B33" s="419">
        <v>13</v>
      </c>
      <c r="C33" s="832">
        <f t="shared" si="0"/>
        <v>1137</v>
      </c>
      <c r="D33" s="907">
        <f t="shared" si="1"/>
        <v>2340989.6800000002</v>
      </c>
      <c r="E33" s="907">
        <f t="shared" si="2"/>
        <v>19306178.68</v>
      </c>
      <c r="F33" s="907">
        <f t="shared" si="3"/>
        <v>1356346723.3699999</v>
      </c>
      <c r="G33" s="833">
        <f t="shared" si="4"/>
        <v>1.4233955335573463E-2</v>
      </c>
      <c r="H33" s="908">
        <f t="shared" si="5"/>
        <v>47250.13</v>
      </c>
      <c r="I33" s="909">
        <f t="shared" si="6"/>
        <v>257283.59</v>
      </c>
      <c r="J33" s="908">
        <f t="shared" si="7"/>
        <v>19048895.09</v>
      </c>
      <c r="K33" s="833">
        <f t="shared" si="8"/>
        <v>1.4044266677380851E-2</v>
      </c>
      <c r="L33" s="834">
        <f>IF($B33&lt;=$F$4,($D33-$H33)/'3.1 Delinquency Data'!C33,"")</f>
        <v>2.2948172167035785E-3</v>
      </c>
      <c r="M33" s="314"/>
      <c r="Q33" s="829"/>
      <c r="R33" s="837"/>
      <c r="S33" s="837"/>
      <c r="U33" s="25"/>
      <c r="V33" s="842"/>
      <c r="W33" s="800"/>
    </row>
    <row r="34" spans="1:23" ht="13">
      <c r="A34" s="239"/>
      <c r="B34" s="419">
        <v>14</v>
      </c>
      <c r="C34" s="832">
        <f t="shared" si="0"/>
        <v>1284</v>
      </c>
      <c r="D34" s="907">
        <f t="shared" si="1"/>
        <v>2624018.42</v>
      </c>
      <c r="E34" s="907">
        <f t="shared" si="2"/>
        <v>21930197.100000001</v>
      </c>
      <c r="F34" s="907">
        <f t="shared" si="3"/>
        <v>1356346723.3699999</v>
      </c>
      <c r="G34" s="833">
        <f t="shared" si="4"/>
        <v>1.6168577489914886E-2</v>
      </c>
      <c r="H34" s="908">
        <f t="shared" si="5"/>
        <v>95431.85</v>
      </c>
      <c r="I34" s="909">
        <f t="shared" si="6"/>
        <v>352715.44</v>
      </c>
      <c r="J34" s="908">
        <f t="shared" si="7"/>
        <v>21577481.66</v>
      </c>
      <c r="K34" s="833">
        <f t="shared" si="8"/>
        <v>1.5908529351837303E-2</v>
      </c>
      <c r="L34" s="834">
        <f>IF($B34&lt;=$F$4,($D34-$H34)/'3.1 Delinquency Data'!C34,"")</f>
        <v>2.5296488965853474E-3</v>
      </c>
      <c r="M34" s="827"/>
      <c r="N34" s="838"/>
      <c r="O34" s="800"/>
      <c r="P34" s="838"/>
      <c r="Q34" s="841"/>
      <c r="R34" s="840"/>
      <c r="S34" s="837"/>
      <c r="U34" s="25"/>
      <c r="V34" s="25"/>
      <c r="W34" s="25"/>
    </row>
    <row r="35" spans="1:23">
      <c r="A35" s="239"/>
      <c r="B35" s="419">
        <v>15</v>
      </c>
      <c r="C35" s="832">
        <f t="shared" si="0"/>
        <v>1438</v>
      </c>
      <c r="D35" s="907">
        <f t="shared" si="1"/>
        <v>2438921.5099999998</v>
      </c>
      <c r="E35" s="907">
        <f t="shared" si="2"/>
        <v>24369118.609999999</v>
      </c>
      <c r="F35" s="907">
        <f t="shared" si="3"/>
        <v>1356346723.3699999</v>
      </c>
      <c r="G35" s="833">
        <f t="shared" si="4"/>
        <v>1.7966732392328197E-2</v>
      </c>
      <c r="H35" s="908">
        <f t="shared" si="5"/>
        <v>51728.81</v>
      </c>
      <c r="I35" s="909">
        <f t="shared" si="6"/>
        <v>404444.25</v>
      </c>
      <c r="J35" s="908">
        <f t="shared" si="7"/>
        <v>23964674.359999999</v>
      </c>
      <c r="K35" s="833">
        <f t="shared" si="8"/>
        <v>1.7668545916089209E-2</v>
      </c>
      <c r="L35" s="834">
        <f>IF($B35&lt;=$F$4,($D35-$H35)/'3.1 Delinquency Data'!C35,"")</f>
        <v>2.4552873721818986E-3</v>
      </c>
      <c r="M35" s="314"/>
      <c r="Q35" s="829"/>
      <c r="R35" s="830"/>
      <c r="S35" s="829"/>
      <c r="T35" s="25"/>
      <c r="U35" s="694"/>
      <c r="V35" s="25"/>
      <c r="W35" s="25"/>
    </row>
    <row r="36" spans="1:23">
      <c r="A36" s="239"/>
      <c r="B36" s="419">
        <v>16</v>
      </c>
      <c r="C36" s="832">
        <f t="shared" si="0"/>
        <v>1578</v>
      </c>
      <c r="D36" s="907">
        <f t="shared" si="1"/>
        <v>2539805.06</v>
      </c>
      <c r="E36" s="907">
        <f t="shared" si="2"/>
        <v>26908923.670000002</v>
      </c>
      <c r="F36" s="907">
        <f t="shared" si="3"/>
        <v>1356346723.3699999</v>
      </c>
      <c r="G36" s="833">
        <f t="shared" si="4"/>
        <v>1.9839266174611802E-2</v>
      </c>
      <c r="H36" s="908">
        <f t="shared" si="5"/>
        <v>67030.320000000007</v>
      </c>
      <c r="I36" s="909">
        <f t="shared" si="6"/>
        <v>471474.57</v>
      </c>
      <c r="J36" s="908">
        <f t="shared" si="7"/>
        <v>26437449.100000001</v>
      </c>
      <c r="K36" s="833">
        <f t="shared" si="8"/>
        <v>1.9491659945410637E-2</v>
      </c>
      <c r="L36" s="834">
        <f>IF($B36&lt;=$F$4,($D36-$H36)/'3.1 Delinquency Data'!C36,"")</f>
        <v>2.6172877426598085E-3</v>
      </c>
      <c r="M36" s="314"/>
      <c r="Q36" s="829"/>
      <c r="R36" s="830"/>
      <c r="S36" s="829"/>
      <c r="T36" s="25"/>
      <c r="U36" s="694"/>
      <c r="V36" s="25"/>
      <c r="W36" s="25"/>
    </row>
    <row r="37" spans="1:23">
      <c r="A37" s="239"/>
      <c r="B37" s="419">
        <v>17</v>
      </c>
      <c r="C37" s="832">
        <f t="shared" si="0"/>
        <v>1747</v>
      </c>
      <c r="D37" s="907">
        <f t="shared" si="1"/>
        <v>2603375.7400000002</v>
      </c>
      <c r="E37" s="907">
        <f t="shared" si="2"/>
        <v>29512299.41</v>
      </c>
      <c r="F37" s="907">
        <f t="shared" si="3"/>
        <v>1356346723.3699999</v>
      </c>
      <c r="G37" s="833">
        <f t="shared" si="4"/>
        <v>2.1758669005129658E-2</v>
      </c>
      <c r="H37" s="908">
        <f t="shared" si="5"/>
        <v>73207.89</v>
      </c>
      <c r="I37" s="909">
        <f t="shared" si="6"/>
        <v>544682.46</v>
      </c>
      <c r="J37" s="908">
        <f t="shared" si="7"/>
        <v>28967616.949999999</v>
      </c>
      <c r="K37" s="833">
        <f t="shared" si="8"/>
        <v>2.1357088457460642E-2</v>
      </c>
      <c r="L37" s="834">
        <f>IF($B37&lt;=$F$4,($D37-$H37)/'3.1 Delinquency Data'!C37,"")</f>
        <v>2.7443039480212583E-3</v>
      </c>
      <c r="M37" s="314"/>
      <c r="O37" s="835"/>
      <c r="Q37" s="829"/>
      <c r="R37" s="837"/>
      <c r="S37" s="837"/>
      <c r="U37" s="25"/>
      <c r="V37" s="25"/>
      <c r="W37" s="25"/>
    </row>
    <row r="38" spans="1:23" ht="13">
      <c r="A38" s="239"/>
      <c r="B38" s="419">
        <v>18</v>
      </c>
      <c r="C38" s="832">
        <f t="shared" si="0"/>
        <v>1894</v>
      </c>
      <c r="D38" s="907">
        <f t="shared" si="1"/>
        <v>2547435.2200000002</v>
      </c>
      <c r="E38" s="907">
        <f t="shared" si="2"/>
        <v>32059734.629999999</v>
      </c>
      <c r="F38" s="907">
        <f t="shared" si="3"/>
        <v>1356346723.3699999</v>
      </c>
      <c r="G38" s="833">
        <f t="shared" si="4"/>
        <v>2.3636828310643076E-2</v>
      </c>
      <c r="H38" s="908">
        <f t="shared" si="5"/>
        <v>98451.58</v>
      </c>
      <c r="I38" s="909">
        <f t="shared" si="6"/>
        <v>643134.04</v>
      </c>
      <c r="J38" s="908">
        <f t="shared" si="7"/>
        <v>31416600.59</v>
      </c>
      <c r="K38" s="833">
        <f t="shared" si="8"/>
        <v>2.3162661912834365E-2</v>
      </c>
      <c r="L38" s="834">
        <f>IF($B38&lt;=$F$4,($D38-$H38)/'3.1 Delinquency Data'!C38,"")</f>
        <v>2.7513026933474048E-3</v>
      </c>
      <c r="M38" s="314"/>
      <c r="Q38" s="829"/>
      <c r="R38" s="837"/>
      <c r="S38" s="837"/>
      <c r="U38" s="25"/>
      <c r="V38" s="25"/>
      <c r="W38" s="801"/>
    </row>
    <row r="39" spans="1:23" ht="13">
      <c r="A39" s="239"/>
      <c r="B39" s="419">
        <v>19</v>
      </c>
      <c r="C39" s="832">
        <f t="shared" si="0"/>
        <v>2047</v>
      </c>
      <c r="D39" s="907">
        <f t="shared" si="1"/>
        <v>2579043.2799999998</v>
      </c>
      <c r="E39" s="907">
        <f t="shared" si="2"/>
        <v>34638777.909999996</v>
      </c>
      <c r="F39" s="907">
        <f t="shared" si="3"/>
        <v>1356346723.3699999</v>
      </c>
      <c r="G39" s="833">
        <f t="shared" si="4"/>
        <v>2.5538291436230955E-2</v>
      </c>
      <c r="H39" s="908">
        <f t="shared" si="5"/>
        <v>85179.61</v>
      </c>
      <c r="I39" s="909">
        <f t="shared" si="6"/>
        <v>728313.65</v>
      </c>
      <c r="J39" s="908">
        <f t="shared" si="7"/>
        <v>33910464.259999998</v>
      </c>
      <c r="K39" s="833">
        <f t="shared" si="8"/>
        <v>2.5001324274773581E-2</v>
      </c>
      <c r="L39" s="834">
        <f>IF($B39&lt;=$F$4,($D39-$H39)/'3.1 Delinquency Data'!C39,"")</f>
        <v>2.8940176539802649E-3</v>
      </c>
      <c r="M39" s="827"/>
      <c r="O39" s="828"/>
      <c r="P39" s="25"/>
      <c r="Q39" s="829"/>
      <c r="R39" s="830"/>
      <c r="S39" s="830"/>
      <c r="T39" s="25"/>
      <c r="U39" s="25"/>
      <c r="V39" s="25"/>
      <c r="W39" s="25"/>
    </row>
    <row r="40" spans="1:23">
      <c r="A40" s="239"/>
      <c r="B40" s="419">
        <v>20</v>
      </c>
      <c r="C40" s="832">
        <f t="shared" si="0"/>
        <v>2203</v>
      </c>
      <c r="D40" s="907">
        <f t="shared" si="1"/>
        <v>2921086.77</v>
      </c>
      <c r="E40" s="907">
        <f t="shared" si="2"/>
        <v>37559864.68</v>
      </c>
      <c r="F40" s="907">
        <f t="shared" si="3"/>
        <v>1356346723.3699999</v>
      </c>
      <c r="G40" s="833">
        <f t="shared" si="4"/>
        <v>2.7691934542134013E-2</v>
      </c>
      <c r="H40" s="908">
        <f t="shared" si="5"/>
        <v>126049.62</v>
      </c>
      <c r="I40" s="909">
        <f t="shared" si="6"/>
        <v>854363.27</v>
      </c>
      <c r="J40" s="908">
        <f t="shared" si="7"/>
        <v>36705501.409999996</v>
      </c>
      <c r="K40" s="833">
        <f t="shared" si="8"/>
        <v>2.7062034196389646E-2</v>
      </c>
      <c r="L40" s="834">
        <f>IF($B40&lt;=$F$4,($D40-$H40)/'3.1 Delinquency Data'!C40,"")</f>
        <v>3.3472163859543198E-3</v>
      </c>
      <c r="M40" s="314"/>
      <c r="N40" s="25"/>
      <c r="O40" s="25"/>
      <c r="P40" s="25"/>
      <c r="Q40" s="829"/>
      <c r="R40" s="830"/>
      <c r="S40" s="829"/>
      <c r="T40" s="25"/>
      <c r="U40" s="694"/>
      <c r="V40" s="25"/>
      <c r="W40" s="25"/>
    </row>
    <row r="41" spans="1:23">
      <c r="A41" s="239"/>
      <c r="B41" s="419">
        <v>21</v>
      </c>
      <c r="C41" s="832">
        <f t="shared" si="0"/>
        <v>2351</v>
      </c>
      <c r="D41" s="907">
        <f t="shared" si="1"/>
        <v>2188612.4500000002</v>
      </c>
      <c r="E41" s="907">
        <f t="shared" si="2"/>
        <v>39748477.130000003</v>
      </c>
      <c r="F41" s="907">
        <f t="shared" si="3"/>
        <v>1356346723.3699999</v>
      </c>
      <c r="G41" s="833">
        <f t="shared" si="4"/>
        <v>2.93055429302327E-2</v>
      </c>
      <c r="H41" s="908">
        <f t="shared" si="5"/>
        <v>124758.21</v>
      </c>
      <c r="I41" s="909">
        <f t="shared" si="6"/>
        <v>979121.48</v>
      </c>
      <c r="J41" s="908">
        <f t="shared" si="7"/>
        <v>38769355.649999999</v>
      </c>
      <c r="K41" s="833">
        <f t="shared" si="8"/>
        <v>2.8583661524004021E-2</v>
      </c>
      <c r="L41" s="834">
        <f>IF($B41&lt;=$F$4,($D41-$H41)/'3.1 Delinquency Data'!C41,"")</f>
        <v>2.5536131878892065E-3</v>
      </c>
      <c r="M41" s="314"/>
      <c r="N41" s="25"/>
      <c r="O41" s="25"/>
      <c r="P41" s="25"/>
      <c r="Q41" s="829"/>
      <c r="R41" s="830"/>
      <c r="S41" s="829"/>
      <c r="T41" s="25"/>
      <c r="U41" s="694"/>
      <c r="V41" s="25"/>
      <c r="W41" s="25"/>
    </row>
    <row r="42" spans="1:23" ht="13">
      <c r="A42" s="239"/>
      <c r="B42" s="419">
        <v>22</v>
      </c>
      <c r="C42" s="832">
        <f t="shared" si="0"/>
        <v>2514</v>
      </c>
      <c r="D42" s="907">
        <f t="shared" si="1"/>
        <v>2795134.13</v>
      </c>
      <c r="E42" s="907">
        <f t="shared" si="2"/>
        <v>42543611.259999998</v>
      </c>
      <c r="F42" s="907">
        <f t="shared" si="3"/>
        <v>1356346723.3699999</v>
      </c>
      <c r="G42" s="833">
        <f t="shared" si="4"/>
        <v>3.1366324352740338E-2</v>
      </c>
      <c r="H42" s="908">
        <f t="shared" si="5"/>
        <v>174170.57</v>
      </c>
      <c r="I42" s="909">
        <f t="shared" si="6"/>
        <v>1153292.05</v>
      </c>
      <c r="J42" s="908">
        <f t="shared" si="7"/>
        <v>41390319.210000001</v>
      </c>
      <c r="K42" s="833">
        <f t="shared" si="8"/>
        <v>3.0516031407633714E-2</v>
      </c>
      <c r="L42" s="834">
        <f>IF($B42&lt;=$F$4,($D42-$H42)/'3.1 Delinquency Data'!C42,"")</f>
        <v>3.3507734547735006E-3</v>
      </c>
      <c r="M42" s="314"/>
      <c r="N42" s="25"/>
      <c r="O42" s="835"/>
      <c r="P42" s="25"/>
      <c r="Q42" s="829"/>
      <c r="R42" s="830"/>
      <c r="S42" s="830"/>
      <c r="T42" s="25"/>
      <c r="U42" s="25"/>
      <c r="V42" s="25"/>
      <c r="W42" s="800"/>
    </row>
    <row r="43" spans="1:23" ht="13">
      <c r="A43" s="239"/>
      <c r="B43" s="419">
        <v>23</v>
      </c>
      <c r="C43" s="832">
        <f t="shared" si="0"/>
        <v>2648</v>
      </c>
      <c r="D43" s="907">
        <f t="shared" si="1"/>
        <v>2156780.79</v>
      </c>
      <c r="E43" s="907">
        <f t="shared" si="2"/>
        <v>44700392.049999997</v>
      </c>
      <c r="F43" s="907">
        <f t="shared" si="3"/>
        <v>1356346723.3699999</v>
      </c>
      <c r="G43" s="833">
        <f t="shared" si="4"/>
        <v>3.2956464066162011E-2</v>
      </c>
      <c r="H43" s="908">
        <f t="shared" si="5"/>
        <v>140516.25</v>
      </c>
      <c r="I43" s="909">
        <f t="shared" si="6"/>
        <v>1293808.3</v>
      </c>
      <c r="J43" s="908">
        <f t="shared" si="7"/>
        <v>43406583.75</v>
      </c>
      <c r="K43" s="833">
        <f t="shared" si="8"/>
        <v>3.2002572057793104E-2</v>
      </c>
      <c r="L43" s="834">
        <f>IF($B43&lt;=$F$4,($D43-$H43)/'3.1 Delinquency Data'!C43,"")</f>
        <v>2.6618878103849765E-3</v>
      </c>
      <c r="M43" s="314"/>
      <c r="O43" s="25"/>
      <c r="P43" s="25"/>
      <c r="Q43" s="829"/>
      <c r="R43" s="830"/>
      <c r="S43" s="830"/>
      <c r="T43" s="25"/>
      <c r="U43" s="25"/>
      <c r="V43" s="25"/>
      <c r="W43" s="805"/>
    </row>
    <row r="44" spans="1:23" ht="13">
      <c r="A44" s="239"/>
      <c r="B44" s="419">
        <v>24</v>
      </c>
      <c r="C44" s="832">
        <f t="shared" si="0"/>
        <v>2767</v>
      </c>
      <c r="D44" s="907">
        <f t="shared" si="1"/>
        <v>2165273.4500000002</v>
      </c>
      <c r="E44" s="907">
        <f t="shared" si="2"/>
        <v>46865665.5</v>
      </c>
      <c r="F44" s="907">
        <f t="shared" si="3"/>
        <v>1356346723.3699999</v>
      </c>
      <c r="G44" s="833">
        <f t="shared" si="4"/>
        <v>3.4552865202163677E-2</v>
      </c>
      <c r="H44" s="908">
        <f t="shared" si="5"/>
        <v>168408.8</v>
      </c>
      <c r="I44" s="909">
        <f t="shared" si="6"/>
        <v>1462217.1</v>
      </c>
      <c r="J44" s="908">
        <f t="shared" si="7"/>
        <v>45403448.399999999</v>
      </c>
      <c r="K44" s="833">
        <f t="shared" si="8"/>
        <v>3.3474809661640119E-2</v>
      </c>
      <c r="L44" s="834">
        <f>IF($B44&lt;=$F$4,($D44-$H44)/'3.1 Delinquency Data'!C44,"")</f>
        <v>2.7301978777547072E-3</v>
      </c>
      <c r="M44" s="827"/>
      <c r="O44" s="828"/>
      <c r="P44" s="25"/>
      <c r="Q44" s="829"/>
      <c r="R44" s="830"/>
      <c r="S44" s="830"/>
      <c r="T44" s="25"/>
      <c r="U44" s="25"/>
      <c r="V44" s="25"/>
      <c r="W44" s="694"/>
    </row>
    <row r="45" spans="1:23">
      <c r="A45" s="239"/>
      <c r="B45" s="419">
        <v>25</v>
      </c>
      <c r="C45" s="832">
        <f t="shared" si="0"/>
        <v>2914</v>
      </c>
      <c r="D45" s="907">
        <f t="shared" si="1"/>
        <v>1775933.09</v>
      </c>
      <c r="E45" s="907">
        <f t="shared" si="2"/>
        <v>48641598.590000004</v>
      </c>
      <c r="F45" s="907">
        <f t="shared" si="3"/>
        <v>1356346723.3699999</v>
      </c>
      <c r="G45" s="833">
        <f t="shared" si="4"/>
        <v>3.5862215576518912E-2</v>
      </c>
      <c r="H45" s="908">
        <f t="shared" si="5"/>
        <v>161828.49</v>
      </c>
      <c r="I45" s="909">
        <f t="shared" si="6"/>
        <v>1624045.59</v>
      </c>
      <c r="J45" s="908">
        <f t="shared" si="7"/>
        <v>47017553</v>
      </c>
      <c r="K45" s="833">
        <f t="shared" si="8"/>
        <v>3.4664847999322373E-2</v>
      </c>
      <c r="L45" s="834">
        <f>IF($B45&lt;=$F$4,($D45-$H45)/'3.1 Delinquency Data'!C45,"")</f>
        <v>2.2801104131578219E-3</v>
      </c>
      <c r="M45" s="314"/>
      <c r="N45" s="25"/>
      <c r="O45" s="25"/>
      <c r="P45" s="25"/>
      <c r="Q45" s="829"/>
      <c r="R45" s="830"/>
      <c r="S45" s="829"/>
      <c r="T45" s="25"/>
      <c r="U45" s="694"/>
      <c r="V45" s="25"/>
      <c r="W45" s="25"/>
    </row>
    <row r="46" spans="1:23">
      <c r="A46" s="239"/>
      <c r="B46" s="419">
        <v>26</v>
      </c>
      <c r="C46" s="832">
        <f t="shared" si="0"/>
        <v>3058</v>
      </c>
      <c r="D46" s="907">
        <f t="shared" si="1"/>
        <v>2114906.71</v>
      </c>
      <c r="E46" s="907">
        <f t="shared" si="2"/>
        <v>50756505.299999997</v>
      </c>
      <c r="F46" s="907">
        <f t="shared" si="3"/>
        <v>1356346723.3699999</v>
      </c>
      <c r="G46" s="833">
        <f t="shared" si="4"/>
        <v>3.7421482593985707E-2</v>
      </c>
      <c r="H46" s="908">
        <f t="shared" si="5"/>
        <v>126522.33</v>
      </c>
      <c r="I46" s="909">
        <f t="shared" si="6"/>
        <v>1750567.92</v>
      </c>
      <c r="J46" s="908">
        <f t="shared" si="7"/>
        <v>49005937.380000003</v>
      </c>
      <c r="K46" s="833">
        <f t="shared" si="8"/>
        <v>3.6130833315421801E-2</v>
      </c>
      <c r="L46" s="834">
        <f>IF($B46&lt;=$F$4,($D46-$H46)/'3.1 Delinquency Data'!C46,"")</f>
        <v>2.8974808983748463E-3</v>
      </c>
      <c r="M46" s="314"/>
      <c r="N46" s="25"/>
      <c r="O46" s="25"/>
      <c r="P46" s="25"/>
      <c r="Q46" s="829"/>
      <c r="R46" s="830"/>
      <c r="S46" s="829"/>
      <c r="T46" s="25"/>
      <c r="U46" s="694"/>
      <c r="V46" s="25"/>
      <c r="W46" s="25"/>
    </row>
    <row r="47" spans="1:23">
      <c r="A47" s="239"/>
      <c r="B47" s="419">
        <v>27</v>
      </c>
      <c r="C47" s="832">
        <f t="shared" si="0"/>
        <v>3178</v>
      </c>
      <c r="D47" s="907">
        <f t="shared" si="1"/>
        <v>1838786.74</v>
      </c>
      <c r="E47" s="907">
        <f t="shared" si="2"/>
        <v>52595292.039999999</v>
      </c>
      <c r="F47" s="907">
        <f t="shared" si="3"/>
        <v>1356346723.3699999</v>
      </c>
      <c r="G47" s="833">
        <f t="shared" si="4"/>
        <v>3.8777173368562373E-2</v>
      </c>
      <c r="H47" s="908">
        <f t="shared" si="5"/>
        <v>250063.51</v>
      </c>
      <c r="I47" s="909">
        <f t="shared" si="6"/>
        <v>2000631.43</v>
      </c>
      <c r="J47" s="908">
        <f t="shared" si="7"/>
        <v>50594660.609999999</v>
      </c>
      <c r="K47" s="833">
        <f t="shared" si="8"/>
        <v>3.7302158613464059E-2</v>
      </c>
      <c r="L47" s="834">
        <f>IF($B47&lt;=$F$4,($D47-$H47)/'3.1 Delinquency Data'!C47,"")</f>
        <v>2.3943711279327878E-3</v>
      </c>
      <c r="M47" s="314"/>
      <c r="N47" s="25"/>
      <c r="O47" s="835"/>
      <c r="P47" s="25"/>
      <c r="Q47" s="829"/>
      <c r="R47" s="830"/>
      <c r="S47" s="830"/>
      <c r="T47" s="25"/>
      <c r="U47" s="25"/>
      <c r="V47" s="25"/>
      <c r="W47" s="25"/>
    </row>
    <row r="48" spans="1:23" ht="12.75" customHeight="1">
      <c r="A48" s="239"/>
      <c r="B48" s="419">
        <v>28</v>
      </c>
      <c r="C48" s="832">
        <f t="shared" si="0"/>
        <v>3325</v>
      </c>
      <c r="D48" s="907">
        <f t="shared" si="1"/>
        <v>2047574.29</v>
      </c>
      <c r="E48" s="907">
        <f t="shared" si="2"/>
        <v>54642866.329999998</v>
      </c>
      <c r="F48" s="907">
        <f t="shared" si="3"/>
        <v>1356346723.3699999</v>
      </c>
      <c r="G48" s="833">
        <f t="shared" si="4"/>
        <v>4.0286797902407648E-2</v>
      </c>
      <c r="H48" s="908">
        <f t="shared" si="5"/>
        <v>98171.26</v>
      </c>
      <c r="I48" s="909">
        <f t="shared" si="6"/>
        <v>2098802.69</v>
      </c>
      <c r="J48" s="908">
        <f t="shared" si="7"/>
        <v>52544063.640000001</v>
      </c>
      <c r="K48" s="833">
        <f t="shared" si="8"/>
        <v>3.8739403969988005E-2</v>
      </c>
      <c r="L48" s="834">
        <f>IF($B48&lt;=$F$4,($D48-$H48)/'3.1 Delinquency Data'!C48,"")</f>
        <v>3.0275930886063487E-3</v>
      </c>
      <c r="M48" s="314"/>
      <c r="Q48" s="843"/>
      <c r="S48" s="844"/>
      <c r="U48" s="25"/>
      <c r="V48" s="25"/>
      <c r="W48" s="25"/>
    </row>
    <row r="49" spans="1:23" ht="12.75" customHeight="1">
      <c r="A49" s="239"/>
      <c r="B49" s="419">
        <v>29</v>
      </c>
      <c r="C49" s="832">
        <f t="shared" si="0"/>
        <v>3453</v>
      </c>
      <c r="D49" s="907">
        <f t="shared" si="1"/>
        <v>2027648.77</v>
      </c>
      <c r="E49" s="907">
        <f t="shared" si="2"/>
        <v>56670515.100000001</v>
      </c>
      <c r="F49" s="907">
        <f t="shared" si="3"/>
        <v>1356346723.3699999</v>
      </c>
      <c r="G49" s="833">
        <f t="shared" si="4"/>
        <v>4.178173185628787E-2</v>
      </c>
      <c r="H49" s="908">
        <f t="shared" si="5"/>
        <v>170484.58</v>
      </c>
      <c r="I49" s="909">
        <f t="shared" si="6"/>
        <v>2269287.27</v>
      </c>
      <c r="J49" s="908">
        <f t="shared" si="7"/>
        <v>54401227.829999998</v>
      </c>
      <c r="K49" s="833">
        <f t="shared" si="8"/>
        <v>4.0108643971825925E-2</v>
      </c>
      <c r="L49" s="834">
        <f>IF($B49&lt;=$F$4,($D49-$H49)/'3.1 Delinquency Data'!C49,"")</f>
        <v>2.9620701856015422E-3</v>
      </c>
      <c r="M49" s="314"/>
      <c r="Q49" s="694"/>
      <c r="S49" s="328"/>
      <c r="U49" s="25"/>
      <c r="V49" s="25"/>
      <c r="W49" s="25"/>
    </row>
    <row r="50" spans="1:23">
      <c r="A50" s="239"/>
      <c r="B50" s="419">
        <v>30</v>
      </c>
      <c r="C50" s="832">
        <f t="shared" si="0"/>
        <v>3583</v>
      </c>
      <c r="D50" s="907">
        <f t="shared" si="1"/>
        <v>1812247.89</v>
      </c>
      <c r="E50" s="907">
        <f t="shared" si="2"/>
        <v>58482762.990000002</v>
      </c>
      <c r="F50" s="907">
        <f t="shared" si="3"/>
        <v>1356346723.3699999</v>
      </c>
      <c r="G50" s="833">
        <f t="shared" si="4"/>
        <v>4.3117856210610241E-2</v>
      </c>
      <c r="H50" s="908">
        <f t="shared" si="5"/>
        <v>177051.68</v>
      </c>
      <c r="I50" s="909">
        <f t="shared" si="6"/>
        <v>2446338.9500000002</v>
      </c>
      <c r="J50" s="908">
        <f t="shared" si="7"/>
        <v>56036424.039999999</v>
      </c>
      <c r="K50" s="833">
        <f t="shared" si="8"/>
        <v>4.1314232618021911E-2</v>
      </c>
      <c r="L50" s="834">
        <f>IF($B50&lt;=$F$4,($D50-$H50)/'3.1 Delinquency Data'!C50,"")</f>
        <v>2.7001549551251463E-3</v>
      </c>
      <c r="M50" s="314"/>
    </row>
    <row r="51" spans="1:23">
      <c r="A51" s="239"/>
      <c r="B51" s="419">
        <v>31</v>
      </c>
      <c r="C51" s="832">
        <f t="shared" si="0"/>
        <v>3716</v>
      </c>
      <c r="D51" s="907">
        <f t="shared" si="1"/>
        <v>2137065.71</v>
      </c>
      <c r="E51" s="907">
        <f t="shared" si="2"/>
        <v>60619828.700000003</v>
      </c>
      <c r="F51" s="907">
        <f t="shared" si="3"/>
        <v>1356346723.3699999</v>
      </c>
      <c r="G51" s="833">
        <f t="shared" si="4"/>
        <v>4.4693460496135561E-2</v>
      </c>
      <c r="H51" s="908">
        <f t="shared" si="5"/>
        <v>179364.09</v>
      </c>
      <c r="I51" s="909">
        <f t="shared" si="6"/>
        <v>2625703.04</v>
      </c>
      <c r="J51" s="908">
        <f t="shared" si="7"/>
        <v>57994125.659999996</v>
      </c>
      <c r="K51" s="833">
        <f t="shared" si="8"/>
        <v>4.2757596314242502E-2</v>
      </c>
      <c r="L51" s="834">
        <f>IF($B51&lt;=$F$4,($D51-$H51)/'3.1 Delinquency Data'!C51,"")</f>
        <v>3.3364642403014423E-3</v>
      </c>
      <c r="M51" s="314"/>
      <c r="S51" s="270"/>
    </row>
    <row r="52" spans="1:23">
      <c r="A52" s="239"/>
      <c r="B52" s="419">
        <v>32</v>
      </c>
      <c r="C52" s="832">
        <f t="shared" si="0"/>
        <v>3815</v>
      </c>
      <c r="D52" s="907">
        <f t="shared" si="1"/>
        <v>1652722.26</v>
      </c>
      <c r="E52" s="907">
        <f t="shared" si="2"/>
        <v>62272550.960000001</v>
      </c>
      <c r="F52" s="907">
        <f t="shared" si="3"/>
        <v>1356346723.3699999</v>
      </c>
      <c r="G52" s="833">
        <f t="shared" si="4"/>
        <v>4.5911970653990788E-2</v>
      </c>
      <c r="H52" s="908">
        <f t="shared" si="5"/>
        <v>121340.66</v>
      </c>
      <c r="I52" s="909">
        <f t="shared" si="6"/>
        <v>2747043.7</v>
      </c>
      <c r="J52" s="908">
        <f t="shared" si="7"/>
        <v>59525507.259999998</v>
      </c>
      <c r="K52" s="833">
        <f t="shared" si="8"/>
        <v>4.3886645084453037E-2</v>
      </c>
      <c r="L52" s="834">
        <f>IF($B52&lt;=$F$4,($D52-$H52)/'3.1 Delinquency Data'!C52,"")</f>
        <v>2.693877004969438E-3</v>
      </c>
      <c r="M52" s="314"/>
      <c r="S52" s="270"/>
    </row>
    <row r="53" spans="1:23">
      <c r="A53" s="239"/>
      <c r="B53" s="419">
        <v>33</v>
      </c>
      <c r="C53" s="832">
        <f t="shared" ref="C53:C84" si="9">IF(B53&lt;=$F$4,VLOOKUP(CONCATENATE("defaults_",$B53),defaults,2,0),"")</f>
        <v>3928</v>
      </c>
      <c r="D53" s="907">
        <f t="shared" ref="D53:D84" si="10">IF(B53&lt;=$F$4,VLOOKUP(CONCATENATE("defaults_",$B53),defaults,3,0),"")</f>
        <v>1573027.58</v>
      </c>
      <c r="E53" s="907">
        <f t="shared" ref="E53:E84" si="11">IF(B53&lt;=$F$4,VLOOKUP(CONCATENATE("defaults_",$B53),defaults,4,0),"")</f>
        <v>63845578.539999999</v>
      </c>
      <c r="F53" s="907">
        <f t="shared" ref="F53:F84" si="12">IF(B53&lt;=$F$4,VLOOKUP(CONCATENATE("defaults_",$B53),defaults,5,0),"")</f>
        <v>1356346723.3699999</v>
      </c>
      <c r="G53" s="833">
        <f t="shared" ref="G53:G84" si="13">IF(B53&lt;=$F$4,VLOOKUP(CONCATENATE("defaults_",$B53),defaults,6,0),"")</f>
        <v>4.7071723947817917E-2</v>
      </c>
      <c r="H53" s="908">
        <f t="shared" ref="H53:H84" si="14">IF(B53&lt;=$F$4,VLOOKUP(CONCATENATE("defaults_",$B53),defaults,7,0),"")</f>
        <v>154016.49</v>
      </c>
      <c r="I53" s="909">
        <f t="shared" ref="I53:I84" si="15">IF(B53&lt;=$F$4,VLOOKUP(CONCATENATE("defaults_",$B53),defaults,8,0),"")</f>
        <v>2901060.19</v>
      </c>
      <c r="J53" s="908">
        <f t="shared" ref="J53:J84" si="16">IF(B53&lt;=$F$4,VLOOKUP(CONCATENATE("defaults_",$B53),defaults,9,0),"")</f>
        <v>60944518.350000001</v>
      </c>
      <c r="K53" s="833">
        <f t="shared" ref="K53:K84" si="17">IF(B53&lt;=$F$4,VLOOKUP(CONCATENATE("defaults_",$B53),defaults,10,0),"")</f>
        <v>4.4932845930851888E-2</v>
      </c>
      <c r="L53" s="834">
        <f>IF($B53&lt;=$F$4,($D53-$H53)/'3.1 Delinquency Data'!C53,"")</f>
        <v>2.5843785563365168E-3</v>
      </c>
      <c r="M53" s="314"/>
    </row>
    <row r="54" spans="1:23">
      <c r="A54" s="239"/>
      <c r="B54" s="419">
        <v>34</v>
      </c>
      <c r="C54" s="832">
        <f t="shared" si="9"/>
        <v>4081</v>
      </c>
      <c r="D54" s="907">
        <f t="shared" si="10"/>
        <v>2394462.21</v>
      </c>
      <c r="E54" s="907">
        <f t="shared" si="11"/>
        <v>66240040.75</v>
      </c>
      <c r="F54" s="907">
        <f t="shared" si="12"/>
        <v>1356346723.3699999</v>
      </c>
      <c r="G54" s="833">
        <f t="shared" si="13"/>
        <v>4.8837100137211945E-2</v>
      </c>
      <c r="H54" s="908">
        <f t="shared" si="14"/>
        <v>155151.20000000001</v>
      </c>
      <c r="I54" s="909">
        <f t="shared" si="15"/>
        <v>3056211.39</v>
      </c>
      <c r="J54" s="908">
        <f t="shared" si="16"/>
        <v>63183829.359999999</v>
      </c>
      <c r="K54" s="833">
        <f t="shared" si="17"/>
        <v>4.6583833079946166E-2</v>
      </c>
      <c r="L54" s="834">
        <f>IF($B54&lt;=$F$4,($D54-$H54)/'3.1 Delinquency Data'!C54,"")</f>
        <v>4.2218404742676565E-3</v>
      </c>
      <c r="M54" s="314"/>
      <c r="N54" s="814"/>
      <c r="O54" s="815"/>
      <c r="Q54" s="815"/>
      <c r="S54" s="270"/>
    </row>
    <row r="55" spans="1:23">
      <c r="A55" s="239"/>
      <c r="B55" s="419">
        <v>35</v>
      </c>
      <c r="C55" s="832">
        <f t="shared" si="9"/>
        <v>4195</v>
      </c>
      <c r="D55" s="907">
        <f t="shared" si="10"/>
        <v>1631518.43</v>
      </c>
      <c r="E55" s="907">
        <f t="shared" si="11"/>
        <v>67871559.180000007</v>
      </c>
      <c r="F55" s="907">
        <f t="shared" si="12"/>
        <v>1356346723.3699999</v>
      </c>
      <c r="G55" s="833">
        <f t="shared" si="13"/>
        <v>5.0039977249596829E-2</v>
      </c>
      <c r="H55" s="908">
        <f t="shared" si="14"/>
        <v>184720.33</v>
      </c>
      <c r="I55" s="909">
        <f t="shared" si="15"/>
        <v>3240931.72</v>
      </c>
      <c r="J55" s="908">
        <f t="shared" si="16"/>
        <v>64630627.460000001</v>
      </c>
      <c r="K55" s="833">
        <f t="shared" si="17"/>
        <v>4.7650520583275159E-2</v>
      </c>
      <c r="L55" s="834">
        <f>IF($B55&lt;=$F$4,($D55-$H55)/'3.1 Delinquency Data'!C55,"")</f>
        <v>2.8207119487996756E-3</v>
      </c>
      <c r="M55" s="314"/>
      <c r="N55" s="814"/>
      <c r="O55" s="815"/>
      <c r="Q55" s="815"/>
    </row>
    <row r="56" spans="1:23">
      <c r="A56" s="239"/>
      <c r="B56" s="419">
        <v>36</v>
      </c>
      <c r="C56" s="832" t="str">
        <f t="shared" si="9"/>
        <v/>
      </c>
      <c r="D56" s="907" t="str">
        <f t="shared" si="10"/>
        <v/>
      </c>
      <c r="E56" s="907" t="str">
        <f t="shared" si="11"/>
        <v/>
      </c>
      <c r="F56" s="907" t="str">
        <f t="shared" si="12"/>
        <v/>
      </c>
      <c r="G56" s="833" t="str">
        <f t="shared" si="13"/>
        <v/>
      </c>
      <c r="H56" s="908" t="str">
        <f t="shared" si="14"/>
        <v/>
      </c>
      <c r="I56" s="909" t="str">
        <f t="shared" si="15"/>
        <v/>
      </c>
      <c r="J56" s="908" t="str">
        <f t="shared" si="16"/>
        <v/>
      </c>
      <c r="K56" s="833" t="str">
        <f t="shared" si="17"/>
        <v/>
      </c>
      <c r="L56" s="834" t="str">
        <f>IF($B56&lt;=$F$4,($D56-$H56)/'3.1 Delinquency Data'!C56,"")</f>
        <v/>
      </c>
      <c r="M56" s="314"/>
    </row>
    <row r="57" spans="1:23">
      <c r="A57" s="239"/>
      <c r="B57" s="419">
        <v>37</v>
      </c>
      <c r="C57" s="832" t="str">
        <f t="shared" si="9"/>
        <v/>
      </c>
      <c r="D57" s="907" t="str">
        <f t="shared" si="10"/>
        <v/>
      </c>
      <c r="E57" s="907" t="str">
        <f t="shared" si="11"/>
        <v/>
      </c>
      <c r="F57" s="907" t="str">
        <f t="shared" si="12"/>
        <v/>
      </c>
      <c r="G57" s="833" t="str">
        <f t="shared" si="13"/>
        <v/>
      </c>
      <c r="H57" s="908" t="str">
        <f t="shared" si="14"/>
        <v/>
      </c>
      <c r="I57" s="909" t="str">
        <f t="shared" si="15"/>
        <v/>
      </c>
      <c r="J57" s="908" t="str">
        <f t="shared" si="16"/>
        <v/>
      </c>
      <c r="K57" s="833" t="str">
        <f t="shared" si="17"/>
        <v/>
      </c>
      <c r="L57" s="834" t="str">
        <f>IF($B57&lt;=$F$4,($D57-$H57)/'3.1 Delinquency Data'!C57,"")</f>
        <v/>
      </c>
      <c r="M57" s="314"/>
      <c r="N57" s="814"/>
      <c r="O57" s="814"/>
      <c r="P57" s="814"/>
      <c r="Q57" s="814"/>
    </row>
    <row r="58" spans="1:23">
      <c r="A58" s="239"/>
      <c r="B58" s="419">
        <v>38</v>
      </c>
      <c r="C58" s="832" t="str">
        <f t="shared" si="9"/>
        <v/>
      </c>
      <c r="D58" s="907" t="str">
        <f t="shared" si="10"/>
        <v/>
      </c>
      <c r="E58" s="907" t="str">
        <f t="shared" si="11"/>
        <v/>
      </c>
      <c r="F58" s="907" t="str">
        <f t="shared" si="12"/>
        <v/>
      </c>
      <c r="G58" s="833" t="str">
        <f t="shared" si="13"/>
        <v/>
      </c>
      <c r="H58" s="908" t="str">
        <f t="shared" si="14"/>
        <v/>
      </c>
      <c r="I58" s="909" t="str">
        <f t="shared" si="15"/>
        <v/>
      </c>
      <c r="J58" s="908" t="str">
        <f t="shared" si="16"/>
        <v/>
      </c>
      <c r="K58" s="833" t="str">
        <f t="shared" si="17"/>
        <v/>
      </c>
      <c r="L58" s="834" t="str">
        <f>IF($B58&lt;=$F$4,($D58-$H58)/'3.1 Delinquency Data'!C58,"")</f>
        <v/>
      </c>
      <c r="M58" s="314"/>
    </row>
    <row r="59" spans="1:23">
      <c r="A59" s="239"/>
      <c r="B59" s="419">
        <v>39</v>
      </c>
      <c r="C59" s="832" t="str">
        <f t="shared" si="9"/>
        <v/>
      </c>
      <c r="D59" s="907" t="str">
        <f t="shared" si="10"/>
        <v/>
      </c>
      <c r="E59" s="907" t="str">
        <f t="shared" si="11"/>
        <v/>
      </c>
      <c r="F59" s="907" t="str">
        <f t="shared" si="12"/>
        <v/>
      </c>
      <c r="G59" s="833" t="str">
        <f t="shared" si="13"/>
        <v/>
      </c>
      <c r="H59" s="908" t="str">
        <f t="shared" si="14"/>
        <v/>
      </c>
      <c r="I59" s="909" t="str">
        <f t="shared" si="15"/>
        <v/>
      </c>
      <c r="J59" s="908" t="str">
        <f t="shared" si="16"/>
        <v/>
      </c>
      <c r="K59" s="833" t="str">
        <f t="shared" si="17"/>
        <v/>
      </c>
      <c r="L59" s="834" t="str">
        <f>IF($B59&lt;=$F$4,($D59-$H59)/'3.1 Delinquency Data'!C59,"")</f>
        <v/>
      </c>
      <c r="M59" s="314"/>
    </row>
    <row r="60" spans="1:23">
      <c r="A60" s="239"/>
      <c r="B60" s="419">
        <v>40</v>
      </c>
      <c r="C60" s="832" t="str">
        <f t="shared" si="9"/>
        <v/>
      </c>
      <c r="D60" s="907" t="str">
        <f t="shared" si="10"/>
        <v/>
      </c>
      <c r="E60" s="907" t="str">
        <f t="shared" si="11"/>
        <v/>
      </c>
      <c r="F60" s="907" t="str">
        <f t="shared" si="12"/>
        <v/>
      </c>
      <c r="G60" s="833" t="str">
        <f t="shared" si="13"/>
        <v/>
      </c>
      <c r="H60" s="908" t="str">
        <f t="shared" si="14"/>
        <v/>
      </c>
      <c r="I60" s="909" t="str">
        <f t="shared" si="15"/>
        <v/>
      </c>
      <c r="J60" s="908" t="str">
        <f t="shared" si="16"/>
        <v/>
      </c>
      <c r="K60" s="833" t="str">
        <f t="shared" si="17"/>
        <v/>
      </c>
      <c r="L60" s="834" t="str">
        <f>IF($B60&lt;=$F$4,($D60-$H60)/'3.1 Delinquency Data'!C60,"")</f>
        <v/>
      </c>
      <c r="M60" s="314"/>
    </row>
    <row r="61" spans="1:23">
      <c r="A61" s="239"/>
      <c r="B61" s="419">
        <v>41</v>
      </c>
      <c r="C61" s="832" t="str">
        <f t="shared" si="9"/>
        <v/>
      </c>
      <c r="D61" s="907" t="str">
        <f t="shared" si="10"/>
        <v/>
      </c>
      <c r="E61" s="907" t="str">
        <f t="shared" si="11"/>
        <v/>
      </c>
      <c r="F61" s="907" t="str">
        <f t="shared" si="12"/>
        <v/>
      </c>
      <c r="G61" s="833" t="str">
        <f t="shared" si="13"/>
        <v/>
      </c>
      <c r="H61" s="908" t="str">
        <f t="shared" si="14"/>
        <v/>
      </c>
      <c r="I61" s="909" t="str">
        <f t="shared" si="15"/>
        <v/>
      </c>
      <c r="J61" s="908" t="str">
        <f t="shared" si="16"/>
        <v/>
      </c>
      <c r="K61" s="833" t="str">
        <f t="shared" si="17"/>
        <v/>
      </c>
      <c r="L61" s="834" t="str">
        <f>IF($B61&lt;=$F$4,($D61-$H61)/'3.1 Delinquency Data'!C61,"")</f>
        <v/>
      </c>
      <c r="M61" s="314"/>
    </row>
    <row r="62" spans="1:23">
      <c r="A62" s="239"/>
      <c r="B62" s="419">
        <v>42</v>
      </c>
      <c r="C62" s="832" t="str">
        <f t="shared" si="9"/>
        <v/>
      </c>
      <c r="D62" s="907" t="str">
        <f t="shared" si="10"/>
        <v/>
      </c>
      <c r="E62" s="907" t="str">
        <f t="shared" si="11"/>
        <v/>
      </c>
      <c r="F62" s="907" t="str">
        <f t="shared" si="12"/>
        <v/>
      </c>
      <c r="G62" s="833" t="str">
        <f t="shared" si="13"/>
        <v/>
      </c>
      <c r="H62" s="908" t="str">
        <f t="shared" si="14"/>
        <v/>
      </c>
      <c r="I62" s="909" t="str">
        <f t="shared" si="15"/>
        <v/>
      </c>
      <c r="J62" s="908" t="str">
        <f t="shared" si="16"/>
        <v/>
      </c>
      <c r="K62" s="833" t="str">
        <f t="shared" si="17"/>
        <v/>
      </c>
      <c r="L62" s="834" t="str">
        <f>IF($B62&lt;=$F$4,($D62-$H62)/'3.1 Delinquency Data'!C62,"")</f>
        <v/>
      </c>
      <c r="M62" s="314"/>
    </row>
    <row r="63" spans="1:23">
      <c r="A63" s="239"/>
      <c r="B63" s="419">
        <v>43</v>
      </c>
      <c r="C63" s="832" t="str">
        <f t="shared" si="9"/>
        <v/>
      </c>
      <c r="D63" s="907" t="str">
        <f t="shared" si="10"/>
        <v/>
      </c>
      <c r="E63" s="907" t="str">
        <f t="shared" si="11"/>
        <v/>
      </c>
      <c r="F63" s="907" t="str">
        <f t="shared" si="12"/>
        <v/>
      </c>
      <c r="G63" s="833" t="str">
        <f t="shared" si="13"/>
        <v/>
      </c>
      <c r="H63" s="908" t="str">
        <f t="shared" si="14"/>
        <v/>
      </c>
      <c r="I63" s="909" t="str">
        <f t="shared" si="15"/>
        <v/>
      </c>
      <c r="J63" s="908" t="str">
        <f t="shared" si="16"/>
        <v/>
      </c>
      <c r="K63" s="833" t="str">
        <f t="shared" si="17"/>
        <v/>
      </c>
      <c r="L63" s="834" t="str">
        <f>IF($B63&lt;=$F$4,($D63-$H63)/'3.1 Delinquency Data'!C63,"")</f>
        <v/>
      </c>
      <c r="M63" s="314"/>
    </row>
    <row r="64" spans="1:23">
      <c r="A64" s="239"/>
      <c r="B64" s="419">
        <v>44</v>
      </c>
      <c r="C64" s="832" t="str">
        <f t="shared" si="9"/>
        <v/>
      </c>
      <c r="D64" s="907" t="str">
        <f t="shared" si="10"/>
        <v/>
      </c>
      <c r="E64" s="907" t="str">
        <f t="shared" si="11"/>
        <v/>
      </c>
      <c r="F64" s="907" t="str">
        <f t="shared" si="12"/>
        <v/>
      </c>
      <c r="G64" s="833" t="str">
        <f t="shared" si="13"/>
        <v/>
      </c>
      <c r="H64" s="908" t="str">
        <f t="shared" si="14"/>
        <v/>
      </c>
      <c r="I64" s="909" t="str">
        <f t="shared" si="15"/>
        <v/>
      </c>
      <c r="J64" s="908" t="str">
        <f t="shared" si="16"/>
        <v/>
      </c>
      <c r="K64" s="833" t="str">
        <f t="shared" si="17"/>
        <v/>
      </c>
      <c r="L64" s="834" t="str">
        <f>IF($B64&lt;=$F$4,($D64-$H64)/'3.1 Delinquency Data'!C64,"")</f>
        <v/>
      </c>
      <c r="M64" s="314"/>
    </row>
    <row r="65" spans="1:13">
      <c r="A65" s="239"/>
      <c r="B65" s="419">
        <v>45</v>
      </c>
      <c r="C65" s="832" t="str">
        <f t="shared" si="9"/>
        <v/>
      </c>
      <c r="D65" s="907" t="str">
        <f t="shared" si="10"/>
        <v/>
      </c>
      <c r="E65" s="907" t="str">
        <f t="shared" si="11"/>
        <v/>
      </c>
      <c r="F65" s="907" t="str">
        <f t="shared" si="12"/>
        <v/>
      </c>
      <c r="G65" s="833" t="str">
        <f t="shared" si="13"/>
        <v/>
      </c>
      <c r="H65" s="908" t="str">
        <f t="shared" si="14"/>
        <v/>
      </c>
      <c r="I65" s="909" t="str">
        <f t="shared" si="15"/>
        <v/>
      </c>
      <c r="J65" s="908" t="str">
        <f t="shared" si="16"/>
        <v/>
      </c>
      <c r="K65" s="833" t="str">
        <f t="shared" si="17"/>
        <v/>
      </c>
      <c r="L65" s="834" t="str">
        <f>IF($B65&lt;=$F$4,($D65-$H65)/'3.1 Delinquency Data'!C65,"")</f>
        <v/>
      </c>
      <c r="M65" s="314"/>
    </row>
    <row r="66" spans="1:13">
      <c r="A66" s="239"/>
      <c r="B66" s="419">
        <v>46</v>
      </c>
      <c r="C66" s="832" t="str">
        <f t="shared" si="9"/>
        <v/>
      </c>
      <c r="D66" s="907" t="str">
        <f t="shared" si="10"/>
        <v/>
      </c>
      <c r="E66" s="907" t="str">
        <f t="shared" si="11"/>
        <v/>
      </c>
      <c r="F66" s="907" t="str">
        <f t="shared" si="12"/>
        <v/>
      </c>
      <c r="G66" s="833" t="str">
        <f t="shared" si="13"/>
        <v/>
      </c>
      <c r="H66" s="908" t="str">
        <f t="shared" si="14"/>
        <v/>
      </c>
      <c r="I66" s="909" t="str">
        <f t="shared" si="15"/>
        <v/>
      </c>
      <c r="J66" s="908" t="str">
        <f t="shared" si="16"/>
        <v/>
      </c>
      <c r="K66" s="833" t="str">
        <f t="shared" si="17"/>
        <v/>
      </c>
      <c r="L66" s="834" t="str">
        <f>IF($B66&lt;=$F$4,($D66-$H66)/'3.1 Delinquency Data'!C66,"")</f>
        <v/>
      </c>
      <c r="M66" s="314"/>
    </row>
    <row r="67" spans="1:13">
      <c r="A67" s="239"/>
      <c r="B67" s="419">
        <v>47</v>
      </c>
      <c r="C67" s="832" t="str">
        <f t="shared" si="9"/>
        <v/>
      </c>
      <c r="D67" s="907" t="str">
        <f t="shared" si="10"/>
        <v/>
      </c>
      <c r="E67" s="907" t="str">
        <f t="shared" si="11"/>
        <v/>
      </c>
      <c r="F67" s="907" t="str">
        <f t="shared" si="12"/>
        <v/>
      </c>
      <c r="G67" s="833" t="str">
        <f t="shared" si="13"/>
        <v/>
      </c>
      <c r="H67" s="908" t="str">
        <f t="shared" si="14"/>
        <v/>
      </c>
      <c r="I67" s="909" t="str">
        <f t="shared" si="15"/>
        <v/>
      </c>
      <c r="J67" s="908" t="str">
        <f t="shared" si="16"/>
        <v/>
      </c>
      <c r="K67" s="833" t="str">
        <f t="shared" si="17"/>
        <v/>
      </c>
      <c r="L67" s="834" t="str">
        <f>IF($B67&lt;=$F$4,($D67-$H67)/'3.1 Delinquency Data'!C67,"")</f>
        <v/>
      </c>
      <c r="M67" s="314"/>
    </row>
    <row r="68" spans="1:13">
      <c r="A68" s="239"/>
      <c r="B68" s="419">
        <v>48</v>
      </c>
      <c r="C68" s="832" t="str">
        <f t="shared" si="9"/>
        <v/>
      </c>
      <c r="D68" s="907" t="str">
        <f t="shared" si="10"/>
        <v/>
      </c>
      <c r="E68" s="907" t="str">
        <f t="shared" si="11"/>
        <v/>
      </c>
      <c r="F68" s="907" t="str">
        <f t="shared" si="12"/>
        <v/>
      </c>
      <c r="G68" s="833" t="str">
        <f t="shared" si="13"/>
        <v/>
      </c>
      <c r="H68" s="908" t="str">
        <f t="shared" si="14"/>
        <v/>
      </c>
      <c r="I68" s="909" t="str">
        <f t="shared" si="15"/>
        <v/>
      </c>
      <c r="J68" s="908" t="str">
        <f t="shared" si="16"/>
        <v/>
      </c>
      <c r="K68" s="833" t="str">
        <f t="shared" si="17"/>
        <v/>
      </c>
      <c r="L68" s="834" t="str">
        <f>IF($B68&lt;=$F$4,($D68-$H68)/'3.1 Delinquency Data'!C68,"")</f>
        <v/>
      </c>
      <c r="M68" s="314"/>
    </row>
    <row r="69" spans="1:13">
      <c r="A69" s="239"/>
      <c r="B69" s="419">
        <v>49</v>
      </c>
      <c r="C69" s="832" t="str">
        <f t="shared" si="9"/>
        <v/>
      </c>
      <c r="D69" s="907" t="str">
        <f t="shared" si="10"/>
        <v/>
      </c>
      <c r="E69" s="907" t="str">
        <f t="shared" si="11"/>
        <v/>
      </c>
      <c r="F69" s="907" t="str">
        <f t="shared" si="12"/>
        <v/>
      </c>
      <c r="G69" s="833" t="str">
        <f t="shared" si="13"/>
        <v/>
      </c>
      <c r="H69" s="908" t="str">
        <f t="shared" si="14"/>
        <v/>
      </c>
      <c r="I69" s="909" t="str">
        <f t="shared" si="15"/>
        <v/>
      </c>
      <c r="J69" s="908" t="str">
        <f t="shared" si="16"/>
        <v/>
      </c>
      <c r="K69" s="833" t="str">
        <f t="shared" si="17"/>
        <v/>
      </c>
      <c r="L69" s="834" t="str">
        <f>IF($B69&lt;=$F$4,($D69-$H69)/'3.1 Delinquency Data'!C69,"")</f>
        <v/>
      </c>
      <c r="M69" s="314"/>
    </row>
    <row r="70" spans="1:13">
      <c r="A70" s="239"/>
      <c r="B70" s="419">
        <v>50</v>
      </c>
      <c r="C70" s="832" t="str">
        <f t="shared" si="9"/>
        <v/>
      </c>
      <c r="D70" s="907" t="str">
        <f t="shared" si="10"/>
        <v/>
      </c>
      <c r="E70" s="907" t="str">
        <f t="shared" si="11"/>
        <v/>
      </c>
      <c r="F70" s="907" t="str">
        <f t="shared" si="12"/>
        <v/>
      </c>
      <c r="G70" s="833" t="str">
        <f t="shared" si="13"/>
        <v/>
      </c>
      <c r="H70" s="908" t="str">
        <f t="shared" si="14"/>
        <v/>
      </c>
      <c r="I70" s="909" t="str">
        <f t="shared" si="15"/>
        <v/>
      </c>
      <c r="J70" s="908" t="str">
        <f t="shared" si="16"/>
        <v/>
      </c>
      <c r="K70" s="833" t="str">
        <f t="shared" si="17"/>
        <v/>
      </c>
      <c r="L70" s="834" t="str">
        <f>IF($B70&lt;=$F$4,($D70-$H70)/'3.1 Delinquency Data'!C70,"")</f>
        <v/>
      </c>
      <c r="M70" s="314"/>
    </row>
    <row r="71" spans="1:13">
      <c r="A71" s="239"/>
      <c r="B71" s="419">
        <v>51</v>
      </c>
      <c r="C71" s="832" t="str">
        <f t="shared" si="9"/>
        <v/>
      </c>
      <c r="D71" s="907" t="str">
        <f t="shared" si="10"/>
        <v/>
      </c>
      <c r="E71" s="907" t="str">
        <f t="shared" si="11"/>
        <v/>
      </c>
      <c r="F71" s="907" t="str">
        <f t="shared" si="12"/>
        <v/>
      </c>
      <c r="G71" s="833" t="str">
        <f t="shared" si="13"/>
        <v/>
      </c>
      <c r="H71" s="908" t="str">
        <f t="shared" si="14"/>
        <v/>
      </c>
      <c r="I71" s="909" t="str">
        <f t="shared" si="15"/>
        <v/>
      </c>
      <c r="J71" s="908" t="str">
        <f t="shared" si="16"/>
        <v/>
      </c>
      <c r="K71" s="833" t="str">
        <f t="shared" si="17"/>
        <v/>
      </c>
      <c r="L71" s="834" t="str">
        <f>IF($B71&lt;=$F$4,($D71-$H71)/'3.1 Delinquency Data'!C71,"")</f>
        <v/>
      </c>
      <c r="M71" s="314"/>
    </row>
    <row r="72" spans="1:13">
      <c r="A72" s="239"/>
      <c r="B72" s="419">
        <v>52</v>
      </c>
      <c r="C72" s="832" t="str">
        <f t="shared" si="9"/>
        <v/>
      </c>
      <c r="D72" s="907" t="str">
        <f t="shared" si="10"/>
        <v/>
      </c>
      <c r="E72" s="907" t="str">
        <f t="shared" si="11"/>
        <v/>
      </c>
      <c r="F72" s="907" t="str">
        <f t="shared" si="12"/>
        <v/>
      </c>
      <c r="G72" s="833" t="str">
        <f t="shared" si="13"/>
        <v/>
      </c>
      <c r="H72" s="908" t="str">
        <f t="shared" si="14"/>
        <v/>
      </c>
      <c r="I72" s="909" t="str">
        <f t="shared" si="15"/>
        <v/>
      </c>
      <c r="J72" s="908" t="str">
        <f t="shared" si="16"/>
        <v/>
      </c>
      <c r="K72" s="833" t="str">
        <f t="shared" si="17"/>
        <v/>
      </c>
      <c r="L72" s="834" t="str">
        <f>IF($B72&lt;=$F$4,($D72-$H72)/'3.1 Delinquency Data'!C72,"")</f>
        <v/>
      </c>
      <c r="M72" s="314"/>
    </row>
    <row r="73" spans="1:13">
      <c r="A73" s="239"/>
      <c r="B73" s="419">
        <v>53</v>
      </c>
      <c r="C73" s="832" t="str">
        <f t="shared" si="9"/>
        <v/>
      </c>
      <c r="D73" s="907" t="str">
        <f t="shared" si="10"/>
        <v/>
      </c>
      <c r="E73" s="907" t="str">
        <f t="shared" si="11"/>
        <v/>
      </c>
      <c r="F73" s="907" t="str">
        <f t="shared" si="12"/>
        <v/>
      </c>
      <c r="G73" s="833" t="str">
        <f t="shared" si="13"/>
        <v/>
      </c>
      <c r="H73" s="908" t="str">
        <f t="shared" si="14"/>
        <v/>
      </c>
      <c r="I73" s="909" t="str">
        <f t="shared" si="15"/>
        <v/>
      </c>
      <c r="J73" s="908" t="str">
        <f t="shared" si="16"/>
        <v/>
      </c>
      <c r="K73" s="833" t="str">
        <f t="shared" si="17"/>
        <v/>
      </c>
      <c r="L73" s="834" t="str">
        <f>IF($B73&lt;=$F$4,($D73-$H73)/'3.1 Delinquency Data'!C73,"")</f>
        <v/>
      </c>
      <c r="M73" s="314"/>
    </row>
    <row r="74" spans="1:13">
      <c r="A74" s="239"/>
      <c r="B74" s="419">
        <v>54</v>
      </c>
      <c r="C74" s="832" t="str">
        <f t="shared" si="9"/>
        <v/>
      </c>
      <c r="D74" s="907" t="str">
        <f t="shared" si="10"/>
        <v/>
      </c>
      <c r="E74" s="907" t="str">
        <f t="shared" si="11"/>
        <v/>
      </c>
      <c r="F74" s="907" t="str">
        <f t="shared" si="12"/>
        <v/>
      </c>
      <c r="G74" s="833" t="str">
        <f t="shared" si="13"/>
        <v/>
      </c>
      <c r="H74" s="908" t="str">
        <f t="shared" si="14"/>
        <v/>
      </c>
      <c r="I74" s="909" t="str">
        <f t="shared" si="15"/>
        <v/>
      </c>
      <c r="J74" s="908" t="str">
        <f t="shared" si="16"/>
        <v/>
      </c>
      <c r="K74" s="833" t="str">
        <f t="shared" si="17"/>
        <v/>
      </c>
      <c r="L74" s="834" t="str">
        <f>IF($B74&lt;=$F$4,($D74-$H74)/'3.1 Delinquency Data'!C74,"")</f>
        <v/>
      </c>
      <c r="M74" s="314"/>
    </row>
    <row r="75" spans="1:13">
      <c r="A75" s="239"/>
      <c r="B75" s="419">
        <v>55</v>
      </c>
      <c r="C75" s="832" t="str">
        <f t="shared" si="9"/>
        <v/>
      </c>
      <c r="D75" s="907" t="str">
        <f t="shared" si="10"/>
        <v/>
      </c>
      <c r="E75" s="907" t="str">
        <f t="shared" si="11"/>
        <v/>
      </c>
      <c r="F75" s="907" t="str">
        <f t="shared" si="12"/>
        <v/>
      </c>
      <c r="G75" s="833" t="str">
        <f t="shared" si="13"/>
        <v/>
      </c>
      <c r="H75" s="908" t="str">
        <f t="shared" si="14"/>
        <v/>
      </c>
      <c r="I75" s="909" t="str">
        <f t="shared" si="15"/>
        <v/>
      </c>
      <c r="J75" s="908" t="str">
        <f t="shared" si="16"/>
        <v/>
      </c>
      <c r="K75" s="833" t="str">
        <f t="shared" si="17"/>
        <v/>
      </c>
      <c r="L75" s="834" t="str">
        <f>IF($B75&lt;=$F$4,($D75-$H75)/'3.1 Delinquency Data'!C75,"")</f>
        <v/>
      </c>
      <c r="M75" s="314"/>
    </row>
    <row r="76" spans="1:13">
      <c r="A76" s="239"/>
      <c r="B76" s="419">
        <v>56</v>
      </c>
      <c r="C76" s="832" t="str">
        <f t="shared" si="9"/>
        <v/>
      </c>
      <c r="D76" s="907" t="str">
        <f t="shared" si="10"/>
        <v/>
      </c>
      <c r="E76" s="907" t="str">
        <f t="shared" si="11"/>
        <v/>
      </c>
      <c r="F76" s="907" t="str">
        <f t="shared" si="12"/>
        <v/>
      </c>
      <c r="G76" s="833" t="str">
        <f t="shared" si="13"/>
        <v/>
      </c>
      <c r="H76" s="908" t="str">
        <f t="shared" si="14"/>
        <v/>
      </c>
      <c r="I76" s="909" t="str">
        <f t="shared" si="15"/>
        <v/>
      </c>
      <c r="J76" s="908" t="str">
        <f t="shared" si="16"/>
        <v/>
      </c>
      <c r="K76" s="833" t="str">
        <f t="shared" si="17"/>
        <v/>
      </c>
      <c r="L76" s="834" t="str">
        <f>IF($B76&lt;=$F$4,($D76-$H76)/'3.1 Delinquency Data'!C76,"")</f>
        <v/>
      </c>
      <c r="M76" s="314"/>
    </row>
    <row r="77" spans="1:13">
      <c r="A77" s="239"/>
      <c r="B77" s="419">
        <v>57</v>
      </c>
      <c r="C77" s="832" t="str">
        <f t="shared" si="9"/>
        <v/>
      </c>
      <c r="D77" s="907" t="str">
        <f t="shared" si="10"/>
        <v/>
      </c>
      <c r="E77" s="907" t="str">
        <f t="shared" si="11"/>
        <v/>
      </c>
      <c r="F77" s="907" t="str">
        <f t="shared" si="12"/>
        <v/>
      </c>
      <c r="G77" s="833" t="str">
        <f t="shared" si="13"/>
        <v/>
      </c>
      <c r="H77" s="908" t="str">
        <f t="shared" si="14"/>
        <v/>
      </c>
      <c r="I77" s="909" t="str">
        <f t="shared" si="15"/>
        <v/>
      </c>
      <c r="J77" s="908" t="str">
        <f t="shared" si="16"/>
        <v/>
      </c>
      <c r="K77" s="833" t="str">
        <f t="shared" si="17"/>
        <v/>
      </c>
      <c r="L77" s="834" t="str">
        <f>IF($B77&lt;=$F$4,($D77-$H77)/'3.1 Delinquency Data'!C77,"")</f>
        <v/>
      </c>
      <c r="M77" s="314"/>
    </row>
    <row r="78" spans="1:13">
      <c r="A78" s="239"/>
      <c r="B78" s="419">
        <v>58</v>
      </c>
      <c r="C78" s="832" t="str">
        <f t="shared" si="9"/>
        <v/>
      </c>
      <c r="D78" s="907" t="str">
        <f t="shared" si="10"/>
        <v/>
      </c>
      <c r="E78" s="907" t="str">
        <f t="shared" si="11"/>
        <v/>
      </c>
      <c r="F78" s="907" t="str">
        <f t="shared" si="12"/>
        <v/>
      </c>
      <c r="G78" s="833" t="str">
        <f t="shared" si="13"/>
        <v/>
      </c>
      <c r="H78" s="908" t="str">
        <f t="shared" si="14"/>
        <v/>
      </c>
      <c r="I78" s="909" t="str">
        <f t="shared" si="15"/>
        <v/>
      </c>
      <c r="J78" s="908" t="str">
        <f t="shared" si="16"/>
        <v/>
      </c>
      <c r="K78" s="833" t="str">
        <f t="shared" si="17"/>
        <v/>
      </c>
      <c r="L78" s="834" t="str">
        <f>IF($B78&lt;=$F$4,($D78-$H78)/'3.1 Delinquency Data'!C78,"")</f>
        <v/>
      </c>
      <c r="M78" s="314"/>
    </row>
    <row r="79" spans="1:13">
      <c r="A79" s="239"/>
      <c r="B79" s="419">
        <v>59</v>
      </c>
      <c r="C79" s="832" t="str">
        <f t="shared" si="9"/>
        <v/>
      </c>
      <c r="D79" s="907" t="str">
        <f t="shared" si="10"/>
        <v/>
      </c>
      <c r="E79" s="907" t="str">
        <f t="shared" si="11"/>
        <v/>
      </c>
      <c r="F79" s="907" t="str">
        <f t="shared" si="12"/>
        <v/>
      </c>
      <c r="G79" s="833" t="str">
        <f t="shared" si="13"/>
        <v/>
      </c>
      <c r="H79" s="908" t="str">
        <f t="shared" si="14"/>
        <v/>
      </c>
      <c r="I79" s="909" t="str">
        <f t="shared" si="15"/>
        <v/>
      </c>
      <c r="J79" s="908" t="str">
        <f t="shared" si="16"/>
        <v/>
      </c>
      <c r="K79" s="833" t="str">
        <f t="shared" si="17"/>
        <v/>
      </c>
      <c r="L79" s="834" t="str">
        <f>IF($B79&lt;=$F$4,($D79-$H79)/'3.1 Delinquency Data'!C79,"")</f>
        <v/>
      </c>
      <c r="M79" s="314"/>
    </row>
    <row r="80" spans="1:13">
      <c r="A80" s="239"/>
      <c r="B80" s="419">
        <v>60</v>
      </c>
      <c r="C80" s="832" t="str">
        <f t="shared" si="9"/>
        <v/>
      </c>
      <c r="D80" s="907" t="str">
        <f t="shared" si="10"/>
        <v/>
      </c>
      <c r="E80" s="907" t="str">
        <f t="shared" si="11"/>
        <v/>
      </c>
      <c r="F80" s="907" t="str">
        <f t="shared" si="12"/>
        <v/>
      </c>
      <c r="G80" s="833" t="str">
        <f t="shared" si="13"/>
        <v/>
      </c>
      <c r="H80" s="908" t="str">
        <f t="shared" si="14"/>
        <v/>
      </c>
      <c r="I80" s="909" t="str">
        <f t="shared" si="15"/>
        <v/>
      </c>
      <c r="J80" s="908" t="str">
        <f t="shared" si="16"/>
        <v/>
      </c>
      <c r="K80" s="833" t="str">
        <f t="shared" si="17"/>
        <v/>
      </c>
      <c r="L80" s="834" t="str">
        <f>IF($B80&lt;=$F$4,($D80-$H80)/'3.1 Delinquency Data'!C80,"")</f>
        <v/>
      </c>
      <c r="M80" s="314"/>
    </row>
    <row r="81" spans="1:13">
      <c r="A81" s="239"/>
      <c r="B81" s="419">
        <v>61</v>
      </c>
      <c r="C81" s="832" t="str">
        <f t="shared" si="9"/>
        <v/>
      </c>
      <c r="D81" s="907" t="str">
        <f t="shared" si="10"/>
        <v/>
      </c>
      <c r="E81" s="907" t="str">
        <f t="shared" si="11"/>
        <v/>
      </c>
      <c r="F81" s="907" t="str">
        <f t="shared" si="12"/>
        <v/>
      </c>
      <c r="G81" s="833" t="str">
        <f t="shared" si="13"/>
        <v/>
      </c>
      <c r="H81" s="908" t="str">
        <f t="shared" si="14"/>
        <v/>
      </c>
      <c r="I81" s="909" t="str">
        <f t="shared" si="15"/>
        <v/>
      </c>
      <c r="J81" s="908" t="str">
        <f t="shared" si="16"/>
        <v/>
      </c>
      <c r="K81" s="833" t="str">
        <f t="shared" si="17"/>
        <v/>
      </c>
      <c r="L81" s="834" t="str">
        <f>IF($B81&lt;=$F$4,($D81-$H81)/'3.1 Delinquency Data'!C81,"")</f>
        <v/>
      </c>
      <c r="M81" s="314"/>
    </row>
    <row r="82" spans="1:13">
      <c r="A82" s="239"/>
      <c r="B82" s="419">
        <v>62</v>
      </c>
      <c r="C82" s="832" t="str">
        <f t="shared" si="9"/>
        <v/>
      </c>
      <c r="D82" s="907" t="str">
        <f t="shared" si="10"/>
        <v/>
      </c>
      <c r="E82" s="907" t="str">
        <f t="shared" si="11"/>
        <v/>
      </c>
      <c r="F82" s="907" t="str">
        <f t="shared" si="12"/>
        <v/>
      </c>
      <c r="G82" s="833" t="str">
        <f t="shared" si="13"/>
        <v/>
      </c>
      <c r="H82" s="908" t="str">
        <f t="shared" si="14"/>
        <v/>
      </c>
      <c r="I82" s="909" t="str">
        <f t="shared" si="15"/>
        <v/>
      </c>
      <c r="J82" s="908" t="str">
        <f t="shared" si="16"/>
        <v/>
      </c>
      <c r="K82" s="833" t="str">
        <f t="shared" si="17"/>
        <v/>
      </c>
      <c r="L82" s="834" t="str">
        <f>IF($B82&lt;=$F$4,($D82-$H82)/'3.1 Delinquency Data'!C82,"")</f>
        <v/>
      </c>
      <c r="M82" s="314"/>
    </row>
    <row r="83" spans="1:13">
      <c r="A83" s="239"/>
      <c r="B83" s="419">
        <v>63</v>
      </c>
      <c r="C83" s="832" t="str">
        <f t="shared" si="9"/>
        <v/>
      </c>
      <c r="D83" s="907" t="str">
        <f t="shared" si="10"/>
        <v/>
      </c>
      <c r="E83" s="907" t="str">
        <f t="shared" si="11"/>
        <v/>
      </c>
      <c r="F83" s="907" t="str">
        <f t="shared" si="12"/>
        <v/>
      </c>
      <c r="G83" s="833" t="str">
        <f t="shared" si="13"/>
        <v/>
      </c>
      <c r="H83" s="908" t="str">
        <f t="shared" si="14"/>
        <v/>
      </c>
      <c r="I83" s="909" t="str">
        <f t="shared" si="15"/>
        <v/>
      </c>
      <c r="J83" s="908" t="str">
        <f t="shared" si="16"/>
        <v/>
      </c>
      <c r="K83" s="833" t="str">
        <f t="shared" si="17"/>
        <v/>
      </c>
      <c r="L83" s="834" t="str">
        <f>IF($B83&lt;=$F$4,($D83-$H83)/'3.1 Delinquency Data'!C83,"")</f>
        <v/>
      </c>
      <c r="M83" s="314"/>
    </row>
    <row r="84" spans="1:13">
      <c r="A84" s="239"/>
      <c r="B84" s="419">
        <v>64</v>
      </c>
      <c r="C84" s="832" t="str">
        <f t="shared" si="9"/>
        <v/>
      </c>
      <c r="D84" s="907" t="str">
        <f t="shared" si="10"/>
        <v/>
      </c>
      <c r="E84" s="907" t="str">
        <f t="shared" si="11"/>
        <v/>
      </c>
      <c r="F84" s="907" t="str">
        <f t="shared" si="12"/>
        <v/>
      </c>
      <c r="G84" s="833" t="str">
        <f t="shared" si="13"/>
        <v/>
      </c>
      <c r="H84" s="908" t="str">
        <f t="shared" si="14"/>
        <v/>
      </c>
      <c r="I84" s="909" t="str">
        <f t="shared" si="15"/>
        <v/>
      </c>
      <c r="J84" s="908" t="str">
        <f t="shared" si="16"/>
        <v/>
      </c>
      <c r="K84" s="833" t="str">
        <f t="shared" si="17"/>
        <v/>
      </c>
      <c r="L84" s="834" t="str">
        <f>IF($B84&lt;=$F$4,($D84-$H84)/'3.1 Delinquency Data'!C84,"")</f>
        <v/>
      </c>
      <c r="M84" s="314"/>
    </row>
    <row r="85" spans="1:13">
      <c r="A85" s="239"/>
      <c r="B85" s="419">
        <v>65</v>
      </c>
      <c r="C85" s="832" t="str">
        <f t="shared" ref="C85:C100" si="18">IF(B85&lt;=$F$4,VLOOKUP(CONCATENATE("defaults_",$B85),defaults,2,0),"")</f>
        <v/>
      </c>
      <c r="D85" s="907" t="str">
        <f t="shared" ref="D85:D100" si="19">IF(B85&lt;=$F$4,VLOOKUP(CONCATENATE("defaults_",$B85),defaults,3,0),"")</f>
        <v/>
      </c>
      <c r="E85" s="907" t="str">
        <f t="shared" ref="E85:E100" si="20">IF(B85&lt;=$F$4,VLOOKUP(CONCATENATE("defaults_",$B85),defaults,4,0),"")</f>
        <v/>
      </c>
      <c r="F85" s="907" t="str">
        <f t="shared" ref="F85:F100" si="21">IF(B85&lt;=$F$4,VLOOKUP(CONCATENATE("defaults_",$B85),defaults,5,0),"")</f>
        <v/>
      </c>
      <c r="G85" s="833" t="str">
        <f t="shared" ref="G85:G100" si="22">IF(B85&lt;=$F$4,VLOOKUP(CONCATENATE("defaults_",$B85),defaults,6,0),"")</f>
        <v/>
      </c>
      <c r="H85" s="908" t="str">
        <f t="shared" ref="H85:H100" si="23">IF(B85&lt;=$F$4,VLOOKUP(CONCATENATE("defaults_",$B85),defaults,7,0),"")</f>
        <v/>
      </c>
      <c r="I85" s="909" t="str">
        <f t="shared" ref="I85:I100" si="24">IF(B85&lt;=$F$4,VLOOKUP(CONCATENATE("defaults_",$B85),defaults,8,0),"")</f>
        <v/>
      </c>
      <c r="J85" s="908" t="str">
        <f t="shared" ref="J85:J100" si="25">IF(B85&lt;=$F$4,VLOOKUP(CONCATENATE("defaults_",$B85),defaults,9,0),"")</f>
        <v/>
      </c>
      <c r="K85" s="833" t="str">
        <f t="shared" ref="K85:K100" si="26">IF(B85&lt;=$F$4,VLOOKUP(CONCATENATE("defaults_",$B85),defaults,10,0),"")</f>
        <v/>
      </c>
      <c r="L85" s="834" t="str">
        <f>IF($B85&lt;=$F$4,($D85-$H85)/'3.1 Delinquency Data'!C85,"")</f>
        <v/>
      </c>
      <c r="M85" s="314"/>
    </row>
    <row r="86" spans="1:13">
      <c r="A86" s="239"/>
      <c r="B86" s="419">
        <v>66</v>
      </c>
      <c r="C86" s="832" t="str">
        <f t="shared" si="18"/>
        <v/>
      </c>
      <c r="D86" s="907" t="str">
        <f t="shared" si="19"/>
        <v/>
      </c>
      <c r="E86" s="907" t="str">
        <f t="shared" si="20"/>
        <v/>
      </c>
      <c r="F86" s="907" t="str">
        <f t="shared" si="21"/>
        <v/>
      </c>
      <c r="G86" s="833" t="str">
        <f t="shared" si="22"/>
        <v/>
      </c>
      <c r="H86" s="908" t="str">
        <f t="shared" si="23"/>
        <v/>
      </c>
      <c r="I86" s="909" t="str">
        <f t="shared" si="24"/>
        <v/>
      </c>
      <c r="J86" s="908" t="str">
        <f t="shared" si="25"/>
        <v/>
      </c>
      <c r="K86" s="833" t="str">
        <f t="shared" si="26"/>
        <v/>
      </c>
      <c r="L86" s="834" t="str">
        <f>IF($B86&lt;=$F$4,($D86-$H86)/'3.1 Delinquency Data'!C86,"")</f>
        <v/>
      </c>
      <c r="M86" s="314"/>
    </row>
    <row r="87" spans="1:13">
      <c r="A87" s="239"/>
      <c r="B87" s="419">
        <v>67</v>
      </c>
      <c r="C87" s="832" t="str">
        <f t="shared" si="18"/>
        <v/>
      </c>
      <c r="D87" s="907" t="str">
        <f t="shared" si="19"/>
        <v/>
      </c>
      <c r="E87" s="907" t="str">
        <f t="shared" si="20"/>
        <v/>
      </c>
      <c r="F87" s="907" t="str">
        <f t="shared" si="21"/>
        <v/>
      </c>
      <c r="G87" s="833" t="str">
        <f t="shared" si="22"/>
        <v/>
      </c>
      <c r="H87" s="908" t="str">
        <f t="shared" si="23"/>
        <v/>
      </c>
      <c r="I87" s="909" t="str">
        <f t="shared" si="24"/>
        <v/>
      </c>
      <c r="J87" s="908" t="str">
        <f t="shared" si="25"/>
        <v/>
      </c>
      <c r="K87" s="833" t="str">
        <f t="shared" si="26"/>
        <v/>
      </c>
      <c r="L87" s="834" t="str">
        <f>IF($B87&lt;=$F$4,($D87-$H87)/'3.1 Delinquency Data'!C87,"")</f>
        <v/>
      </c>
      <c r="M87" s="314"/>
    </row>
    <row r="88" spans="1:13">
      <c r="A88" s="239"/>
      <c r="B88" s="419">
        <v>68</v>
      </c>
      <c r="C88" s="832" t="str">
        <f t="shared" si="18"/>
        <v/>
      </c>
      <c r="D88" s="907" t="str">
        <f t="shared" si="19"/>
        <v/>
      </c>
      <c r="E88" s="907" t="str">
        <f t="shared" si="20"/>
        <v/>
      </c>
      <c r="F88" s="907" t="str">
        <f t="shared" si="21"/>
        <v/>
      </c>
      <c r="G88" s="833" t="str">
        <f t="shared" si="22"/>
        <v/>
      </c>
      <c r="H88" s="908" t="str">
        <f t="shared" si="23"/>
        <v/>
      </c>
      <c r="I88" s="909" t="str">
        <f t="shared" si="24"/>
        <v/>
      </c>
      <c r="J88" s="908" t="str">
        <f t="shared" si="25"/>
        <v/>
      </c>
      <c r="K88" s="833" t="str">
        <f t="shared" si="26"/>
        <v/>
      </c>
      <c r="L88" s="834" t="str">
        <f>IF($B88&lt;=$F$4,($D88-$H88)/'3.1 Delinquency Data'!C88,"")</f>
        <v/>
      </c>
      <c r="M88" s="314"/>
    </row>
    <row r="89" spans="1:13">
      <c r="A89" s="239"/>
      <c r="B89" s="419">
        <v>69</v>
      </c>
      <c r="C89" s="832" t="str">
        <f t="shared" si="18"/>
        <v/>
      </c>
      <c r="D89" s="907" t="str">
        <f t="shared" si="19"/>
        <v/>
      </c>
      <c r="E89" s="907" t="str">
        <f t="shared" si="20"/>
        <v/>
      </c>
      <c r="F89" s="907" t="str">
        <f t="shared" si="21"/>
        <v/>
      </c>
      <c r="G89" s="833" t="str">
        <f t="shared" si="22"/>
        <v/>
      </c>
      <c r="H89" s="908" t="str">
        <f t="shared" si="23"/>
        <v/>
      </c>
      <c r="I89" s="909" t="str">
        <f t="shared" si="24"/>
        <v/>
      </c>
      <c r="J89" s="908" t="str">
        <f t="shared" si="25"/>
        <v/>
      </c>
      <c r="K89" s="833" t="str">
        <f t="shared" si="26"/>
        <v/>
      </c>
      <c r="L89" s="834" t="str">
        <f>IF($B89&lt;=$F$4,($D89-$H89)/'3.1 Delinquency Data'!C89,"")</f>
        <v/>
      </c>
      <c r="M89" s="314"/>
    </row>
    <row r="90" spans="1:13">
      <c r="A90" s="239"/>
      <c r="B90" s="419">
        <v>70</v>
      </c>
      <c r="C90" s="832" t="str">
        <f t="shared" si="18"/>
        <v/>
      </c>
      <c r="D90" s="907" t="str">
        <f t="shared" si="19"/>
        <v/>
      </c>
      <c r="E90" s="907" t="str">
        <f t="shared" si="20"/>
        <v/>
      </c>
      <c r="F90" s="907" t="str">
        <f t="shared" si="21"/>
        <v/>
      </c>
      <c r="G90" s="833" t="str">
        <f t="shared" si="22"/>
        <v/>
      </c>
      <c r="H90" s="908" t="str">
        <f t="shared" si="23"/>
        <v/>
      </c>
      <c r="I90" s="909" t="str">
        <f t="shared" si="24"/>
        <v/>
      </c>
      <c r="J90" s="908" t="str">
        <f t="shared" si="25"/>
        <v/>
      </c>
      <c r="K90" s="833" t="str">
        <f t="shared" si="26"/>
        <v/>
      </c>
      <c r="L90" s="834" t="str">
        <f>IF($B90&lt;=$F$4,($D90-$H90)/'3.1 Delinquency Data'!C90,"")</f>
        <v/>
      </c>
      <c r="M90" s="314"/>
    </row>
    <row r="91" spans="1:13">
      <c r="A91" s="239"/>
      <c r="B91" s="419">
        <v>71</v>
      </c>
      <c r="C91" s="832" t="str">
        <f t="shared" si="18"/>
        <v/>
      </c>
      <c r="D91" s="907" t="str">
        <f t="shared" si="19"/>
        <v/>
      </c>
      <c r="E91" s="907" t="str">
        <f t="shared" si="20"/>
        <v/>
      </c>
      <c r="F91" s="907" t="str">
        <f t="shared" si="21"/>
        <v/>
      </c>
      <c r="G91" s="833" t="str">
        <f t="shared" si="22"/>
        <v/>
      </c>
      <c r="H91" s="908" t="str">
        <f t="shared" si="23"/>
        <v/>
      </c>
      <c r="I91" s="909" t="str">
        <f t="shared" si="24"/>
        <v/>
      </c>
      <c r="J91" s="908" t="str">
        <f t="shared" si="25"/>
        <v/>
      </c>
      <c r="K91" s="833" t="str">
        <f t="shared" si="26"/>
        <v/>
      </c>
      <c r="L91" s="834" t="str">
        <f>IF($B91&lt;=$F$4,($D91-$H91)/'3.1 Delinquency Data'!C91,"")</f>
        <v/>
      </c>
      <c r="M91" s="314"/>
    </row>
    <row r="92" spans="1:13">
      <c r="A92" s="239"/>
      <c r="B92" s="419">
        <v>72</v>
      </c>
      <c r="C92" s="832" t="str">
        <f t="shared" si="18"/>
        <v/>
      </c>
      <c r="D92" s="907" t="str">
        <f t="shared" si="19"/>
        <v/>
      </c>
      <c r="E92" s="907" t="str">
        <f t="shared" si="20"/>
        <v/>
      </c>
      <c r="F92" s="907" t="str">
        <f t="shared" si="21"/>
        <v/>
      </c>
      <c r="G92" s="833" t="str">
        <f t="shared" si="22"/>
        <v/>
      </c>
      <c r="H92" s="908" t="str">
        <f t="shared" si="23"/>
        <v/>
      </c>
      <c r="I92" s="909" t="str">
        <f t="shared" si="24"/>
        <v/>
      </c>
      <c r="J92" s="908" t="str">
        <f t="shared" si="25"/>
        <v/>
      </c>
      <c r="K92" s="833" t="str">
        <f t="shared" si="26"/>
        <v/>
      </c>
      <c r="L92" s="834" t="str">
        <f>IF($B92&lt;=$F$4,($D92-$H92)/'3.1 Delinquency Data'!C92,"")</f>
        <v/>
      </c>
      <c r="M92" s="314"/>
    </row>
    <row r="93" spans="1:13">
      <c r="A93" s="239"/>
      <c r="B93" s="419">
        <v>73</v>
      </c>
      <c r="C93" s="832" t="str">
        <f t="shared" si="18"/>
        <v/>
      </c>
      <c r="D93" s="907" t="str">
        <f t="shared" si="19"/>
        <v/>
      </c>
      <c r="E93" s="907" t="str">
        <f t="shared" si="20"/>
        <v/>
      </c>
      <c r="F93" s="907" t="str">
        <f t="shared" si="21"/>
        <v/>
      </c>
      <c r="G93" s="833" t="str">
        <f t="shared" si="22"/>
        <v/>
      </c>
      <c r="H93" s="908" t="str">
        <f t="shared" si="23"/>
        <v/>
      </c>
      <c r="I93" s="909" t="str">
        <f t="shared" si="24"/>
        <v/>
      </c>
      <c r="J93" s="908" t="str">
        <f t="shared" si="25"/>
        <v/>
      </c>
      <c r="K93" s="833" t="str">
        <f t="shared" si="26"/>
        <v/>
      </c>
      <c r="L93" s="834" t="str">
        <f>IF($B93&lt;=$F$4,($D93-$H93)/'3.1 Delinquency Data'!C93,"")</f>
        <v/>
      </c>
      <c r="M93" s="314"/>
    </row>
    <row r="94" spans="1:13">
      <c r="A94" s="239"/>
      <c r="B94" s="419">
        <v>74</v>
      </c>
      <c r="C94" s="832" t="str">
        <f t="shared" si="18"/>
        <v/>
      </c>
      <c r="D94" s="907" t="str">
        <f t="shared" si="19"/>
        <v/>
      </c>
      <c r="E94" s="907" t="str">
        <f t="shared" si="20"/>
        <v/>
      </c>
      <c r="F94" s="907" t="str">
        <f t="shared" si="21"/>
        <v/>
      </c>
      <c r="G94" s="833" t="str">
        <f t="shared" si="22"/>
        <v/>
      </c>
      <c r="H94" s="908" t="str">
        <f t="shared" si="23"/>
        <v/>
      </c>
      <c r="I94" s="909" t="str">
        <f t="shared" si="24"/>
        <v/>
      </c>
      <c r="J94" s="908" t="str">
        <f t="shared" si="25"/>
        <v/>
      </c>
      <c r="K94" s="833" t="str">
        <f t="shared" si="26"/>
        <v/>
      </c>
      <c r="L94" s="834" t="str">
        <f>IF($B94&lt;=$F$4,($D94-$H94)/'3.1 Delinquency Data'!C94,"")</f>
        <v/>
      </c>
      <c r="M94" s="314"/>
    </row>
    <row r="95" spans="1:13">
      <c r="A95" s="239"/>
      <c r="B95" s="419">
        <v>75</v>
      </c>
      <c r="C95" s="832" t="str">
        <f t="shared" si="18"/>
        <v/>
      </c>
      <c r="D95" s="907" t="str">
        <f t="shared" si="19"/>
        <v/>
      </c>
      <c r="E95" s="907" t="str">
        <f t="shared" si="20"/>
        <v/>
      </c>
      <c r="F95" s="907" t="str">
        <f t="shared" si="21"/>
        <v/>
      </c>
      <c r="G95" s="833" t="str">
        <f t="shared" si="22"/>
        <v/>
      </c>
      <c r="H95" s="908" t="str">
        <f t="shared" si="23"/>
        <v/>
      </c>
      <c r="I95" s="909" t="str">
        <f t="shared" si="24"/>
        <v/>
      </c>
      <c r="J95" s="908" t="str">
        <f t="shared" si="25"/>
        <v/>
      </c>
      <c r="K95" s="833" t="str">
        <f t="shared" si="26"/>
        <v/>
      </c>
      <c r="L95" s="834" t="str">
        <f>IF($B95&lt;=$F$4,($D95-$H95)/'3.1 Delinquency Data'!C95,"")</f>
        <v/>
      </c>
      <c r="M95" s="314"/>
    </row>
    <row r="96" spans="1:13">
      <c r="A96" s="239"/>
      <c r="B96" s="419">
        <v>76</v>
      </c>
      <c r="C96" s="832" t="str">
        <f t="shared" si="18"/>
        <v/>
      </c>
      <c r="D96" s="907" t="str">
        <f t="shared" si="19"/>
        <v/>
      </c>
      <c r="E96" s="907" t="str">
        <f t="shared" si="20"/>
        <v/>
      </c>
      <c r="F96" s="907" t="str">
        <f t="shared" si="21"/>
        <v/>
      </c>
      <c r="G96" s="833" t="str">
        <f t="shared" si="22"/>
        <v/>
      </c>
      <c r="H96" s="908" t="str">
        <f t="shared" si="23"/>
        <v/>
      </c>
      <c r="I96" s="909" t="str">
        <f t="shared" si="24"/>
        <v/>
      </c>
      <c r="J96" s="908" t="str">
        <f t="shared" si="25"/>
        <v/>
      </c>
      <c r="K96" s="833" t="str">
        <f t="shared" si="26"/>
        <v/>
      </c>
      <c r="L96" s="834" t="str">
        <f>IF($B96&lt;=$F$4,($D96-$H96)/'3.1 Delinquency Data'!C96,"")</f>
        <v/>
      </c>
      <c r="M96" s="314"/>
    </row>
    <row r="97" spans="1:13">
      <c r="A97" s="239"/>
      <c r="B97" s="419">
        <v>77</v>
      </c>
      <c r="C97" s="832" t="str">
        <f t="shared" si="18"/>
        <v/>
      </c>
      <c r="D97" s="907" t="str">
        <f t="shared" si="19"/>
        <v/>
      </c>
      <c r="E97" s="907" t="str">
        <f t="shared" si="20"/>
        <v/>
      </c>
      <c r="F97" s="907" t="str">
        <f t="shared" si="21"/>
        <v/>
      </c>
      <c r="G97" s="833" t="str">
        <f t="shared" si="22"/>
        <v/>
      </c>
      <c r="H97" s="908" t="str">
        <f t="shared" si="23"/>
        <v/>
      </c>
      <c r="I97" s="909" t="str">
        <f t="shared" si="24"/>
        <v/>
      </c>
      <c r="J97" s="908" t="str">
        <f t="shared" si="25"/>
        <v/>
      </c>
      <c r="K97" s="833" t="str">
        <f t="shared" si="26"/>
        <v/>
      </c>
      <c r="L97" s="834" t="str">
        <f>IF($B97&lt;=$F$4,($D97-$H97)/'3.1 Delinquency Data'!C97,"")</f>
        <v/>
      </c>
      <c r="M97" s="314"/>
    </row>
    <row r="98" spans="1:13">
      <c r="A98" s="239"/>
      <c r="B98" s="419">
        <v>78</v>
      </c>
      <c r="C98" s="832" t="str">
        <f t="shared" si="18"/>
        <v/>
      </c>
      <c r="D98" s="907" t="str">
        <f t="shared" si="19"/>
        <v/>
      </c>
      <c r="E98" s="907" t="str">
        <f t="shared" si="20"/>
        <v/>
      </c>
      <c r="F98" s="907" t="str">
        <f t="shared" si="21"/>
        <v/>
      </c>
      <c r="G98" s="833" t="str">
        <f t="shared" si="22"/>
        <v/>
      </c>
      <c r="H98" s="908" t="str">
        <f t="shared" si="23"/>
        <v/>
      </c>
      <c r="I98" s="909" t="str">
        <f t="shared" si="24"/>
        <v/>
      </c>
      <c r="J98" s="908" t="str">
        <f t="shared" si="25"/>
        <v/>
      </c>
      <c r="K98" s="833" t="str">
        <f t="shared" si="26"/>
        <v/>
      </c>
      <c r="L98" s="834" t="str">
        <f>IF($B98&lt;=$F$4,($D98-$H98)/'3.1 Delinquency Data'!C98,"")</f>
        <v/>
      </c>
      <c r="M98" s="314"/>
    </row>
    <row r="99" spans="1:13">
      <c r="A99" s="239"/>
      <c r="B99" s="845">
        <v>79</v>
      </c>
      <c r="C99" s="832" t="str">
        <f t="shared" si="18"/>
        <v/>
      </c>
      <c r="D99" s="907" t="str">
        <f t="shared" si="19"/>
        <v/>
      </c>
      <c r="E99" s="907" t="str">
        <f t="shared" si="20"/>
        <v/>
      </c>
      <c r="F99" s="907" t="str">
        <f t="shared" si="21"/>
        <v/>
      </c>
      <c r="G99" s="833" t="str">
        <f t="shared" si="22"/>
        <v/>
      </c>
      <c r="H99" s="908" t="str">
        <f t="shared" si="23"/>
        <v/>
      </c>
      <c r="I99" s="909" t="str">
        <f t="shared" si="24"/>
        <v/>
      </c>
      <c r="J99" s="908" t="str">
        <f t="shared" si="25"/>
        <v/>
      </c>
      <c r="K99" s="833" t="str">
        <f t="shared" si="26"/>
        <v/>
      </c>
      <c r="L99" s="834" t="str">
        <f>IF($B99&lt;=$F$4,($D99-$H99)/'3.1 Delinquency Data'!C99,"")</f>
        <v/>
      </c>
      <c r="M99" s="314"/>
    </row>
    <row r="100" spans="1:13" ht="13">
      <c r="A100" s="239"/>
      <c r="B100" s="846">
        <v>80</v>
      </c>
      <c r="C100" s="847" t="str">
        <f t="shared" si="18"/>
        <v/>
      </c>
      <c r="D100" s="902" t="str">
        <f t="shared" si="19"/>
        <v/>
      </c>
      <c r="E100" s="902" t="str">
        <f t="shared" si="20"/>
        <v/>
      </c>
      <c r="F100" s="902" t="str">
        <f t="shared" si="21"/>
        <v/>
      </c>
      <c r="G100" s="848" t="str">
        <f t="shared" si="22"/>
        <v/>
      </c>
      <c r="H100" s="910" t="str">
        <f t="shared" si="23"/>
        <v/>
      </c>
      <c r="I100" s="911" t="str">
        <f t="shared" si="24"/>
        <v/>
      </c>
      <c r="J100" s="910" t="str">
        <f t="shared" si="25"/>
        <v/>
      </c>
      <c r="K100" s="848" t="str">
        <f t="shared" si="26"/>
        <v/>
      </c>
      <c r="L100" s="849" t="str">
        <f>IF($B100&lt;=$F$4,($D100-$H100)/'3.1 Delinquency Data'!C100,"")</f>
        <v/>
      </c>
      <c r="M100" s="314"/>
    </row>
    <row r="101" spans="1:13">
      <c r="A101" s="315"/>
      <c r="B101" s="979" t="s">
        <v>573</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ustomHeight="1">
      <c r="A2" s="285"/>
      <c r="B2" s="275" t="str">
        <f>'Cover Sheet'!B2</f>
        <v>SC Germany Consumer 2022-1</v>
      </c>
      <c r="C2" s="275"/>
      <c r="D2" s="756" t="str">
        <f>'Cover Sheet'!D2</f>
        <v>Calculation Date</v>
      </c>
      <c r="E2" s="757"/>
      <c r="F2" s="758">
        <f>'Cover Sheet'!F2</f>
        <v>45911</v>
      </c>
      <c r="G2" s="757"/>
      <c r="H2" s="757"/>
      <c r="I2" s="757"/>
      <c r="J2" s="757"/>
      <c r="K2" s="757"/>
      <c r="L2" s="759"/>
      <c r="M2" s="246"/>
    </row>
    <row r="3" spans="1:13" ht="18" customHeight="1">
      <c r="A3" s="285"/>
      <c r="B3" s="275" t="str">
        <f>'Cover Sheet'!B3</f>
        <v>Monthly Investor Report</v>
      </c>
      <c r="C3" s="275"/>
      <c r="D3" s="760" t="str">
        <f>'Cover Sheet'!D3</f>
        <v>Payment Date</v>
      </c>
      <c r="E3" s="761"/>
      <c r="F3" s="762">
        <f>'Cover Sheet'!F3</f>
        <v>45915</v>
      </c>
      <c r="G3" s="761"/>
      <c r="H3" s="761"/>
      <c r="I3" s="761"/>
      <c r="J3" s="761"/>
      <c r="K3" s="761"/>
      <c r="L3" s="763"/>
      <c r="M3" s="246"/>
    </row>
    <row r="4" spans="1:13">
      <c r="A4" s="285"/>
      <c r="B4" s="764"/>
      <c r="C4" s="694"/>
      <c r="D4" s="760" t="str">
        <f>'Cover Sheet'!D4</f>
        <v>Period  No</v>
      </c>
      <c r="E4" s="761"/>
      <c r="F4" s="765">
        <f>'Cover Sheet'!F4</f>
        <v>35</v>
      </c>
      <c r="G4" s="761"/>
      <c r="H4" s="766"/>
      <c r="I4" s="761"/>
      <c r="J4" s="767"/>
      <c r="K4" s="761"/>
      <c r="L4" s="763"/>
      <c r="M4" s="246"/>
    </row>
    <row r="5" spans="1:13" ht="17.25" customHeight="1">
      <c r="A5" s="285"/>
      <c r="B5" s="257" t="s">
        <v>154</v>
      </c>
      <c r="C5" s="257"/>
      <c r="D5" s="760" t="str">
        <f>'Cover Sheet'!D5</f>
        <v>Monthly Period</v>
      </c>
      <c r="E5" s="761"/>
      <c r="F5" s="121">
        <f>'Cover Sheet'!F5</f>
        <v>45915</v>
      </c>
      <c r="G5" s="761"/>
      <c r="H5" s="766"/>
      <c r="I5" s="761"/>
      <c r="J5" s="767"/>
      <c r="K5" s="761"/>
      <c r="L5" s="763"/>
      <c r="M5" s="246"/>
    </row>
    <row r="6" spans="1:13" ht="15" customHeight="1">
      <c r="A6" s="285"/>
      <c r="B6" s="768"/>
      <c r="C6" s="769"/>
      <c r="D6" s="760" t="str">
        <f>'Cover Sheet'!D6</f>
        <v>Interest Period</v>
      </c>
      <c r="E6" s="767" t="s">
        <v>34</v>
      </c>
      <c r="F6" s="762">
        <f>'Cover Sheet'!F6</f>
        <v>45883</v>
      </c>
      <c r="G6" s="767" t="str">
        <f>'Cover Sheet'!G6</f>
        <v>to</v>
      </c>
      <c r="H6" s="762">
        <f>'Cover Sheet'!H6</f>
        <v>45915</v>
      </c>
      <c r="I6" s="761" t="str">
        <f>'Cover Sheet'!I6</f>
        <v>=</v>
      </c>
      <c r="J6" s="770" t="str">
        <f>'Cover Sheet'!J6</f>
        <v>32 days</v>
      </c>
      <c r="K6" s="767"/>
      <c r="L6" s="771"/>
      <c r="M6" s="246"/>
    </row>
    <row r="7" spans="1:13" s="247" customFormat="1" ht="12.75" customHeight="1">
      <c r="A7" s="285"/>
      <c r="B7" s="25"/>
      <c r="C7" s="25"/>
      <c r="D7" s="772" t="str">
        <f>'Cover Sheet'!D7</f>
        <v>Collection Period</v>
      </c>
      <c r="E7" s="773" t="s">
        <v>34</v>
      </c>
      <c r="F7" s="774" t="str">
        <f>'Cover Sheet'!F7</f>
        <v>01.08.2025</v>
      </c>
      <c r="G7" s="773" t="str">
        <f>'Cover Sheet'!G7</f>
        <v>to</v>
      </c>
      <c r="H7" s="774">
        <f>'Cover Sheet'!H7</f>
        <v>45900</v>
      </c>
      <c r="I7" s="775"/>
      <c r="J7" s="775"/>
      <c r="K7" s="775"/>
      <c r="L7" s="776"/>
      <c r="M7" s="327"/>
    </row>
    <row r="8" spans="1:13" ht="13">
      <c r="A8" s="285"/>
      <c r="B8" s="25"/>
      <c r="C8" s="25"/>
      <c r="D8" s="25"/>
      <c r="E8" s="25"/>
      <c r="F8" s="777"/>
      <c r="G8" s="6"/>
      <c r="H8" s="691"/>
      <c r="I8" s="25"/>
      <c r="J8" s="692"/>
      <c r="K8" s="25"/>
      <c r="L8" s="78"/>
      <c r="M8" s="246"/>
    </row>
    <row r="9" spans="1:13">
      <c r="A9" s="285"/>
      <c r="B9" s="25"/>
      <c r="C9" s="25"/>
      <c r="D9" s="25"/>
      <c r="E9" s="25"/>
      <c r="F9" s="694"/>
      <c r="G9" s="25"/>
      <c r="H9" s="25"/>
      <c r="I9" s="25"/>
      <c r="J9" s="25"/>
      <c r="K9" s="25"/>
      <c r="L9" s="25"/>
      <c r="M9" s="246"/>
    </row>
    <row r="10" spans="1:13">
      <c r="A10" s="285"/>
      <c r="B10" s="25"/>
      <c r="C10" s="25"/>
      <c r="D10" s="25"/>
      <c r="E10" s="25"/>
      <c r="F10" s="694"/>
      <c r="G10" s="25"/>
      <c r="H10" s="25"/>
      <c r="I10" s="25"/>
      <c r="J10" s="25"/>
      <c r="K10" s="25"/>
      <c r="L10" s="25"/>
      <c r="M10" s="246"/>
    </row>
    <row r="11" spans="1:13" ht="18">
      <c r="A11" s="285"/>
      <c r="B11" s="25"/>
      <c r="C11" s="25"/>
      <c r="D11" s="409" t="s">
        <v>239</v>
      </c>
      <c r="E11" s="25"/>
      <c r="F11" s="694"/>
      <c r="G11" s="25"/>
      <c r="H11" s="916" t="s">
        <v>632</v>
      </c>
      <c r="I11" s="25"/>
      <c r="J11" s="25"/>
      <c r="K11" s="25"/>
      <c r="L11" s="25"/>
      <c r="M11" s="246"/>
    </row>
    <row r="12" spans="1:13" ht="18" customHeight="1">
      <c r="A12" s="285"/>
      <c r="B12" s="25"/>
      <c r="C12" s="25"/>
      <c r="D12" s="25"/>
      <c r="E12" s="25"/>
      <c r="F12" s="6"/>
      <c r="G12" s="778"/>
      <c r="H12" s="778"/>
      <c r="I12" s="778"/>
      <c r="J12" s="778"/>
      <c r="K12" s="778"/>
      <c r="L12" s="6"/>
      <c r="M12" s="246"/>
    </row>
    <row r="13" spans="1:13" ht="14.5">
      <c r="A13" s="285"/>
      <c r="B13" s="779" t="s">
        <v>155</v>
      </c>
      <c r="C13" s="78" t="s">
        <v>156</v>
      </c>
      <c r="D13" s="78" t="s">
        <v>157</v>
      </c>
      <c r="E13" s="78"/>
      <c r="F13" s="78" t="s">
        <v>158</v>
      </c>
      <c r="G13" s="78"/>
      <c r="H13" s="78" t="s">
        <v>12</v>
      </c>
      <c r="I13" s="780"/>
      <c r="J13" s="780"/>
      <c r="K13" s="780"/>
      <c r="L13" s="780"/>
      <c r="M13" s="246"/>
    </row>
    <row r="14" spans="1:13" ht="13">
      <c r="A14" s="285"/>
      <c r="B14" s="779"/>
      <c r="C14" s="78"/>
      <c r="D14" s="78"/>
      <c r="E14" s="78"/>
      <c r="F14" s="78"/>
      <c r="G14" s="78"/>
      <c r="H14" s="78"/>
      <c r="I14" s="778"/>
      <c r="J14" s="778"/>
      <c r="K14" s="778"/>
      <c r="L14" s="778"/>
      <c r="M14" s="246"/>
    </row>
    <row r="15" spans="1:13">
      <c r="A15" s="285"/>
      <c r="B15" s="64" t="s">
        <v>252</v>
      </c>
      <c r="C15" s="781">
        <v>5.5E-2</v>
      </c>
      <c r="D15" s="782" t="s">
        <v>35</v>
      </c>
      <c r="E15" s="25"/>
      <c r="F15" s="917" t="s">
        <v>35</v>
      </c>
      <c r="G15" s="6"/>
      <c r="H15" s="138"/>
      <c r="I15" s="778"/>
      <c r="J15" s="778"/>
      <c r="K15" s="778"/>
      <c r="L15" s="778"/>
      <c r="M15" s="246"/>
    </row>
    <row r="16" spans="1:13">
      <c r="A16" s="285"/>
      <c r="B16" s="25"/>
      <c r="C16" s="25"/>
      <c r="D16" s="25"/>
      <c r="E16" s="25"/>
      <c r="F16" s="25"/>
      <c r="G16" s="25"/>
      <c r="H16" s="25"/>
      <c r="I16" s="25"/>
      <c r="J16" s="25"/>
      <c r="K16" s="25"/>
      <c r="L16" s="25"/>
      <c r="M16" s="246"/>
    </row>
    <row r="17" spans="1:13">
      <c r="A17" s="285"/>
      <c r="B17" s="783" t="s">
        <v>253</v>
      </c>
      <c r="C17" s="784" t="s">
        <v>35</v>
      </c>
      <c r="D17" s="918">
        <v>200000</v>
      </c>
      <c r="E17" s="912"/>
      <c r="F17" s="917" t="s">
        <v>35</v>
      </c>
      <c r="G17" s="778"/>
      <c r="H17" s="138"/>
      <c r="I17" s="778"/>
      <c r="J17" s="778"/>
      <c r="K17" s="778"/>
      <c r="L17" s="778"/>
      <c r="M17" s="246"/>
    </row>
    <row r="18" spans="1:13">
      <c r="A18" s="285"/>
      <c r="B18" s="786"/>
      <c r="C18" s="784"/>
      <c r="D18" s="787"/>
      <c r="E18" s="778"/>
      <c r="F18" s="778"/>
      <c r="G18" s="778"/>
      <c r="H18" s="778"/>
      <c r="I18" s="778"/>
      <c r="J18" s="778"/>
      <c r="K18" s="778"/>
      <c r="L18" s="778"/>
      <c r="M18" s="246"/>
    </row>
    <row r="19" spans="1:13">
      <c r="A19" s="285"/>
      <c r="B19" s="786" t="s">
        <v>65</v>
      </c>
      <c r="C19" s="784"/>
      <c r="D19" s="788">
        <v>85</v>
      </c>
      <c r="E19" s="778"/>
      <c r="F19" s="917" t="s">
        <v>35</v>
      </c>
      <c r="G19" s="778"/>
      <c r="H19" s="138"/>
      <c r="I19" s="778"/>
      <c r="J19" s="778"/>
      <c r="K19" s="778"/>
      <c r="L19" s="778"/>
      <c r="M19" s="246"/>
    </row>
    <row r="20" spans="1:13">
      <c r="A20" s="285"/>
      <c r="B20" s="786"/>
      <c r="C20" s="784"/>
      <c r="D20" s="787"/>
      <c r="E20" s="778"/>
      <c r="F20" s="778"/>
      <c r="G20" s="778"/>
      <c r="H20" s="778"/>
      <c r="I20" s="778"/>
      <c r="J20" s="778"/>
      <c r="K20" s="778"/>
      <c r="L20" s="778"/>
      <c r="M20" s="246"/>
    </row>
    <row r="21" spans="1:13" ht="13">
      <c r="A21" s="285"/>
      <c r="B21" s="779"/>
      <c r="C21" s="25"/>
      <c r="D21" s="78" t="s">
        <v>157</v>
      </c>
      <c r="E21" s="78"/>
      <c r="F21" s="78" t="s">
        <v>158</v>
      </c>
      <c r="G21" s="78"/>
      <c r="H21" s="78" t="s">
        <v>12</v>
      </c>
      <c r="I21" s="778"/>
      <c r="J21" s="778"/>
      <c r="K21" s="778"/>
      <c r="L21" s="778"/>
      <c r="M21" s="246"/>
    </row>
    <row r="22" spans="1:13">
      <c r="A22" s="285"/>
      <c r="B22" s="786"/>
      <c r="C22" s="784"/>
      <c r="D22" s="787"/>
      <c r="E22" s="778"/>
      <c r="F22" s="778"/>
      <c r="G22" s="778"/>
      <c r="H22" s="778"/>
      <c r="I22" s="778"/>
      <c r="J22" s="778"/>
      <c r="K22" s="778"/>
      <c r="L22" s="778"/>
      <c r="M22" s="246"/>
    </row>
    <row r="23" spans="1:13">
      <c r="A23" s="285"/>
      <c r="B23" s="783"/>
      <c r="C23" s="784"/>
      <c r="D23" s="789"/>
      <c r="E23" s="778"/>
      <c r="F23" s="790"/>
      <c r="G23" s="778"/>
      <c r="H23" s="138"/>
      <c r="I23" s="778"/>
      <c r="J23" s="778"/>
      <c r="K23" s="778"/>
      <c r="L23" s="778"/>
      <c r="M23" s="246"/>
    </row>
    <row r="24" spans="1:13" ht="13">
      <c r="A24" s="285"/>
      <c r="B24" s="24" t="s">
        <v>159</v>
      </c>
      <c r="C24" s="784"/>
      <c r="D24" s="787"/>
      <c r="E24" s="778"/>
      <c r="F24" s="778"/>
      <c r="G24" s="778"/>
      <c r="H24" s="138"/>
      <c r="I24" s="778"/>
      <c r="J24" s="778"/>
      <c r="K24" s="778"/>
      <c r="L24" s="778"/>
      <c r="M24" s="246"/>
    </row>
    <row r="25" spans="1:13" ht="13">
      <c r="A25" s="285"/>
      <c r="B25" s="786" t="s">
        <v>160</v>
      </c>
      <c r="C25" s="791"/>
      <c r="D25" s="918">
        <v>100000000</v>
      </c>
      <c r="E25" s="913"/>
      <c r="F25" s="917" t="s">
        <v>35</v>
      </c>
      <c r="G25" s="793"/>
      <c r="H25" s="792"/>
      <c r="I25" s="792"/>
      <c r="J25" s="792"/>
      <c r="K25" s="792"/>
      <c r="L25" s="778"/>
      <c r="M25" s="246"/>
    </row>
    <row r="26" spans="1:13">
      <c r="A26" s="285"/>
      <c r="B26" s="786" t="s">
        <v>161</v>
      </c>
      <c r="C26" s="784"/>
      <c r="D26" s="918">
        <v>100000000</v>
      </c>
      <c r="E26" s="912"/>
      <c r="F26" s="917" t="s">
        <v>35</v>
      </c>
      <c r="G26" s="778"/>
      <c r="H26" s="25"/>
      <c r="I26" s="778"/>
      <c r="J26" s="778"/>
      <c r="K26" s="778"/>
      <c r="L26" s="778"/>
      <c r="M26" s="246"/>
    </row>
    <row r="27" spans="1:13">
      <c r="A27" s="285"/>
      <c r="B27" s="786" t="s">
        <v>162</v>
      </c>
      <c r="C27" s="784"/>
      <c r="D27" s="918">
        <v>100000000</v>
      </c>
      <c r="E27" s="912"/>
      <c r="F27" s="917" t="s">
        <v>35</v>
      </c>
      <c r="G27" s="778"/>
      <c r="H27" s="778"/>
      <c r="I27" s="778"/>
      <c r="J27" s="778"/>
      <c r="K27" s="778"/>
      <c r="L27" s="778"/>
      <c r="M27" s="246"/>
    </row>
    <row r="28" spans="1:13">
      <c r="A28" s="285"/>
      <c r="B28" s="786"/>
      <c r="C28" s="784"/>
      <c r="D28" s="778"/>
      <c r="E28" s="778"/>
      <c r="F28" s="778"/>
      <c r="G28" s="778"/>
      <c r="H28" s="778"/>
      <c r="I28" s="778"/>
      <c r="J28" s="778"/>
      <c r="K28" s="778"/>
      <c r="L28" s="778"/>
      <c r="M28" s="246"/>
    </row>
    <row r="29" spans="1:13" ht="13">
      <c r="A29" s="285"/>
      <c r="B29" s="24" t="s">
        <v>255</v>
      </c>
      <c r="C29" s="784"/>
      <c r="D29" s="778"/>
      <c r="E29" s="778"/>
      <c r="F29" s="785"/>
      <c r="G29" s="778"/>
      <c r="H29" s="138" t="s">
        <v>43</v>
      </c>
      <c r="I29" s="778"/>
      <c r="J29" s="778"/>
      <c r="K29" s="778"/>
      <c r="L29" s="778"/>
      <c r="M29" s="246"/>
    </row>
    <row r="30" spans="1:13">
      <c r="A30" s="285"/>
      <c r="B30" s="25"/>
      <c r="C30" s="784"/>
      <c r="D30" s="778"/>
      <c r="E30" s="778"/>
      <c r="F30" s="785"/>
      <c r="G30" s="778"/>
      <c r="H30" s="138"/>
      <c r="I30" s="778"/>
      <c r="J30" s="778"/>
      <c r="K30" s="778"/>
      <c r="L30" s="778"/>
      <c r="M30" s="246"/>
    </row>
    <row r="31" spans="1:13" ht="13">
      <c r="A31" s="285"/>
      <c r="B31" s="24" t="s">
        <v>297</v>
      </c>
      <c r="C31" s="784"/>
      <c r="D31" s="778"/>
      <c r="E31" s="778"/>
      <c r="F31" s="785"/>
      <c r="G31" s="778"/>
      <c r="H31" s="138" t="s">
        <v>43</v>
      </c>
      <c r="I31" s="778"/>
      <c r="J31" s="778"/>
      <c r="K31" s="778"/>
      <c r="L31" s="778"/>
      <c r="M31" s="246"/>
    </row>
    <row r="32" spans="1:13">
      <c r="A32" s="285"/>
      <c r="B32" s="25"/>
      <c r="C32" s="784"/>
      <c r="D32" s="778"/>
      <c r="E32" s="778"/>
      <c r="F32" s="785"/>
      <c r="G32" s="778"/>
      <c r="H32" s="138"/>
      <c r="I32" s="778"/>
      <c r="J32" s="778"/>
      <c r="K32" s="778"/>
      <c r="L32" s="778"/>
      <c r="M32" s="246"/>
    </row>
    <row r="33" spans="1:13" ht="13">
      <c r="A33" s="285"/>
      <c r="B33" s="97" t="s">
        <v>298</v>
      </c>
      <c r="C33" s="784"/>
      <c r="D33" s="778"/>
      <c r="E33" s="778"/>
      <c r="F33" s="778"/>
      <c r="G33" s="778"/>
      <c r="H33" s="138" t="s">
        <v>1022</v>
      </c>
      <c r="I33" s="778"/>
      <c r="J33" s="778"/>
      <c r="K33" s="778"/>
      <c r="L33" s="778"/>
      <c r="M33" s="246"/>
    </row>
    <row r="34" spans="1:13" ht="13">
      <c r="A34" s="285"/>
      <c r="B34" s="786" t="s">
        <v>254</v>
      </c>
      <c r="C34" s="784"/>
      <c r="D34" s="78" t="s">
        <v>157</v>
      </c>
      <c r="E34" s="778"/>
      <c r="F34" s="967">
        <v>45565</v>
      </c>
      <c r="G34" s="778"/>
      <c r="H34" s="778"/>
      <c r="I34" s="778"/>
      <c r="J34" s="778"/>
      <c r="K34" s="778"/>
      <c r="L34" s="778"/>
      <c r="M34" s="246"/>
    </row>
    <row r="35" spans="1:13">
      <c r="A35" s="285"/>
      <c r="B35" s="783" t="s">
        <v>628</v>
      </c>
      <c r="C35" s="784"/>
      <c r="D35" s="789">
        <v>3.2500000000000001E-2</v>
      </c>
      <c r="E35" s="778"/>
      <c r="F35" s="790">
        <v>3.3474809661640119E-2</v>
      </c>
      <c r="G35" s="778"/>
      <c r="H35" s="138"/>
      <c r="I35" s="778"/>
      <c r="J35" s="778"/>
      <c r="K35" s="778"/>
      <c r="L35" s="778"/>
      <c r="M35" s="246"/>
    </row>
    <row r="36" spans="1:13" ht="10" customHeight="1">
      <c r="A36" s="285"/>
      <c r="C36" s="784"/>
      <c r="D36" s="789"/>
      <c r="E36" s="778"/>
      <c r="F36" s="85"/>
      <c r="G36" s="778"/>
      <c r="H36" s="138"/>
      <c r="I36" s="778"/>
      <c r="J36" s="778"/>
      <c r="K36" s="778"/>
      <c r="L36" s="778"/>
      <c r="M36" s="246"/>
    </row>
    <row r="37" spans="1:13" ht="13">
      <c r="A37" s="285"/>
      <c r="B37" s="1006" t="s">
        <v>1021</v>
      </c>
      <c r="C37" s="784"/>
      <c r="D37" s="789"/>
      <c r="E37" s="778"/>
      <c r="F37" s="968">
        <f>EOMONTH(F2,-1)</f>
        <v>45900</v>
      </c>
      <c r="G37" s="778"/>
      <c r="H37" s="138"/>
      <c r="I37" s="778"/>
      <c r="J37" s="778"/>
      <c r="K37" s="778"/>
      <c r="L37" s="778"/>
      <c r="M37" s="246"/>
    </row>
    <row r="38" spans="1:13">
      <c r="A38" s="285"/>
      <c r="B38" s="1006"/>
      <c r="C38" s="784"/>
      <c r="D38" s="789"/>
      <c r="E38" s="778"/>
      <c r="F38" s="969">
        <f>VLOOKUP(F4,'3.3 Defaults &amp; Recoveries p.p.'!B20:K100,10,FALSE)</f>
        <v>4.7650520583275159E-2</v>
      </c>
      <c r="G38" s="778"/>
      <c r="H38" s="138"/>
      <c r="I38" s="778"/>
      <c r="J38" s="778"/>
      <c r="K38" s="778"/>
      <c r="L38" s="778"/>
      <c r="M38" s="246"/>
    </row>
    <row r="39" spans="1:13" ht="10" customHeight="1">
      <c r="A39" s="285"/>
      <c r="B39" s="783"/>
      <c r="C39" s="784"/>
      <c r="D39" s="789"/>
      <c r="E39" s="778"/>
      <c r="F39" s="962"/>
      <c r="G39" s="778"/>
      <c r="H39" s="138"/>
      <c r="I39" s="778"/>
      <c r="J39" s="778"/>
      <c r="K39" s="778"/>
      <c r="L39" s="778"/>
      <c r="M39" s="246"/>
    </row>
    <row r="40" spans="1:13" ht="15" customHeight="1">
      <c r="A40" s="285"/>
      <c r="B40" s="786" t="s">
        <v>464</v>
      </c>
      <c r="C40" s="794"/>
      <c r="D40" s="919">
        <v>20000000</v>
      </c>
      <c r="E40" s="914"/>
      <c r="F40" s="919">
        <f>'3.2 Default Data'!F68+'3.2 Default Data'!F74</f>
        <v>22630336.189999998</v>
      </c>
      <c r="G40" s="72"/>
      <c r="H40" s="138"/>
      <c r="I40" s="778"/>
      <c r="J40" s="778"/>
      <c r="K40" s="778"/>
      <c r="L40" s="778"/>
      <c r="M40" s="246"/>
    </row>
    <row r="41" spans="1:13" ht="27.5" customHeight="1">
      <c r="A41" s="285"/>
      <c r="B41" s="796" t="s">
        <v>469</v>
      </c>
      <c r="C41" s="797">
        <v>0.1</v>
      </c>
      <c r="D41" s="789"/>
      <c r="E41" s="778"/>
      <c r="F41" s="790">
        <f>'1. Portfolio Information'!F28/'1.1 Portfolio Information p.p.'!C15</f>
        <v>0.47750715743461725</v>
      </c>
      <c r="G41" s="778"/>
      <c r="H41" s="138"/>
      <c r="I41" s="778"/>
      <c r="J41" s="778"/>
      <c r="K41" s="778"/>
      <c r="L41" s="778"/>
      <c r="M41" s="246"/>
    </row>
    <row r="42" spans="1:13" ht="16.5" customHeight="1">
      <c r="A42" s="285"/>
      <c r="B42" s="796" t="s">
        <v>470</v>
      </c>
      <c r="C42" s="797"/>
      <c r="D42" s="789">
        <v>3.5000000000000001E-3</v>
      </c>
      <c r="E42" s="778"/>
      <c r="F42" s="790">
        <f>'3.3 Defaults &amp; Recoveries p.p.'!L17</f>
        <v>3.2089769931346163E-3</v>
      </c>
      <c r="G42" s="778"/>
      <c r="H42" s="138"/>
      <c r="I42" s="778"/>
      <c r="J42" s="778"/>
      <c r="K42" s="778"/>
      <c r="L42" s="778"/>
      <c r="M42" s="246"/>
    </row>
    <row r="43" spans="1:13" ht="15.5" customHeight="1">
      <c r="A43" s="285"/>
      <c r="B43" s="783" t="s">
        <v>453</v>
      </c>
      <c r="C43" s="784"/>
      <c r="D43" s="789"/>
      <c r="E43" s="778"/>
      <c r="F43" s="790"/>
      <c r="G43" s="778"/>
      <c r="H43" s="138"/>
      <c r="I43" s="778"/>
      <c r="J43" s="778"/>
      <c r="K43" s="778"/>
      <c r="L43" s="778"/>
      <c r="M43" s="246"/>
    </row>
    <row r="44" spans="1:13" ht="15.5" customHeight="1">
      <c r="A44" s="285"/>
      <c r="B44" s="96" t="s">
        <v>319</v>
      </c>
      <c r="C44" s="784"/>
      <c r="D44" s="778"/>
      <c r="E44" s="778"/>
      <c r="F44" s="778"/>
      <c r="G44" s="778"/>
      <c r="H44" s="138"/>
      <c r="I44" s="778"/>
      <c r="J44" s="778"/>
      <c r="K44" s="778"/>
      <c r="L44" s="778"/>
      <c r="M44" s="246"/>
    </row>
    <row r="45" spans="1:13" ht="15" customHeight="1">
      <c r="A45" s="285"/>
      <c r="B45" s="786" t="s">
        <v>321</v>
      </c>
      <c r="C45" s="784"/>
      <c r="D45" s="778"/>
      <c r="E45" s="778"/>
      <c r="F45" s="778"/>
      <c r="G45" s="778"/>
      <c r="H45" s="915"/>
      <c r="I45" s="778"/>
      <c r="J45" s="778"/>
      <c r="K45" s="778"/>
      <c r="L45" s="778"/>
      <c r="M45" s="246"/>
    </row>
    <row r="46" spans="1:13">
      <c r="A46" s="285"/>
      <c r="B46" s="786"/>
      <c r="C46" s="784"/>
      <c r="D46" s="778"/>
      <c r="E46" s="778"/>
      <c r="F46" s="778"/>
      <c r="G46" s="778"/>
      <c r="H46" s="778"/>
      <c r="I46" s="778"/>
      <c r="J46" s="778"/>
      <c r="K46" s="778"/>
      <c r="L46" s="778"/>
      <c r="M46" s="246"/>
    </row>
    <row r="47" spans="1:13" ht="13">
      <c r="A47" s="285"/>
      <c r="B47" s="24" t="s">
        <v>320</v>
      </c>
      <c r="C47" s="24"/>
      <c r="D47" s="798"/>
      <c r="E47" s="24"/>
      <c r="F47" s="799"/>
      <c r="G47" s="24"/>
      <c r="H47" s="138"/>
      <c r="I47" s="778"/>
      <c r="J47" s="778"/>
      <c r="K47" s="778"/>
      <c r="L47" s="778"/>
      <c r="M47" s="246"/>
    </row>
    <row r="48" spans="1:13" ht="13">
      <c r="A48" s="239"/>
      <c r="B48" s="786" t="s">
        <v>254</v>
      </c>
      <c r="C48" s="784"/>
      <c r="D48" s="25"/>
      <c r="E48" s="778"/>
      <c r="F48" s="778"/>
      <c r="G48" s="778"/>
      <c r="H48" s="778"/>
      <c r="I48" s="25"/>
      <c r="J48" s="800"/>
      <c r="K48" s="25"/>
      <c r="L48" s="801"/>
      <c r="M48" s="246"/>
    </row>
    <row r="49" spans="1:13">
      <c r="A49" s="239"/>
      <c r="B49" s="783" t="s">
        <v>627</v>
      </c>
      <c r="C49" s="784"/>
      <c r="D49" s="789">
        <v>0.02</v>
      </c>
      <c r="E49" s="778"/>
      <c r="F49" s="917" t="s">
        <v>35</v>
      </c>
      <c r="G49" s="778"/>
      <c r="H49" s="138"/>
      <c r="I49" s="25"/>
      <c r="J49" s="25"/>
      <c r="K49" s="25"/>
      <c r="L49" s="25"/>
      <c r="M49" s="246"/>
    </row>
    <row r="50" spans="1:13">
      <c r="A50" s="239"/>
      <c r="B50" s="802" t="s">
        <v>159</v>
      </c>
      <c r="C50" s="6"/>
      <c r="D50" s="803"/>
      <c r="E50" s="25"/>
      <c r="F50" s="804"/>
      <c r="G50" s="25"/>
      <c r="H50" s="138"/>
      <c r="I50" s="25"/>
      <c r="J50" s="25"/>
      <c r="K50" s="25"/>
      <c r="L50" s="25"/>
      <c r="M50" s="246"/>
    </row>
    <row r="51" spans="1:13" ht="13">
      <c r="A51" s="239"/>
      <c r="B51" s="25" t="s">
        <v>321</v>
      </c>
      <c r="C51" s="24"/>
      <c r="D51" s="798"/>
      <c r="E51" s="24"/>
      <c r="F51" s="799"/>
      <c r="G51" s="24"/>
      <c r="H51" s="138"/>
      <c r="I51" s="25"/>
      <c r="J51" s="800"/>
      <c r="K51" s="25"/>
      <c r="L51" s="800"/>
      <c r="M51" s="246"/>
    </row>
    <row r="52" spans="1:13" ht="13">
      <c r="A52" s="239"/>
      <c r="B52" s="25" t="s">
        <v>297</v>
      </c>
      <c r="C52" s="25"/>
      <c r="D52" s="25"/>
      <c r="E52" s="25"/>
      <c r="F52" s="25"/>
      <c r="G52" s="25"/>
      <c r="H52" s="6"/>
      <c r="I52" s="25"/>
      <c r="J52" s="800"/>
      <c r="K52" s="25"/>
      <c r="L52" s="800"/>
      <c r="M52" s="246"/>
    </row>
    <row r="53" spans="1:13" ht="13">
      <c r="A53" s="239"/>
      <c r="B53" s="25" t="s">
        <v>570</v>
      </c>
      <c r="C53" s="25"/>
      <c r="D53" s="795"/>
      <c r="E53" s="72"/>
      <c r="F53" s="795"/>
      <c r="G53" s="72"/>
      <c r="H53" s="138"/>
      <c r="I53" s="25"/>
      <c r="J53" s="805"/>
      <c r="K53" s="25"/>
      <c r="L53" s="805"/>
      <c r="M53" s="246"/>
    </row>
    <row r="54" spans="1:13" ht="13">
      <c r="A54" s="239"/>
      <c r="B54" s="786" t="s">
        <v>161</v>
      </c>
      <c r="C54" s="25"/>
      <c r="D54" s="1004">
        <v>2.5000000000000001E-3</v>
      </c>
      <c r="E54" s="25"/>
      <c r="F54" s="917" t="s">
        <v>35</v>
      </c>
      <c r="G54" s="25"/>
      <c r="H54" s="1005"/>
      <c r="I54" s="25"/>
      <c r="J54" s="806"/>
      <c r="K54" s="25"/>
      <c r="L54" s="694"/>
      <c r="M54" s="246"/>
    </row>
    <row r="55" spans="1:13">
      <c r="A55" s="239"/>
      <c r="B55" s="786" t="s">
        <v>162</v>
      </c>
      <c r="C55" s="25"/>
      <c r="D55" s="1005"/>
      <c r="E55" s="25"/>
      <c r="F55" s="917" t="s">
        <v>35</v>
      </c>
      <c r="G55" s="25"/>
      <c r="H55" s="1005"/>
      <c r="I55" s="25"/>
      <c r="J55" s="25"/>
      <c r="K55" s="25"/>
      <c r="L55" s="25"/>
      <c r="M55" s="246"/>
    </row>
    <row r="56" spans="1:13">
      <c r="A56" s="239"/>
      <c r="D56" s="328"/>
      <c r="F56" s="328"/>
      <c r="H56" s="25"/>
      <c r="I56" s="25"/>
      <c r="J56" s="25"/>
      <c r="K56" s="25"/>
      <c r="L56" s="25"/>
      <c r="M56" s="246"/>
    </row>
    <row r="57" spans="1:13" ht="18" customHeight="1">
      <c r="A57" s="239"/>
      <c r="B57" s="240"/>
      <c r="D57" s="328"/>
      <c r="F57" s="328"/>
      <c r="H57" s="25"/>
      <c r="I57" s="25"/>
      <c r="J57" s="25"/>
      <c r="K57" s="25"/>
      <c r="L57" s="25"/>
      <c r="M57" s="246"/>
    </row>
    <row r="58" spans="1:13" ht="12.75" customHeight="1">
      <c r="A58" s="239"/>
      <c r="D58" s="807"/>
      <c r="F58" s="328"/>
      <c r="H58" s="25"/>
      <c r="I58" s="25"/>
      <c r="J58" s="25"/>
      <c r="K58" s="25"/>
      <c r="L58" s="25"/>
      <c r="M58" s="246"/>
    </row>
    <row r="59" spans="1:13" ht="12.75" customHeight="1">
      <c r="A59" s="239"/>
      <c r="D59" s="807"/>
      <c r="F59" s="328"/>
      <c r="H59" s="25"/>
      <c r="I59" s="25"/>
      <c r="J59" s="25"/>
      <c r="K59" s="25"/>
      <c r="L59" s="25"/>
      <c r="M59" s="246"/>
    </row>
    <row r="60" spans="1:13">
      <c r="A60" s="239"/>
      <c r="D60" s="808"/>
      <c r="F60" s="328"/>
      <c r="H60" s="25"/>
      <c r="I60" s="25"/>
      <c r="J60" s="25"/>
      <c r="K60" s="25"/>
      <c r="L60" s="25"/>
      <c r="M60" s="246"/>
    </row>
    <row r="61" spans="1:13" ht="5.25" customHeight="1">
      <c r="A61" s="239"/>
      <c r="D61" s="809"/>
      <c r="F61" s="328"/>
      <c r="H61" s="25"/>
      <c r="I61" s="25"/>
      <c r="J61" s="25"/>
      <c r="K61" s="25"/>
      <c r="L61" s="25"/>
      <c r="M61" s="246"/>
    </row>
    <row r="62" spans="1:13">
      <c r="A62" s="239"/>
      <c r="B62" s="810" t="s">
        <v>573</v>
      </c>
      <c r="D62" s="809"/>
      <c r="F62" s="328"/>
      <c r="H62" s="25"/>
      <c r="I62" s="25"/>
      <c r="J62" s="25"/>
      <c r="K62" s="25"/>
      <c r="L62" s="25"/>
      <c r="M62" s="246"/>
    </row>
    <row r="63" spans="1:13">
      <c r="A63" s="348"/>
      <c r="B63" s="40"/>
      <c r="C63" s="811"/>
      <c r="D63" s="812"/>
      <c r="E63" s="812"/>
      <c r="F63" s="812"/>
      <c r="G63" s="812"/>
      <c r="H63" s="812"/>
      <c r="I63" s="812"/>
      <c r="J63" s="812"/>
      <c r="K63" s="812"/>
      <c r="L63" s="812"/>
      <c r="M63" s="319"/>
    </row>
    <row r="64" spans="1:13">
      <c r="D64" s="809"/>
      <c r="F64" s="328"/>
      <c r="H64" s="25"/>
      <c r="I64" s="25"/>
      <c r="J64" s="25"/>
      <c r="K64" s="25"/>
      <c r="L64" s="25"/>
    </row>
    <row r="65" spans="3:12">
      <c r="D65" s="809"/>
      <c r="F65" s="328"/>
      <c r="H65" s="25"/>
      <c r="I65" s="25"/>
      <c r="J65" s="25"/>
      <c r="K65" s="25"/>
      <c r="L65" s="25"/>
    </row>
    <row r="66" spans="3:12">
      <c r="D66" s="809"/>
      <c r="F66" s="328"/>
      <c r="H66" s="25"/>
      <c r="I66" s="25"/>
      <c r="J66" s="25"/>
      <c r="K66" s="25"/>
      <c r="L66" s="25"/>
    </row>
    <row r="67" spans="3:12">
      <c r="D67" s="813"/>
      <c r="F67" s="328"/>
      <c r="H67" s="25"/>
      <c r="I67" s="25"/>
      <c r="J67" s="25"/>
      <c r="K67" s="25"/>
      <c r="L67" s="25"/>
    </row>
    <row r="68" spans="3:12">
      <c r="D68" s="813"/>
      <c r="F68" s="328"/>
      <c r="H68" s="25"/>
      <c r="I68" s="25"/>
      <c r="J68" s="25"/>
      <c r="K68" s="25"/>
      <c r="L68" s="25"/>
    </row>
    <row r="69" spans="3:12">
      <c r="D69" s="809"/>
      <c r="H69" s="25"/>
      <c r="I69" s="25"/>
      <c r="J69" s="25"/>
      <c r="K69" s="25"/>
      <c r="L69" s="25"/>
    </row>
    <row r="70" spans="3:12">
      <c r="D70" s="809"/>
      <c r="H70" s="25"/>
      <c r="I70" s="25"/>
      <c r="J70" s="25"/>
      <c r="K70" s="25"/>
      <c r="L70" s="25"/>
    </row>
    <row r="71" spans="3:12" ht="12.75" customHeight="1">
      <c r="D71" s="328"/>
    </row>
    <row r="73" spans="3:12">
      <c r="H73" s="270"/>
    </row>
    <row r="74" spans="3:12">
      <c r="H74" s="270"/>
    </row>
    <row r="76" spans="3:12">
      <c r="C76" s="814"/>
      <c r="D76" s="815"/>
      <c r="F76" s="815"/>
      <c r="H76" s="270"/>
    </row>
    <row r="77" spans="3:12">
      <c r="C77" s="814"/>
      <c r="D77" s="815"/>
      <c r="F77" s="815"/>
    </row>
    <row r="79" spans="3:12">
      <c r="C79" s="814"/>
      <c r="D79" s="814"/>
      <c r="E79" s="814"/>
      <c r="F79" s="814"/>
    </row>
    <row r="81" spans="2:2">
      <c r="B81" s="25"/>
    </row>
    <row r="82" spans="2:2">
      <c r="B82" s="25"/>
    </row>
    <row r="83" spans="2:2">
      <c r="B83" s="25"/>
    </row>
  </sheetData>
  <mergeCells count="3">
    <mergeCell ref="D54:D55"/>
    <mergeCell ref="H54:H55"/>
    <mergeCell ref="B37:B38"/>
  </mergeCells>
  <conditionalFormatting sqref="H15">
    <cfRule type="cellIs" dxfId="12" priority="15" stopIfTrue="1" operator="equal">
      <formula>"yes"</formula>
    </cfRule>
  </conditionalFormatting>
  <conditionalFormatting sqref="H17">
    <cfRule type="cellIs" dxfId="11" priority="14" stopIfTrue="1" operator="equal">
      <formula>"yes"</formula>
    </cfRule>
  </conditionalFormatting>
  <conditionalFormatting sqref="H19">
    <cfRule type="cellIs" dxfId="10" priority="9" stopIfTrue="1" operator="equal">
      <formula>"yes"</formula>
    </cfRule>
  </conditionalFormatting>
  <conditionalFormatting sqref="H23:H24">
    <cfRule type="cellIs" dxfId="9" priority="12" stopIfTrue="1" operator="equal">
      <formula>"yes"</formula>
    </cfRule>
  </conditionalFormatting>
  <conditionalFormatting sqref="H47:H51">
    <cfRule type="cellIs" dxfId="8" priority="7" stopIfTrue="1" operator="equal">
      <formula>"yes"</formula>
    </cfRule>
  </conditionalFormatting>
  <conditionalFormatting sqref="H53">
    <cfRule type="cellIs" dxfId="7"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vt:lpstr>
      <vt:lpstr>calc_data</vt:lpstr>
      <vt:lpstr>calcdata_22</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2024-11-08T11:42:16Z</dcterms:created>
  <dcterms:modified xsi:type="dcterms:W3CDTF">2025-09-09T12:17:25Z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2024-11-08T15:58:37Z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35821cb7-2278-4dd2-835d-aea4ac56b115</vt:lpwstr>
  </property>
  <property fmtid="{D5CDD505-2E9C-101B-9397-08002B2CF9AE}" pid="8" name="MSIP_Label_41b88ec2-a72b-4523-9e84-0458a1764731_ContentBits">
    <vt:lpwstr>0</vt:lpwstr>
  </property>
</Properties>
</file>